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ckyaryanto/Documents/PT Sentosa Abadi Mining/Data Analyst/data kotor pemakaian fuel/"/>
    </mc:Choice>
  </mc:AlternateContent>
  <xr:revisionPtr revIDLastSave="0" documentId="13_ncr:1_{573DFC7F-6841-624B-8CF1-F35AC527D4D4}" xr6:coauthVersionLast="47" xr6:coauthVersionMax="47" xr10:uidLastSave="{00000000-0000-0000-0000-000000000000}"/>
  <bookViews>
    <workbookView xWindow="34200" yWindow="500" windowWidth="38400" windowHeight="21100" tabRatio="817" activeTab="7" xr2:uid="{00000000-000D-0000-FFFF-FFFF00000000}"/>
  </bookViews>
  <sheets>
    <sheet name="SUMMARY" sheetId="11" r:id="rId1"/>
    <sheet name="SUMMARY MTD" sheetId="12" r:id="rId2"/>
    <sheet name="REPORT unit OB" sheetId="4" r:id="rId3"/>
    <sheet name="REPORT unit QUARRY" sheetId="13" r:id="rId4"/>
    <sheet name="REPORT unit DEVELOP" sheetId="14" r:id="rId5"/>
    <sheet name="REPORT unit ORE GETTING" sheetId="15" r:id="rId6"/>
    <sheet name="REPORT unit DT HAUL" sheetId="7" r:id="rId7"/>
    <sheet name="REPORT unit LV &amp; support" sheetId="6" r:id="rId8"/>
    <sheet name="HOUR METER" sheetId="1" state="hidden" r:id="rId9"/>
    <sheet name="FUEL UNIT" sheetId="2" state="hidden" r:id="rId10"/>
    <sheet name="list rate unit" sheetId="5" r:id="rId11"/>
  </sheets>
  <externalReferences>
    <externalReference r:id="rId12"/>
  </externalReferences>
  <definedNames>
    <definedName name="_xlnm._FilterDatabase" localSheetId="4" hidden="1">'REPORT unit DEVELOP'!$B$7:$O$10</definedName>
    <definedName name="_xlnm._FilterDatabase" localSheetId="6" hidden="1">'REPORT unit DT HAUL'!$B$7:$Q$31</definedName>
    <definedName name="_xlnm._FilterDatabase" localSheetId="2" hidden="1">'REPORT unit OB'!$B$7:$O$21</definedName>
    <definedName name="_xlnm._FilterDatabase" localSheetId="5" hidden="1">'REPORT unit ORE GETTING'!$B$7:$O$19</definedName>
    <definedName name="_xlnm._FilterDatabase" localSheetId="3" hidden="1">'REPORT unit QUARRY'!$B$7:$O$18</definedName>
    <definedName name="_xlnm.Print_Area" localSheetId="0">SUMMARY!$B$2:$L$37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6" l="1"/>
  <c r="F23" i="7"/>
  <c r="G23" i="7" s="1"/>
  <c r="J23" i="7"/>
  <c r="K23" i="7"/>
  <c r="L23" i="7"/>
  <c r="F24" i="7"/>
  <c r="G24" i="7" s="1"/>
  <c r="J24" i="7"/>
  <c r="K24" i="7"/>
  <c r="L24" i="7"/>
  <c r="Q23" i="7"/>
  <c r="Q24" i="7"/>
  <c r="B23" i="7"/>
  <c r="B24" i="7"/>
  <c r="B25" i="7"/>
  <c r="B26" i="7"/>
  <c r="B27" i="7"/>
  <c r="B28" i="7"/>
  <c r="B29" i="7"/>
  <c r="B30" i="7"/>
  <c r="B31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8" i="7"/>
  <c r="I15" i="15"/>
  <c r="N15" i="15"/>
  <c r="M15" i="15" s="1"/>
  <c r="E15" i="15" s="1"/>
  <c r="F15" i="15" s="1"/>
  <c r="I16" i="15"/>
  <c r="N16" i="15"/>
  <c r="M16" i="15" s="1"/>
  <c r="E16" i="15" s="1"/>
  <c r="F16" i="15" s="1"/>
  <c r="B9" i="15"/>
  <c r="B10" i="15"/>
  <c r="B11" i="15"/>
  <c r="B12" i="15"/>
  <c r="B13" i="15"/>
  <c r="B14" i="15"/>
  <c r="B15" i="15"/>
  <c r="B16" i="15"/>
  <c r="B17" i="15"/>
  <c r="B18" i="15"/>
  <c r="B19" i="15"/>
  <c r="B8" i="15"/>
  <c r="B9" i="14"/>
  <c r="B10" i="14"/>
  <c r="B8" i="14"/>
  <c r="I10" i="13"/>
  <c r="N10" i="13"/>
  <c r="I11" i="13"/>
  <c r="N11" i="13"/>
  <c r="I12" i="13"/>
  <c r="N12" i="13"/>
  <c r="I13" i="13"/>
  <c r="N13" i="13"/>
  <c r="I14" i="13"/>
  <c r="N14" i="13"/>
  <c r="I15" i="13"/>
  <c r="N15" i="13"/>
  <c r="I16" i="13"/>
  <c r="N16" i="13"/>
  <c r="I17" i="13"/>
  <c r="N17" i="13"/>
  <c r="I18" i="13"/>
  <c r="N18" i="13"/>
  <c r="E10" i="13"/>
  <c r="F10" i="13" s="1"/>
  <c r="E11" i="13"/>
  <c r="F11" i="13" s="1"/>
  <c r="E12" i="13"/>
  <c r="F12" i="13" s="1"/>
  <c r="E13" i="13"/>
  <c r="F13" i="13" s="1"/>
  <c r="E14" i="13"/>
  <c r="F14" i="13" s="1"/>
  <c r="E15" i="13"/>
  <c r="F15" i="13" s="1"/>
  <c r="E16" i="13"/>
  <c r="F16" i="13" s="1"/>
  <c r="E17" i="13"/>
  <c r="F17" i="13" s="1"/>
  <c r="E18" i="13"/>
  <c r="F18" i="13" s="1"/>
  <c r="B9" i="13"/>
  <c r="B10" i="13"/>
  <c r="B11" i="13"/>
  <c r="B12" i="13"/>
  <c r="B13" i="13"/>
  <c r="B14" i="13"/>
  <c r="B15" i="13"/>
  <c r="B16" i="13"/>
  <c r="B17" i="13"/>
  <c r="B18" i="13"/>
  <c r="B8" i="13"/>
  <c r="I10" i="4"/>
  <c r="N10" i="4"/>
  <c r="M10" i="4" s="1"/>
  <c r="E10" i="4" s="1"/>
  <c r="F10" i="4" s="1"/>
  <c r="I11" i="4"/>
  <c r="N11" i="4"/>
  <c r="M11" i="4" s="1"/>
  <c r="E11" i="4" s="1"/>
  <c r="F11" i="4" s="1"/>
  <c r="I12" i="4"/>
  <c r="N12" i="4"/>
  <c r="M12" i="4" s="1"/>
  <c r="E12" i="4" s="1"/>
  <c r="F12" i="4" s="1"/>
  <c r="I13" i="4"/>
  <c r="N13" i="4"/>
  <c r="M13" i="4" s="1"/>
  <c r="E13" i="4" s="1"/>
  <c r="F13" i="4" s="1"/>
  <c r="I14" i="4"/>
  <c r="N14" i="4"/>
  <c r="M14" i="4" s="1"/>
  <c r="E14" i="4" s="1"/>
  <c r="F14" i="4" s="1"/>
  <c r="I15" i="4"/>
  <c r="N15" i="4"/>
  <c r="M15" i="4" s="1"/>
  <c r="E15" i="4" s="1"/>
  <c r="F15" i="4" s="1"/>
  <c r="I16" i="4"/>
  <c r="N16" i="4"/>
  <c r="M16" i="4" s="1"/>
  <c r="E16" i="4" s="1"/>
  <c r="F16" i="4" s="1"/>
  <c r="I17" i="4"/>
  <c r="N17" i="4"/>
  <c r="M17" i="4" s="1"/>
  <c r="E17" i="4" s="1"/>
  <c r="F17" i="4" s="1"/>
  <c r="I18" i="4"/>
  <c r="N18" i="4"/>
  <c r="M18" i="4" s="1"/>
  <c r="E18" i="4" s="1"/>
  <c r="F18" i="4" s="1"/>
  <c r="I19" i="4"/>
  <c r="N19" i="4"/>
  <c r="M19" i="4" s="1"/>
  <c r="E19" i="4" s="1"/>
  <c r="F19" i="4" s="1"/>
  <c r="B14" i="4"/>
  <c r="B9" i="4"/>
  <c r="B10" i="4"/>
  <c r="B11" i="4"/>
  <c r="B12" i="4"/>
  <c r="B13" i="4"/>
  <c r="B15" i="4"/>
  <c r="B16" i="4"/>
  <c r="B17" i="4"/>
  <c r="B18" i="4"/>
  <c r="B19" i="4"/>
  <c r="B8" i="4"/>
  <c r="C37" i="7" l="1"/>
  <c r="D26" i="12"/>
  <c r="D25" i="12"/>
  <c r="D24" i="12"/>
  <c r="D10" i="12"/>
  <c r="D5" i="12"/>
  <c r="D3" i="12"/>
  <c r="I17" i="15"/>
  <c r="N17" i="15"/>
  <c r="M17" i="15" s="1"/>
  <c r="E17" i="15" s="1"/>
  <c r="F17" i="15" s="1"/>
  <c r="F10" i="11"/>
  <c r="D7" i="12" s="1"/>
  <c r="I23" i="7" l="1"/>
  <c r="M23" i="7" s="1"/>
  <c r="I24" i="7"/>
  <c r="M24" i="7" s="1"/>
  <c r="I14" i="15"/>
  <c r="N14" i="15"/>
  <c r="M14" i="15" s="1"/>
  <c r="E14" i="15" s="1"/>
  <c r="F14" i="15" s="1"/>
  <c r="I18" i="15"/>
  <c r="N18" i="15"/>
  <c r="M18" i="15" s="1"/>
  <c r="E18" i="15" s="1"/>
  <c r="F18" i="15" s="1"/>
  <c r="I19" i="15"/>
  <c r="N19" i="15"/>
  <c r="M19" i="15" s="1"/>
  <c r="E19" i="15" s="1"/>
  <c r="F19" i="15" s="1"/>
  <c r="D14" i="11" l="1"/>
  <c r="D13" i="11"/>
  <c r="C13" i="6" l="1"/>
  <c r="C24" i="15"/>
  <c r="C15" i="14"/>
  <c r="C23" i="13"/>
  <c r="C24" i="4"/>
  <c r="J10" i="11"/>
  <c r="F12" i="11"/>
  <c r="D9" i="12" s="1"/>
  <c r="H10" i="13" l="1"/>
  <c r="J10" i="13" s="1"/>
  <c r="H18" i="13"/>
  <c r="J18" i="13" s="1"/>
  <c r="H14" i="13"/>
  <c r="J14" i="13" s="1"/>
  <c r="H13" i="13"/>
  <c r="J13" i="13" s="1"/>
  <c r="H12" i="13"/>
  <c r="J12" i="13" s="1"/>
  <c r="H15" i="13"/>
  <c r="J15" i="13" s="1"/>
  <c r="H16" i="13"/>
  <c r="J16" i="13" s="1"/>
  <c r="H11" i="13"/>
  <c r="J11" i="13" s="1"/>
  <c r="H17" i="13"/>
  <c r="J17" i="13" s="1"/>
  <c r="H17" i="15"/>
  <c r="J17" i="15" s="1"/>
  <c r="H16" i="15"/>
  <c r="J16" i="15" s="1"/>
  <c r="H15" i="15"/>
  <c r="J15" i="15" s="1"/>
  <c r="H10" i="4"/>
  <c r="J10" i="4" s="1"/>
  <c r="H15" i="4"/>
  <c r="J15" i="4" s="1"/>
  <c r="H11" i="4"/>
  <c r="J11" i="4" s="1"/>
  <c r="H16" i="4"/>
  <c r="J16" i="4" s="1"/>
  <c r="H12" i="4"/>
  <c r="J12" i="4" s="1"/>
  <c r="H17" i="4"/>
  <c r="J17" i="4" s="1"/>
  <c r="H18" i="4"/>
  <c r="J18" i="4" s="1"/>
  <c r="H14" i="4"/>
  <c r="J14" i="4" s="1"/>
  <c r="H13" i="4"/>
  <c r="J13" i="4" s="1"/>
  <c r="H19" i="4"/>
  <c r="J19" i="4" s="1"/>
  <c r="H14" i="15"/>
  <c r="J14" i="15" s="1"/>
  <c r="H18" i="15"/>
  <c r="J18" i="15" s="1"/>
  <c r="H19" i="15"/>
  <c r="J19" i="15" s="1"/>
  <c r="P9" i="12"/>
  <c r="P7" i="12"/>
  <c r="D33" i="7"/>
  <c r="E11" i="11" s="1"/>
  <c r="D4" i="12" s="1"/>
  <c r="G21" i="15"/>
  <c r="D21" i="15"/>
  <c r="G20" i="13"/>
  <c r="D20" i="13"/>
  <c r="E13" i="11" l="1"/>
  <c r="D6" i="12" s="1"/>
  <c r="N9" i="14" l="1"/>
  <c r="M9" i="14" s="1"/>
  <c r="E9" i="14" s="1"/>
  <c r="F9" i="14" s="1"/>
  <c r="I9" i="14"/>
  <c r="E10" i="6"/>
  <c r="F18" i="11" l="1"/>
  <c r="D21" i="4"/>
  <c r="G10" i="6" l="1"/>
  <c r="C23" i="15" l="1"/>
  <c r="N13" i="15"/>
  <c r="M13" i="15" s="1"/>
  <c r="E13" i="15" s="1"/>
  <c r="F13" i="15" s="1"/>
  <c r="I13" i="15"/>
  <c r="N12" i="15"/>
  <c r="M12" i="15" s="1"/>
  <c r="E12" i="15" s="1"/>
  <c r="F12" i="15" s="1"/>
  <c r="I12" i="15"/>
  <c r="N11" i="15"/>
  <c r="M11" i="15" s="1"/>
  <c r="E11" i="15" s="1"/>
  <c r="F11" i="15" s="1"/>
  <c r="I11" i="15"/>
  <c r="N10" i="15"/>
  <c r="M10" i="15" s="1"/>
  <c r="E10" i="15" s="1"/>
  <c r="F10" i="15" s="1"/>
  <c r="I10" i="15"/>
  <c r="N9" i="15"/>
  <c r="M9" i="15" s="1"/>
  <c r="E9" i="15" s="1"/>
  <c r="F9" i="15" s="1"/>
  <c r="I9" i="15"/>
  <c r="N8" i="15"/>
  <c r="M8" i="15" s="1"/>
  <c r="E8" i="15" s="1"/>
  <c r="I8" i="15"/>
  <c r="H9" i="14"/>
  <c r="J9" i="14" s="1"/>
  <c r="C14" i="14"/>
  <c r="G12" i="14"/>
  <c r="D12" i="14"/>
  <c r="N10" i="14"/>
  <c r="M10" i="14" s="1"/>
  <c r="E10" i="14" s="1"/>
  <c r="I10" i="14"/>
  <c r="N8" i="14"/>
  <c r="M8" i="14" s="1"/>
  <c r="E8" i="14" s="1"/>
  <c r="F8" i="14" s="1"/>
  <c r="I8" i="14"/>
  <c r="N9" i="13"/>
  <c r="I9" i="13"/>
  <c r="E9" i="13"/>
  <c r="F9" i="13" s="1"/>
  <c r="N8" i="13"/>
  <c r="I8" i="13"/>
  <c r="E8" i="13"/>
  <c r="F8" i="13" l="1"/>
  <c r="F20" i="13" s="1"/>
  <c r="E20" i="13"/>
  <c r="F8" i="15"/>
  <c r="F21" i="15" s="1"/>
  <c r="E21" i="15"/>
  <c r="E12" i="14"/>
  <c r="H8" i="15"/>
  <c r="H12" i="15"/>
  <c r="J12" i="15" s="1"/>
  <c r="H10" i="15"/>
  <c r="J10" i="15" s="1"/>
  <c r="H13" i="15"/>
  <c r="J13" i="15" s="1"/>
  <c r="H9" i="15"/>
  <c r="J9" i="15" s="1"/>
  <c r="H11" i="15"/>
  <c r="J11" i="15" s="1"/>
  <c r="F10" i="14"/>
  <c r="F12" i="14" s="1"/>
  <c r="H10" i="14"/>
  <c r="H8" i="14"/>
  <c r="J8" i="14" s="1"/>
  <c r="I21" i="15"/>
  <c r="I12" i="14"/>
  <c r="I20" i="13"/>
  <c r="J8" i="15" l="1"/>
  <c r="J21" i="15" s="1"/>
  <c r="D25" i="11" s="1"/>
  <c r="D14" i="12" s="1"/>
  <c r="H21" i="15"/>
  <c r="J10" i="14"/>
  <c r="J12" i="14" s="1"/>
  <c r="D24" i="11" s="1"/>
  <c r="D13" i="12" s="1"/>
  <c r="H12" i="14"/>
  <c r="C22" i="13" l="1"/>
  <c r="H9" i="13" l="1"/>
  <c r="J9" i="13" s="1"/>
  <c r="H8" i="13"/>
  <c r="H20" i="13" l="1"/>
  <c r="J8" i="13"/>
  <c r="N9" i="4"/>
  <c r="M9" i="4" s="1"/>
  <c r="E9" i="4" s="1"/>
  <c r="F9" i="4" s="1"/>
  <c r="I9" i="4"/>
  <c r="J20" i="13" l="1"/>
  <c r="D23" i="11" s="1"/>
  <c r="D12" i="12" s="1"/>
  <c r="F9" i="7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 s="1"/>
  <c r="F20" i="7"/>
  <c r="G20" i="7" s="1"/>
  <c r="F21" i="7"/>
  <c r="G21" i="7" s="1"/>
  <c r="F22" i="7"/>
  <c r="G22" i="7" s="1"/>
  <c r="F25" i="7"/>
  <c r="G25" i="7" s="1"/>
  <c r="F26" i="7"/>
  <c r="G26" i="7" s="1"/>
  <c r="F27" i="7"/>
  <c r="G27" i="7" s="1"/>
  <c r="F28" i="7"/>
  <c r="G28" i="7" s="1"/>
  <c r="F29" i="7"/>
  <c r="G29" i="7" s="1"/>
  <c r="F30" i="7"/>
  <c r="G30" i="7" s="1"/>
  <c r="F31" i="7"/>
  <c r="G31" i="7" s="1"/>
  <c r="F8" i="7" l="1"/>
  <c r="G8" i="7" s="1"/>
  <c r="J8" i="7"/>
  <c r="K8" i="7"/>
  <c r="L8" i="7"/>
  <c r="Q8" i="7"/>
  <c r="J9" i="7"/>
  <c r="K9" i="7"/>
  <c r="L9" i="7"/>
  <c r="Q9" i="7"/>
  <c r="J10" i="7"/>
  <c r="K10" i="7"/>
  <c r="L10" i="7"/>
  <c r="Q10" i="7"/>
  <c r="J11" i="7"/>
  <c r="K11" i="7"/>
  <c r="L11" i="7"/>
  <c r="Q11" i="7"/>
  <c r="J12" i="7"/>
  <c r="K12" i="7"/>
  <c r="L12" i="7"/>
  <c r="Q12" i="7"/>
  <c r="J13" i="7"/>
  <c r="K13" i="7"/>
  <c r="L13" i="7"/>
  <c r="Q13" i="7"/>
  <c r="J14" i="7"/>
  <c r="K14" i="7"/>
  <c r="L14" i="7"/>
  <c r="Q14" i="7"/>
  <c r="J15" i="7"/>
  <c r="K15" i="7"/>
  <c r="L15" i="7"/>
  <c r="Q15" i="7"/>
  <c r="J16" i="7"/>
  <c r="K16" i="7"/>
  <c r="L16" i="7"/>
  <c r="Q16" i="7"/>
  <c r="J17" i="7"/>
  <c r="K17" i="7"/>
  <c r="L17" i="7"/>
  <c r="Q17" i="7"/>
  <c r="J18" i="7"/>
  <c r="K18" i="7"/>
  <c r="L18" i="7"/>
  <c r="Q18" i="7"/>
  <c r="J19" i="7"/>
  <c r="K19" i="7"/>
  <c r="L19" i="7"/>
  <c r="Q19" i="7"/>
  <c r="J20" i="7"/>
  <c r="K20" i="7"/>
  <c r="L20" i="7"/>
  <c r="Q20" i="7"/>
  <c r="J21" i="7"/>
  <c r="K21" i="7"/>
  <c r="L21" i="7"/>
  <c r="Q21" i="7"/>
  <c r="J22" i="7"/>
  <c r="K22" i="7"/>
  <c r="L22" i="7"/>
  <c r="Q22" i="7"/>
  <c r="J25" i="7"/>
  <c r="K25" i="7"/>
  <c r="L25" i="7"/>
  <c r="Q25" i="7"/>
  <c r="J26" i="7"/>
  <c r="K26" i="7"/>
  <c r="L26" i="7"/>
  <c r="Q26" i="7"/>
  <c r="J27" i="7"/>
  <c r="K27" i="7"/>
  <c r="L27" i="7"/>
  <c r="Q27" i="7"/>
  <c r="J28" i="7"/>
  <c r="K28" i="7"/>
  <c r="L28" i="7"/>
  <c r="Q28" i="7"/>
  <c r="J29" i="7"/>
  <c r="K29" i="7"/>
  <c r="L29" i="7"/>
  <c r="Q29" i="7"/>
  <c r="J30" i="7"/>
  <c r="K30" i="7"/>
  <c r="L30" i="7"/>
  <c r="Q30" i="7"/>
  <c r="J31" i="7"/>
  <c r="K31" i="7"/>
  <c r="L31" i="7"/>
  <c r="Q31" i="7"/>
  <c r="H9" i="4" l="1"/>
  <c r="J9" i="4" s="1"/>
  <c r="I8" i="7"/>
  <c r="M8" i="7" s="1"/>
  <c r="I12" i="7"/>
  <c r="M12" i="7" s="1"/>
  <c r="I16" i="7"/>
  <c r="M16" i="7" s="1"/>
  <c r="I20" i="7"/>
  <c r="M20" i="7" s="1"/>
  <c r="I26" i="7"/>
  <c r="M26" i="7" s="1"/>
  <c r="I30" i="7"/>
  <c r="M30" i="7" s="1"/>
  <c r="I9" i="7"/>
  <c r="M9" i="7" s="1"/>
  <c r="I17" i="7"/>
  <c r="M17" i="7" s="1"/>
  <c r="I27" i="7"/>
  <c r="M27" i="7" s="1"/>
  <c r="I11" i="7"/>
  <c r="M11" i="7" s="1"/>
  <c r="I15" i="7"/>
  <c r="M15" i="7" s="1"/>
  <c r="I19" i="7"/>
  <c r="M19" i="7" s="1"/>
  <c r="I25" i="7"/>
  <c r="M25" i="7" s="1"/>
  <c r="I29" i="7"/>
  <c r="M29" i="7" s="1"/>
  <c r="I10" i="7"/>
  <c r="M10" i="7" s="1"/>
  <c r="I14" i="7"/>
  <c r="M14" i="7" s="1"/>
  <c r="I18" i="7"/>
  <c r="M18" i="7" s="1"/>
  <c r="I22" i="7"/>
  <c r="M22" i="7" s="1"/>
  <c r="I28" i="7"/>
  <c r="M28" i="7" s="1"/>
  <c r="I21" i="7"/>
  <c r="M21" i="7" s="1"/>
  <c r="I13" i="7"/>
  <c r="M13" i="7" s="1"/>
  <c r="I31" i="7"/>
  <c r="M31" i="7" s="1"/>
  <c r="P5" i="12" l="1"/>
  <c r="A12" i="12"/>
  <c r="A13" i="12"/>
  <c r="A14" i="12"/>
  <c r="A15" i="12"/>
  <c r="A16" i="12"/>
  <c r="A11" i="12"/>
  <c r="P14" i="12" l="1"/>
  <c r="A30" i="12" l="1"/>
  <c r="P26" i="12"/>
  <c r="P25" i="12"/>
  <c r="P24" i="12"/>
  <c r="P13" i="12"/>
  <c r="P12" i="12"/>
  <c r="P10" i="12"/>
  <c r="P3" i="12"/>
  <c r="K28" i="5" l="1"/>
  <c r="AJ29" i="2" l="1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AK24" i="2"/>
  <c r="AK25" i="2"/>
  <c r="AK26" i="2"/>
  <c r="AK27" i="2"/>
  <c r="E24" i="2"/>
  <c r="E25" i="2"/>
  <c r="E26" i="2"/>
  <c r="E27" i="2"/>
  <c r="E33" i="7" l="1"/>
  <c r="D31" i="11" l="1"/>
  <c r="D18" i="12" s="1"/>
  <c r="P4" i="12"/>
  <c r="P6" i="12" s="1"/>
  <c r="F11" i="11"/>
  <c r="D8" i="12" s="1"/>
  <c r="J23" i="11"/>
  <c r="J25" i="11"/>
  <c r="J24" i="11"/>
  <c r="P8" i="12" l="1"/>
  <c r="P18" i="12"/>
  <c r="F13" i="11"/>
  <c r="K25" i="11"/>
  <c r="K24" i="11"/>
  <c r="K23" i="11"/>
  <c r="F29" i="2" l="1"/>
  <c r="AJ25" i="1" l="1"/>
  <c r="AJ26" i="1"/>
  <c r="AJ27" i="1"/>
  <c r="D25" i="1"/>
  <c r="D26" i="1"/>
  <c r="D27" i="1"/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4" i="2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4" i="1"/>
  <c r="AJ24" i="1" l="1"/>
  <c r="AI29" i="1" l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E37" i="2" l="1"/>
  <c r="E34" i="2"/>
  <c r="E33" i="2"/>
  <c r="E36" i="2"/>
  <c r="E35" i="2"/>
  <c r="AJ23" i="1" l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L25" i="2" l="1"/>
  <c r="AL26" i="2"/>
  <c r="AL27" i="2"/>
  <c r="AL24" i="2"/>
  <c r="AK5" i="2" l="1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7" i="1" l="1"/>
  <c r="AK25" i="1"/>
  <c r="AK26" i="1"/>
  <c r="AK24" i="1"/>
  <c r="AK22" i="1"/>
  <c r="AK23" i="1"/>
  <c r="AK15" i="1"/>
  <c r="AK7" i="1"/>
  <c r="AK6" i="1"/>
  <c r="AK21" i="1"/>
  <c r="AK13" i="1"/>
  <c r="AK12" i="1"/>
  <c r="AK14" i="1"/>
  <c r="AK19" i="1"/>
  <c r="AK11" i="1"/>
  <c r="AK18" i="1"/>
  <c r="AK10" i="1"/>
  <c r="AK20" i="1"/>
  <c r="AK17" i="1"/>
  <c r="AK9" i="1"/>
  <c r="AK16" i="1"/>
  <c r="AK8" i="1"/>
  <c r="AL19" i="2" l="1"/>
  <c r="AL18" i="2"/>
  <c r="AL17" i="2"/>
  <c r="AL23" i="2" l="1"/>
  <c r="AL21" i="2"/>
  <c r="AL20" i="2"/>
  <c r="AL16" i="2"/>
  <c r="AL15" i="2"/>
  <c r="AL14" i="2"/>
  <c r="AL13" i="2"/>
  <c r="AL11" i="2"/>
  <c r="AL10" i="2"/>
  <c r="AL8" i="2"/>
  <c r="AL7" i="2"/>
  <c r="AJ4" i="1"/>
  <c r="AJ29" i="1" l="1"/>
  <c r="AL4" i="2"/>
  <c r="AL12" i="2"/>
  <c r="AL22" i="2"/>
  <c r="AL5" i="2"/>
  <c r="AL9" i="2"/>
  <c r="AL6" i="2"/>
  <c r="G33" i="7" l="1"/>
  <c r="AK29" i="2" l="1"/>
  <c r="K33" i="7" l="1"/>
  <c r="D36" i="1" l="1"/>
  <c r="D35" i="1" l="1"/>
  <c r="D34" i="1"/>
  <c r="D32" i="1"/>
  <c r="D33" i="1"/>
  <c r="L8" i="6"/>
  <c r="N8" i="4"/>
  <c r="AK4" i="2"/>
  <c r="K8" i="6" l="1"/>
  <c r="D8" i="6" s="1"/>
  <c r="D10" i="6" s="1"/>
  <c r="M8" i="4"/>
  <c r="E8" i="4" s="1"/>
  <c r="AK30" i="2"/>
  <c r="H8" i="4"/>
  <c r="AK5" i="1"/>
  <c r="AK4" i="1"/>
  <c r="F8" i="6"/>
  <c r="F10" i="6" s="1"/>
  <c r="F8" i="4" l="1"/>
  <c r="J8" i="4" s="1"/>
  <c r="J21" i="4" s="1"/>
  <c r="E21" i="4"/>
  <c r="AK29" i="1"/>
  <c r="G21" i="4"/>
  <c r="J18" i="11" s="1"/>
  <c r="D27" i="12" s="1"/>
  <c r="H8" i="6"/>
  <c r="H33" i="7"/>
  <c r="I8" i="4"/>
  <c r="E39" i="2"/>
  <c r="E41" i="2" s="1"/>
  <c r="H10" i="6" l="1"/>
  <c r="D27" i="11" s="1"/>
  <c r="D16" i="12" s="1"/>
  <c r="H21" i="4"/>
  <c r="D22" i="11"/>
  <c r="D11" i="12" s="1"/>
  <c r="M33" i="7"/>
  <c r="D26" i="11" s="1"/>
  <c r="D15" i="12" s="1"/>
  <c r="L33" i="7"/>
  <c r="I33" i="7"/>
  <c r="D38" i="1"/>
  <c r="D40" i="1" s="1"/>
  <c r="J33" i="7"/>
  <c r="P15" i="12" l="1"/>
  <c r="P11" i="12"/>
  <c r="J27" i="11"/>
  <c r="K27" i="11" s="1"/>
  <c r="P16" i="12"/>
  <c r="J19" i="11"/>
  <c r="D28" i="12" s="1"/>
  <c r="D30" i="11"/>
  <c r="D17" i="12" s="1"/>
  <c r="E14" i="11"/>
  <c r="D22" i="12" s="1"/>
  <c r="J22" i="11"/>
  <c r="J26" i="11"/>
  <c r="K26" i="11" s="1"/>
  <c r="F21" i="4"/>
  <c r="I21" i="4"/>
  <c r="D20" i="12" l="1"/>
  <c r="D19" i="12"/>
  <c r="D21" i="12" s="1"/>
  <c r="F14" i="11"/>
  <c r="D23" i="12" s="1"/>
  <c r="P28" i="12"/>
  <c r="P17" i="12"/>
  <c r="P20" i="12" s="1"/>
  <c r="P27" i="12"/>
  <c r="P22" i="12" s="1"/>
  <c r="B35" i="11"/>
  <c r="D33" i="11"/>
  <c r="K22" i="11"/>
  <c r="K28" i="11" s="1"/>
  <c r="J28" i="11"/>
  <c r="C23" i="4"/>
  <c r="C36" i="7" s="1"/>
  <c r="C12" i="6" s="1"/>
  <c r="P23" i="12" l="1"/>
  <c r="P19" i="12"/>
  <c r="P21" i="12" s="1"/>
  <c r="J30" i="11"/>
  <c r="D29" i="12" s="1"/>
  <c r="J31" i="11" l="1"/>
  <c r="D30" i="12" s="1"/>
  <c r="P29" i="12"/>
  <c r="I22" i="11"/>
  <c r="I23" i="11"/>
  <c r="I27" i="11"/>
  <c r="I25" i="11"/>
  <c r="I24" i="11"/>
  <c r="I26" i="11"/>
  <c r="P30" i="12" l="1"/>
  <c r="I28" i="11"/>
</calcChain>
</file>

<file path=xl/sharedStrings.xml><?xml version="1.0" encoding="utf-8"?>
<sst xmlns="http://schemas.openxmlformats.org/spreadsheetml/2006/main" count="818" uniqueCount="359">
  <si>
    <t>D</t>
  </si>
  <si>
    <t>NO</t>
  </si>
  <si>
    <t>ID UNIT</t>
  </si>
  <si>
    <t>DAYLY REPORT HM</t>
  </si>
  <si>
    <t>TOTAL HM</t>
  </si>
  <si>
    <t>N</t>
  </si>
  <si>
    <t>SM-BW 211-02</t>
  </si>
  <si>
    <t>SM-BW 211-03</t>
  </si>
  <si>
    <t>SM-D85ESS-08</t>
  </si>
  <si>
    <t xml:space="preserve"> </t>
  </si>
  <si>
    <t>WEEK 1</t>
  </si>
  <si>
    <t>:</t>
  </si>
  <si>
    <t>Di setujui oleh :</t>
  </si>
  <si>
    <t>Di buat oleh :</t>
  </si>
  <si>
    <t>WEEK 2</t>
  </si>
  <si>
    <t>WEEK 3</t>
  </si>
  <si>
    <t>WEEK 4</t>
  </si>
  <si>
    <t>`</t>
  </si>
  <si>
    <t>WEEK 5</t>
  </si>
  <si>
    <t>Internal Kontrol</t>
  </si>
  <si>
    <t>MPE Team</t>
  </si>
  <si>
    <t>TOTAL</t>
  </si>
  <si>
    <t>DAYLY REPORT FUEL</t>
  </si>
  <si>
    <t>TOTAL FUEL</t>
  </si>
  <si>
    <t>TOTAL HM 1- 31</t>
  </si>
  <si>
    <t/>
  </si>
  <si>
    <t>HM</t>
  </si>
  <si>
    <t>Fuel</t>
  </si>
  <si>
    <t>Total</t>
  </si>
  <si>
    <t>(hour)</t>
  </si>
  <si>
    <t>($/hour)</t>
  </si>
  <si>
    <t>Rate HM</t>
  </si>
  <si>
    <t>(liter)</t>
  </si>
  <si>
    <t>(liter/hour)</t>
  </si>
  <si>
    <t>KURS USD</t>
  </si>
  <si>
    <t>FUEL PRICE</t>
  </si>
  <si>
    <t>HOURS METER</t>
  </si>
  <si>
    <t>FUEL CONSUMPTION</t>
  </si>
  <si>
    <t>LV</t>
  </si>
  <si>
    <t>TONNAGE</t>
  </si>
  <si>
    <t>(liter/ton)</t>
  </si>
  <si>
    <t>Weight Bridge</t>
  </si>
  <si>
    <t>Tonnage</t>
  </si>
  <si>
    <t>Retase</t>
  </si>
  <si>
    <t>(ton/ret)</t>
  </si>
  <si>
    <t>(Rp/month)</t>
  </si>
  <si>
    <t>TOTAL COST</t>
  </si>
  <si>
    <t>DESC.</t>
  </si>
  <si>
    <t>Rate</t>
  </si>
  <si>
    <t>INCOME</t>
  </si>
  <si>
    <t>Min Charge</t>
  </si>
  <si>
    <t>Hour</t>
  </si>
  <si>
    <t>RENT</t>
  </si>
  <si>
    <t>(liter/km)</t>
  </si>
  <si>
    <t>FUEL RATIO</t>
  </si>
  <si>
    <t>(liter/ret)</t>
  </si>
  <si>
    <t>K</t>
  </si>
  <si>
    <t>TOTAL FUEL 1- 31</t>
  </si>
  <si>
    <t>HINO 700</t>
  </si>
  <si>
    <t>TAP PC 400-03</t>
  </si>
  <si>
    <t>TAP PC 400-06</t>
  </si>
  <si>
    <t>TAP PC 200-11</t>
  </si>
  <si>
    <t>ADT HM 400-02</t>
  </si>
  <si>
    <t>ADT HM 400-03</t>
  </si>
  <si>
    <t>ADT HM 400-05</t>
  </si>
  <si>
    <t>DOZER D65P-04</t>
  </si>
  <si>
    <t>DOZER D85SS-02</t>
  </si>
  <si>
    <t>TAP SAKAI-03</t>
  </si>
  <si>
    <t>TAP PC 300-11</t>
  </si>
  <si>
    <t>ADT HM 400-06</t>
  </si>
  <si>
    <t>ADT HM 400-07</t>
  </si>
  <si>
    <t>ADT HM 400-08</t>
  </si>
  <si>
    <t>DOZER D65P-05</t>
  </si>
  <si>
    <t>DAYS WORK</t>
  </si>
  <si>
    <t>WORKING HOUR</t>
  </si>
  <si>
    <t>ORE MINING</t>
  </si>
  <si>
    <t>MECANICAL AVAILABILITY</t>
  </si>
  <si>
    <t>STRIPING RATIO</t>
  </si>
  <si>
    <t>KURS/$</t>
  </si>
  <si>
    <t>RESULT</t>
  </si>
  <si>
    <t>GRAND TOTAL COST</t>
  </si>
  <si>
    <t>COST UNIT SUPPORT</t>
  </si>
  <si>
    <t>COST UNIT HAULING</t>
  </si>
  <si>
    <t>( USD / Ton )</t>
  </si>
  <si>
    <t xml:space="preserve">PRICE / TON ORE    </t>
  </si>
  <si>
    <t>Fuel Price / liter</t>
  </si>
  <si>
    <t>UNIT</t>
  </si>
  <si>
    <t>TYPE</t>
  </si>
  <si>
    <t>RATIO</t>
  </si>
  <si>
    <t>RENT PER MONTH</t>
  </si>
  <si>
    <t>DOZER D65P-11</t>
  </si>
  <si>
    <t>DOZER D85SS-11</t>
  </si>
  <si>
    <t>TAP GRADER-11</t>
  </si>
  <si>
    <t>COST / TON ORE</t>
  </si>
  <si>
    <t>RATE</t>
  </si>
  <si>
    <t>Ltr/Hr</t>
  </si>
  <si>
    <t>Rent/Hr</t>
  </si>
  <si>
    <t>Column1</t>
  </si>
  <si>
    <t>Column2</t>
  </si>
  <si>
    <t>Description</t>
  </si>
  <si>
    <t>Column4</t>
  </si>
  <si>
    <t>Column5</t>
  </si>
  <si>
    <t>Column6</t>
  </si>
  <si>
    <t>Column7</t>
  </si>
  <si>
    <t>Unit Only (Internal)</t>
  </si>
  <si>
    <t>Incl. Operator</t>
  </si>
  <si>
    <t>Incl. Operator &amp; Fuel</t>
  </si>
  <si>
    <t>PC 195 LC-8</t>
  </si>
  <si>
    <t>Excavator</t>
  </si>
  <si>
    <t>PC 200-8 MO</t>
  </si>
  <si>
    <t>PC 300 SE-8</t>
  </si>
  <si>
    <t>PC 400 LC SE-8</t>
  </si>
  <si>
    <t>SK 200-8 SX</t>
  </si>
  <si>
    <t>SK 330-8</t>
  </si>
  <si>
    <t>HM 400-3R</t>
  </si>
  <si>
    <t>Artic</t>
  </si>
  <si>
    <t>D 85 ESS-2</t>
  </si>
  <si>
    <t>Bulldozer</t>
  </si>
  <si>
    <t>D 65 P-12</t>
  </si>
  <si>
    <t>GD 511 A-1</t>
  </si>
  <si>
    <t>Grader</t>
  </si>
  <si>
    <t>SV 525 D</t>
  </si>
  <si>
    <t>Compactor</t>
  </si>
  <si>
    <t>BW 211 D-40</t>
  </si>
  <si>
    <t>XG 6121</t>
  </si>
  <si>
    <t>XG 955-III</t>
  </si>
  <si>
    <t>Whell Loader</t>
  </si>
  <si>
    <t>WA 380-3</t>
  </si>
  <si>
    <t>FM 260 Ti</t>
  </si>
  <si>
    <t>Dump Truck</t>
  </si>
  <si>
    <t>700 Provia</t>
  </si>
  <si>
    <t>GENSET</t>
  </si>
  <si>
    <t>RATE MOBILISASI</t>
  </si>
  <si>
    <t>$ / KM</t>
  </si>
  <si>
    <t>PC 400</t>
  </si>
  <si>
    <t>PC 300</t>
  </si>
  <si>
    <t>PC 200</t>
  </si>
  <si>
    <t>BULLDOZER</t>
  </si>
  <si>
    <t>COMPACTOR</t>
  </si>
  <si>
    <t>Total Fuel Consumption</t>
  </si>
  <si>
    <t>Liter</t>
  </si>
  <si>
    <t>TAP PC 200-12</t>
  </si>
  <si>
    <t>TAP PC 200-14</t>
  </si>
  <si>
    <t>TAP PC 300-12</t>
  </si>
  <si>
    <t>TAP PC 300-14</t>
  </si>
  <si>
    <t>TAP PC 200-15</t>
  </si>
  <si>
    <t>TAP PC 200-16</t>
  </si>
  <si>
    <t>ADT HM 400-01</t>
  </si>
  <si>
    <t>PC 500 LCE-10R</t>
  </si>
  <si>
    <t>700 Provia/12</t>
  </si>
  <si>
    <t>LT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</si>
  <si>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</si>
  <si>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</si>
  <si>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</si>
  <si>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</si>
  <si>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</si>
  <si>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</si>
  <si>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</si>
  <si>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</si>
  <si>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</si>
  <si>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</si>
  <si>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</si>
  <si>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</si>
  <si>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</si>
  <si>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>PERCENT PROFIT</t>
  </si>
  <si>
    <t>COST UNIT OVERBURDEN</t>
  </si>
  <si>
    <t>COST UNIT QUARRY</t>
  </si>
  <si>
    <t>COST UNIT ORE GETTING</t>
  </si>
  <si>
    <t>COST RENT + FUEL</t>
  </si>
  <si>
    <t>COST OB REMOVAL</t>
  </si>
  <si>
    <t>COST QUARRY HAULING</t>
  </si>
  <si>
    <t>COST DEVELOP ACT.</t>
  </si>
  <si>
    <t>COST ORE GETTING</t>
  </si>
  <si>
    <t>COST ORE HAULING</t>
  </si>
  <si>
    <t>COST DEV / TON</t>
  </si>
  <si>
    <t>COST ORE GETTING / TON</t>
  </si>
  <si>
    <t>COST ORE HAULING / TON</t>
  </si>
  <si>
    <t>COST SUPPORT / TON</t>
  </si>
  <si>
    <t>COST OB / TON</t>
  </si>
  <si>
    <t>COST QUARRY / TON</t>
  </si>
  <si>
    <t>QUARRY MINING</t>
  </si>
  <si>
    <t>KOMATSU PC 500 - 01</t>
  </si>
  <si>
    <t>KOMATSU PC 500 - 02</t>
  </si>
  <si>
    <t>KOMATSU PC 500 - 03</t>
  </si>
  <si>
    <t>KOMATSU PC 400 - 05</t>
  </si>
  <si>
    <t>KOMATSU PC 300 - 10</t>
  </si>
  <si>
    <t>KOBELCO SK 330 - 10</t>
  </si>
  <si>
    <t>KOBELCO SK 330 - 11</t>
  </si>
  <si>
    <t>KOMATSU PC 200 - 22</t>
  </si>
  <si>
    <t>KOMATSU PC 200 - 23</t>
  </si>
  <si>
    <t>KOMATSU PC 195 - 01</t>
  </si>
  <si>
    <t>KOBELCO SK 200 - 07</t>
  </si>
  <si>
    <t>KOBELCO SK 200 - 10</t>
  </si>
  <si>
    <t>KOBELCO SK 200 - 11</t>
  </si>
  <si>
    <t>KOBELCO SK 200 - 13</t>
  </si>
  <si>
    <t>KOBELCO SK 200 - 15</t>
  </si>
  <si>
    <t>KOBELCO SK 200 - 16</t>
  </si>
  <si>
    <t>KOBELCO SK 200 - 18</t>
  </si>
  <si>
    <t>KOBELCO SK 200 - 19</t>
  </si>
  <si>
    <t>KOBELCO SK 200 - 20</t>
  </si>
  <si>
    <t>KOMATSU HM 400 - 09</t>
  </si>
  <si>
    <t>KOMATSU HM 400 - 10</t>
  </si>
  <si>
    <t>KOMATSU HM 400 - 11</t>
  </si>
  <si>
    <t>KOMATSU HM 400 - 12</t>
  </si>
  <si>
    <t>KOMATSU HM 400 - 13</t>
  </si>
  <si>
    <t>KOMATSU HM 400 - 14</t>
  </si>
  <si>
    <t>KOMATSU HM 400 - 15</t>
  </si>
  <si>
    <t>KOMATSU HM 400 - 16</t>
  </si>
  <si>
    <t>KOMATSU HM 400 - 17</t>
  </si>
  <si>
    <t>KOMATSU HM 400 - 18</t>
  </si>
  <si>
    <t>KOMATSU HM 400 - 19</t>
  </si>
  <si>
    <t>KOMATSU HM 400 - 20</t>
  </si>
  <si>
    <t>KOMATSU HM 400 - 21</t>
  </si>
  <si>
    <t>KOMATSU HM 400 - 22</t>
  </si>
  <si>
    <t>KOMATSU DOZER D65 - 12</t>
  </si>
  <si>
    <t>KOMATSU DOZER D65 - 13</t>
  </si>
  <si>
    <t>KOMATSU DOZER D65 - 15</t>
  </si>
  <si>
    <t>KOMATSU DOZER D65 - 16</t>
  </si>
  <si>
    <t>KOMATSU DOZER D85SS - 14</t>
  </si>
  <si>
    <t>KOMATSU DOZER D85SS - 18</t>
  </si>
  <si>
    <t>GRADER GD535 - 03</t>
  </si>
  <si>
    <t>SAKAI - 07</t>
  </si>
  <si>
    <t>LV TRITON PUTIH - 11</t>
  </si>
  <si>
    <t>LV HILUX PUTIH - 23</t>
  </si>
  <si>
    <t>LV PAJERO PUTIH - 06</t>
  </si>
  <si>
    <t>LV TRITON HITAM - 08</t>
  </si>
  <si>
    <t>LV PAJERO PUTIH - 09</t>
  </si>
  <si>
    <t>MANHAUL - 02</t>
  </si>
  <si>
    <t>FUEL TRUCK - 03</t>
  </si>
  <si>
    <t>FUEL TRUCK - 05</t>
  </si>
  <si>
    <t>TRUCK TYRE - LT-08</t>
  </si>
  <si>
    <t>TRUCK MAINTENANCE - LT-09</t>
  </si>
  <si>
    <t>KOMATSU PC 500 - 04</t>
  </si>
  <si>
    <t>KOMATSU PC 400 - 04</t>
  </si>
  <si>
    <t>KOMATSU HM 400 - 23</t>
  </si>
  <si>
    <t>KOMATSU HM 400 - 24</t>
  </si>
  <si>
    <t>KOMATSU HM 400 - 25</t>
  </si>
  <si>
    <t>KOMATSU DOZER D65 - 18</t>
  </si>
  <si>
    <t>KOMATSU DOZER D85SS - 20</t>
  </si>
  <si>
    <t>LV HILUX SILVER - 10</t>
  </si>
  <si>
    <t>KOMATSU PC 400 - 01</t>
  </si>
  <si>
    <t>KOMATSU PC 400 - 06</t>
  </si>
  <si>
    <t>KOMATSU PC 300 - 14</t>
  </si>
  <si>
    <t>KOBELCO SK 200 - 08</t>
  </si>
  <si>
    <t>KOMATSU HM 400 - 04</t>
  </si>
  <si>
    <t>KOMATSU HM 400 - 06</t>
  </si>
  <si>
    <t>KOMATSU HM 400 - 07</t>
  </si>
  <si>
    <t>KOMATSU HM 400 - 08</t>
  </si>
  <si>
    <t>KOMATSU DOZER D65 - 10</t>
  </si>
  <si>
    <t>KOMATSU DOZER D65 - 11</t>
  </si>
  <si>
    <t>KOMATSU DOZER D85SS - 17</t>
  </si>
  <si>
    <t>LV TRITON PUTIH (SAFETY) - 30</t>
  </si>
  <si>
    <t>kbm</t>
  </si>
  <si>
    <t>KOMATSU HM 400 - 01</t>
  </si>
  <si>
    <t>KOMATSU HM 400 - 05</t>
  </si>
  <si>
    <t>KOMATSU PC 300 - 12</t>
  </si>
  <si>
    <t>KOMATSU PC 300 - 15</t>
  </si>
  <si>
    <t>KOMATSU PC 300 - 16</t>
  </si>
  <si>
    <t>KOMATSU PC 200 - 11</t>
  </si>
  <si>
    <t>KOMATSU PC 200 - 12</t>
  </si>
  <si>
    <t>KOMATSU PC 200 - 14</t>
  </si>
  <si>
    <t>KOMATSU PC 200 - 15</t>
  </si>
  <si>
    <t>KOMATSU PC 200 - 16</t>
  </si>
  <si>
    <t>KOMATSU DOZER D85SS - 11</t>
  </si>
  <si>
    <t>LV TRITON PUTIH - 31</t>
  </si>
  <si>
    <t>LV HILUX HITAM - 11</t>
  </si>
  <si>
    <t>KOMATSU PC 400 - 03</t>
  </si>
  <si>
    <t>KOMATSU PC 300 - 17</t>
  </si>
  <si>
    <t>LOADER WA380 - 02</t>
  </si>
  <si>
    <t>SAKAI - 02</t>
  </si>
  <si>
    <t>FUEL RATIO (L/Ton)</t>
  </si>
  <si>
    <t>KOMATSU HM 400 - 02</t>
  </si>
  <si>
    <t>LV TRITON PUTIH - 12</t>
  </si>
  <si>
    <t>LV HILUX SILVER - 17</t>
  </si>
  <si>
    <t>LV HILUX HITAM - 18</t>
  </si>
  <si>
    <t>LV HILUX SILVER - 19</t>
  </si>
  <si>
    <t>LV TRITON PUTIH - 27</t>
  </si>
  <si>
    <t>LV TRITON PUTIH - 32</t>
  </si>
  <si>
    <t>KOMATSU DOZER D65 - 05</t>
  </si>
  <si>
    <t>SAKAI - 03</t>
  </si>
  <si>
    <t>BUS APP - 03</t>
  </si>
  <si>
    <t>TRUCK TYRE - LT-10</t>
  </si>
  <si>
    <t>COST UNIT DEVELOPT</t>
  </si>
  <si>
    <t>LV HILUX HITAM - 05</t>
  </si>
  <si>
    <t>LV TRITON HITAM - 10</t>
  </si>
  <si>
    <t>TRUCK WELDER - LT-04</t>
  </si>
  <si>
    <t>PERCENT COST</t>
  </si>
  <si>
    <t>MEKANIK CAMP</t>
  </si>
  <si>
    <t>KOMATSU PC 300 - 11</t>
  </si>
  <si>
    <t>KOMATSU PC 200 - 25</t>
  </si>
  <si>
    <t>LV PAJERO HITAM - 15</t>
  </si>
  <si>
    <t>LV LC-HIJAU - 29</t>
  </si>
  <si>
    <t>unit</t>
  </si>
  <si>
    <t>type</t>
  </si>
  <si>
    <t>FUEL TRUCK - 06</t>
  </si>
  <si>
    <t>LV PAJERO SILVER - 21</t>
  </si>
  <si>
    <t>source data ( owning &amp; operating cost)</t>
  </si>
  <si>
    <t>CV. SENTOSA ABADI</t>
  </si>
  <si>
    <t>KOMATSU PC 200 - 24</t>
  </si>
  <si>
    <t>KOMATSU SK 200 - 19</t>
  </si>
  <si>
    <t>LV TRITON PUTIH - 28</t>
  </si>
  <si>
    <t>TRUCK TYRE (LT-06)</t>
  </si>
  <si>
    <t>WELDER CAR (LT-07)</t>
  </si>
  <si>
    <t>(fuel not include in contract)</t>
  </si>
  <si>
    <t>FUEL TRUCK - 02</t>
  </si>
  <si>
    <t>SAKAI - 01</t>
  </si>
  <si>
    <t>PLAN</t>
  </si>
  <si>
    <t>ACTUAL</t>
  </si>
  <si>
    <t>ACH %</t>
  </si>
  <si>
    <t>OVERBURDEN REMOVAL</t>
  </si>
  <si>
    <t>FUEL RATIO OVERALL (L/Ton)</t>
  </si>
  <si>
    <t>days</t>
  </si>
  <si>
    <t>hours</t>
  </si>
  <si>
    <t>PA</t>
  </si>
  <si>
    <t>PHYSICHAL AVAILIBILITY</t>
  </si>
  <si>
    <t>COST ITEM / TON ORE</t>
  </si>
  <si>
    <t>SUMMARY BDM BLOK 8 NAKULA</t>
  </si>
  <si>
    <t>ACH % ORE MINING</t>
  </si>
  <si>
    <t>ACH % OVERBURDEN</t>
  </si>
  <si>
    <t>ACH % QUARRY</t>
  </si>
  <si>
    <t>ACH % FUEL RATIO</t>
  </si>
  <si>
    <t>ACH % FUEL CONSUMPTION</t>
  </si>
  <si>
    <t>LV HILUX MERAH - 06</t>
  </si>
  <si>
    <t>ADT HM 400 (bcm/hour)</t>
  </si>
  <si>
    <t>PRODUCTION hauler</t>
  </si>
  <si>
    <t>bdm</t>
  </si>
  <si>
    <t>ore hauling bdm</t>
  </si>
  <si>
    <t>KOMATSU PC 400 - 07</t>
  </si>
  <si>
    <t>HONGYAN/12</t>
  </si>
  <si>
    <t>KOMATSU PC 200 - 21</t>
  </si>
  <si>
    <t>DT Hino 700 ZS 287</t>
  </si>
  <si>
    <t>DT Hino 700 ZS 292</t>
  </si>
  <si>
    <t>DT Hino 700 ZS 293</t>
  </si>
  <si>
    <t>DT Hino 700 ZS 294</t>
  </si>
  <si>
    <t>DT Hino 700 ZS 295</t>
  </si>
  <si>
    <t>DT Hino 700 ZS 296</t>
  </si>
  <si>
    <t>DT Hino 700 ZS 297</t>
  </si>
  <si>
    <t>DT Hino 700 ZS 301</t>
  </si>
  <si>
    <t>DT Hino 700 ZS 302</t>
  </si>
  <si>
    <t>DT Hino 700 ZS 308</t>
  </si>
  <si>
    <t>DT Hino 700 ZY 310</t>
  </si>
  <si>
    <t>DT Hino 700 ZY 330</t>
  </si>
  <si>
    <t>DT Hino 700 ZY 347</t>
  </si>
  <si>
    <t>DT Hino 700 ZY 378</t>
  </si>
  <si>
    <t>DT Hino 700 ZY 382</t>
  </si>
  <si>
    <t>DT Hino 700 ZY 393</t>
  </si>
  <si>
    <t>DT Hongyan 395</t>
  </si>
  <si>
    <t>DT Hongyan 396</t>
  </si>
  <si>
    <t>DT Hongyan 397</t>
  </si>
  <si>
    <t>DT Hongyan 398</t>
  </si>
  <si>
    <t>DT Hongyan 399</t>
  </si>
  <si>
    <t>DT Hino 700 ZY 515</t>
  </si>
  <si>
    <t>last year (2023)</t>
  </si>
  <si>
    <t>TOTAL 2024</t>
  </si>
  <si>
    <r>
      <rPr>
        <b/>
        <sz val="26"/>
        <color theme="5"/>
        <rFont val="Calibri"/>
        <family val="2"/>
        <scheme val="minor"/>
      </rPr>
      <t>MINING COST</t>
    </r>
    <r>
      <rPr>
        <b/>
        <sz val="26"/>
        <color theme="9" tint="-0.249977111117893"/>
        <rFont val="Calibri"/>
        <family val="2"/>
        <scheme val="minor"/>
      </rPr>
      <t xml:space="preserve"> </t>
    </r>
    <r>
      <rPr>
        <b/>
        <sz val="26"/>
        <color theme="0"/>
        <rFont val="Calibri"/>
        <family val="2"/>
        <scheme val="minor"/>
      </rPr>
      <t>(JANUARY)</t>
    </r>
  </si>
  <si>
    <t>January 2023</t>
  </si>
  <si>
    <t>DT Hino 700 ZY 365</t>
  </si>
  <si>
    <t>DT Hino 700 ZY 384</t>
  </si>
  <si>
    <t>Achievent mencapai 100% up dikarenakan, perhitungan budget operasional untuk bulan january dihitung dengan angka minim, berjalannya kegiatan ada penambahan unit operasional, sehingga volume meningkat dan konsumsi BBM pun meningkat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</si>
</sst>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(&quot;Rp&quot;* #,##0_);_(&quot;Rp&quot;* \(#,##0\);_(&quot;Rp&quot;* &quot;-&quot;_);_(@_)"/>
    <numFmt numFmtId="41" formatCode="_(* #,##0_);_(* \(#,##0\);_(* &quot;-&quot;_);_(@_)"/>
    <numFmt numFmtId="44" formatCode="_(&quot;Rp&quot;* #,##0.00_);_(&quot;Rp&quot;* \(#,##0.00\);_(&quot;Rp&quot;* &quot;-&quot;??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_);_(* \(#,##0\);_(* &quot;-&quot;??_);_(@_)"/>
    <numFmt numFmtId="166" formatCode="_(* #,##0.00_);_(* \(#,##0.00\);_(* \-??_);_(@_)"/>
    <numFmt numFmtId="167" formatCode="_-* #,##0.00_-;\-* #,##0.00_-;_-* &quot;-&quot;??_-;_-@_-"/>
    <numFmt numFmtId="168" formatCode="_([$$-409]* #,##0.00_);_([$$-409]* \(#,##0.00\);_([$$-409]* &quot;-&quot;??_);_(@_)"/>
    <numFmt numFmtId="169" formatCode="_-[$Rp-3809]* #,##0.00_-;\-[$Rp-3809]* #,##0.00_-;_-[$Rp-3809]* &quot;-&quot;??_-;_-@_-"/>
    <numFmt numFmtId="170" formatCode="_(* #,##0.0_);_(* \(#,##0.0\);_(* &quot;-&quot;??_);_(@_)"/>
    <numFmt numFmtId="171" formatCode="[$-409]mmmm\ d\,\ yyyy;@"/>
    <numFmt numFmtId="172" formatCode="_-[$Rp-421]* #,##0.00_-;\-[$Rp-421]* #,##0.00_-;_-[$Rp-421]* &quot;-&quot;??_-;_-@_-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 val="singleAccounting"/>
      <sz val="12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22"/>
      <color rgb="FFFFFF00"/>
      <name val="Calibri"/>
      <family val="2"/>
      <scheme val="minor"/>
    </font>
    <font>
      <b/>
      <sz val="26"/>
      <color theme="9" tint="-0.249977111117893"/>
      <name val="Calibri"/>
      <family val="2"/>
      <scheme val="minor"/>
    </font>
    <font>
      <b/>
      <sz val="26"/>
      <color theme="5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9"/>
      <name val="Times New Roman"/>
      <family val="1"/>
    </font>
    <font>
      <b/>
      <i/>
      <sz val="10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u val="singleAccounting"/>
      <sz val="12"/>
      <color theme="0"/>
      <name val="Calibri"/>
      <family val="2"/>
      <scheme val="minor"/>
    </font>
    <font>
      <sz val="12"/>
      <color rgb="FFFFFF00"/>
      <name val="Calibri"/>
      <family val="2"/>
      <scheme val="minor"/>
    </font>
    <font>
      <sz val="10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6A36D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167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5" fillId="0" borderId="0"/>
    <xf numFmtId="0" fontId="48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3" fillId="0" borderId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0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3" fontId="2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43" fontId="0" fillId="0" borderId="0" xfId="1" applyFont="1" applyBorder="1" applyAlignment="1">
      <alignment horizontal="center" vertical="center"/>
    </xf>
    <xf numFmtId="4" fontId="12" fillId="0" borderId="0" xfId="0" applyNumberFormat="1" applyFont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0" fillId="0" borderId="0" xfId="1" applyNumberFormat="1" applyFont="1" applyFill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44" fontId="10" fillId="0" borderId="0" xfId="0" applyNumberFormat="1" applyFont="1" applyAlignment="1">
      <alignment horizontal="center" vertical="center"/>
    </xf>
    <xf numFmtId="4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4" fontId="9" fillId="0" borderId="0" xfId="3" applyNumberFormat="1" applyFont="1" applyBorder="1" applyAlignment="1">
      <alignment horizontal="center" vertical="center"/>
    </xf>
    <xf numFmtId="44" fontId="9" fillId="0" borderId="0" xfId="2" applyFont="1" applyBorder="1" applyAlignment="1">
      <alignment horizontal="center" vertical="center"/>
    </xf>
    <xf numFmtId="39" fontId="10" fillId="0" borderId="0" xfId="0" applyNumberFormat="1" applyFont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15" fillId="10" borderId="0" xfId="0" applyFont="1" applyFill="1" applyAlignment="1">
      <alignment horizontal="center" vertical="center"/>
    </xf>
    <xf numFmtId="168" fontId="15" fillId="10" borderId="0" xfId="0" applyNumberFormat="1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4" fontId="16" fillId="8" borderId="0" xfId="0" applyNumberFormat="1" applyFont="1" applyFill="1" applyAlignment="1">
      <alignment horizontal="center" vertical="center"/>
    </xf>
    <xf numFmtId="44" fontId="16" fillId="8" borderId="0" xfId="3" applyNumberFormat="1" applyFont="1" applyFill="1" applyBorder="1" applyAlignment="1">
      <alignment horizontal="center" vertical="center"/>
    </xf>
    <xf numFmtId="44" fontId="16" fillId="8" borderId="0" xfId="0" applyNumberFormat="1" applyFont="1" applyFill="1" applyAlignment="1">
      <alignment horizontal="center" vertical="center"/>
    </xf>
    <xf numFmtId="44" fontId="16" fillId="8" borderId="0" xfId="2" applyFont="1" applyFill="1" applyBorder="1" applyAlignment="1">
      <alignment horizontal="center" vertical="center"/>
    </xf>
    <xf numFmtId="4" fontId="11" fillId="9" borderId="0" xfId="0" applyNumberFormat="1" applyFont="1" applyFill="1" applyAlignment="1">
      <alignment horizontal="center" vertical="center"/>
    </xf>
    <xf numFmtId="44" fontId="11" fillId="9" borderId="0" xfId="0" applyNumberFormat="1" applyFont="1" applyFill="1" applyAlignment="1">
      <alignment horizontal="center" vertical="center"/>
    </xf>
    <xf numFmtId="44" fontId="11" fillId="9" borderId="0" xfId="2" applyFont="1" applyFill="1" applyBorder="1" applyAlignment="1">
      <alignment horizontal="center" vertical="center"/>
    </xf>
    <xf numFmtId="168" fontId="16" fillId="8" borderId="0" xfId="2" applyNumberFormat="1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44" fontId="2" fillId="9" borderId="0" xfId="0" applyNumberFormat="1" applyFont="1" applyFill="1" applyAlignment="1">
      <alignment horizontal="center" vertical="center"/>
    </xf>
    <xf numFmtId="168" fontId="34" fillId="0" borderId="0" xfId="2" applyNumberFormat="1" applyFont="1" applyBorder="1" applyAlignment="1">
      <alignment vertical="center"/>
    </xf>
    <xf numFmtId="169" fontId="34" fillId="0" borderId="0" xfId="0" applyNumberFormat="1" applyFont="1" applyAlignment="1">
      <alignment horizontal="center" vertical="center"/>
    </xf>
    <xf numFmtId="172" fontId="34" fillId="0" borderId="0" xfId="2" applyNumberFormat="1" applyFont="1" applyAlignment="1">
      <alignment horizontal="center" vertical="center"/>
    </xf>
    <xf numFmtId="168" fontId="34" fillId="0" borderId="0" xfId="3" applyNumberFormat="1" applyFont="1" applyBorder="1" applyAlignment="1">
      <alignment vertical="center"/>
    </xf>
    <xf numFmtId="168" fontId="34" fillId="0" borderId="0" xfId="13" applyNumberFormat="1" applyFont="1" applyAlignment="1">
      <alignment vertical="center"/>
    </xf>
    <xf numFmtId="168" fontId="34" fillId="0" borderId="0" xfId="13" applyNumberFormat="1" applyFont="1" applyAlignment="1">
      <alignment horizontal="center" vertical="center"/>
    </xf>
    <xf numFmtId="0" fontId="36" fillId="11" borderId="1" xfId="0" applyFont="1" applyFill="1" applyBorder="1" applyAlignment="1">
      <alignment horizontal="center" vertical="center"/>
    </xf>
    <xf numFmtId="0" fontId="36" fillId="11" borderId="2" xfId="0" applyFont="1" applyFill="1" applyBorder="1" applyAlignment="1">
      <alignment horizontal="center" vertical="center"/>
    </xf>
    <xf numFmtId="44" fontId="34" fillId="0" borderId="0" xfId="2" applyFont="1" applyAlignment="1">
      <alignment horizontal="center" vertical="center"/>
    </xf>
    <xf numFmtId="0" fontId="34" fillId="0" borderId="0" xfId="0" quotePrefix="1" applyFont="1" applyAlignment="1">
      <alignment horizontal="center" vertical="center"/>
    </xf>
    <xf numFmtId="169" fontId="16" fillId="8" borderId="0" xfId="0" applyNumberFormat="1" applyFont="1" applyFill="1" applyAlignment="1">
      <alignment horizontal="center" vertical="center"/>
    </xf>
    <xf numFmtId="169" fontId="2" fillId="9" borderId="0" xfId="0" applyNumberFormat="1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168" fontId="37" fillId="0" borderId="0" xfId="13" applyNumberFormat="1" applyFont="1" applyAlignment="1">
      <alignment horizontal="center" vertical="center"/>
    </xf>
    <xf numFmtId="169" fontId="37" fillId="0" borderId="0" xfId="0" applyNumberFormat="1" applyFont="1" applyAlignment="1">
      <alignment horizontal="center" vertical="center"/>
    </xf>
    <xf numFmtId="172" fontId="37" fillId="0" borderId="0" xfId="2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0" fillId="5" borderId="0" xfId="0" quotePrefix="1" applyFont="1" applyFill="1" applyAlignment="1">
      <alignment horizontal="center" vertical="center"/>
    </xf>
    <xf numFmtId="0" fontId="40" fillId="5" borderId="0" xfId="0" applyFont="1" applyFill="1" applyAlignment="1">
      <alignment horizontal="center" vertical="center"/>
    </xf>
    <xf numFmtId="0" fontId="39" fillId="12" borderId="0" xfId="0" applyFont="1" applyFill="1" applyAlignment="1">
      <alignment horizontal="center" vertical="center"/>
    </xf>
    <xf numFmtId="43" fontId="41" fillId="12" borderId="0" xfId="0" applyNumberFormat="1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39" fillId="13" borderId="0" xfId="0" applyFont="1" applyFill="1" applyAlignment="1">
      <alignment horizontal="center" vertical="center"/>
    </xf>
    <xf numFmtId="43" fontId="41" fillId="13" borderId="0" xfId="0" applyNumberFormat="1" applyFont="1" applyFill="1" applyAlignment="1">
      <alignment horizontal="center" vertical="center"/>
    </xf>
    <xf numFmtId="0" fontId="39" fillId="4" borderId="0" xfId="0" applyFont="1" applyFill="1" applyAlignment="1">
      <alignment horizontal="center" vertical="center"/>
    </xf>
    <xf numFmtId="43" fontId="41" fillId="4" borderId="0" xfId="0" applyNumberFormat="1" applyFont="1" applyFill="1" applyAlignment="1">
      <alignment horizontal="center" vertical="center"/>
    </xf>
    <xf numFmtId="43" fontId="41" fillId="0" borderId="0" xfId="0" applyNumberFormat="1" applyFont="1" applyAlignment="1">
      <alignment horizontal="center" vertical="center"/>
    </xf>
    <xf numFmtId="169" fontId="41" fillId="0" borderId="0" xfId="0" applyNumberFormat="1" applyFont="1" applyAlignment="1">
      <alignment horizontal="center" vertical="center"/>
    </xf>
    <xf numFmtId="169" fontId="42" fillId="5" borderId="0" xfId="0" applyNumberFormat="1" applyFont="1" applyFill="1" applyAlignment="1">
      <alignment horizontal="center" vertical="center"/>
    </xf>
    <xf numFmtId="9" fontId="41" fillId="0" borderId="0" xfId="3" applyFont="1" applyAlignment="1">
      <alignment horizontal="center" vertical="center"/>
    </xf>
    <xf numFmtId="4" fontId="41" fillId="0" borderId="0" xfId="0" applyNumberFormat="1" applyFont="1" applyAlignment="1">
      <alignment horizontal="center" vertical="center"/>
    </xf>
    <xf numFmtId="0" fontId="40" fillId="14" borderId="0" xfId="0" applyFont="1" applyFill="1" applyAlignment="1">
      <alignment horizontal="center" vertical="center"/>
    </xf>
    <xf numFmtId="168" fontId="42" fillId="14" borderId="0" xfId="2" applyNumberFormat="1" applyFont="1" applyFill="1" applyAlignment="1">
      <alignment horizontal="center" vertical="center"/>
    </xf>
    <xf numFmtId="0" fontId="40" fillId="15" borderId="0" xfId="0" applyFont="1" applyFill="1" applyAlignment="1">
      <alignment horizontal="center" vertical="center"/>
    </xf>
    <xf numFmtId="9" fontId="42" fillId="15" borderId="0" xfId="3" applyFont="1" applyFill="1" applyAlignment="1">
      <alignment horizontal="center" vertical="center"/>
    </xf>
    <xf numFmtId="9" fontId="40" fillId="15" borderId="0" xfId="3" applyFont="1" applyFill="1" applyAlignment="1">
      <alignment horizontal="center" vertical="center"/>
    </xf>
    <xf numFmtId="0" fontId="43" fillId="16" borderId="0" xfId="0" applyFont="1" applyFill="1" applyAlignment="1">
      <alignment horizontal="center" vertical="center"/>
    </xf>
    <xf numFmtId="43" fontId="44" fillId="16" borderId="0" xfId="1" applyFont="1" applyFill="1" applyAlignment="1">
      <alignment horizontal="center" vertical="center"/>
    </xf>
    <xf numFmtId="43" fontId="39" fillId="12" borderId="0" xfId="0" applyNumberFormat="1" applyFont="1" applyFill="1" applyAlignment="1">
      <alignment horizontal="center" vertical="center"/>
    </xf>
    <xf numFmtId="43" fontId="39" fillId="13" borderId="0" xfId="0" applyNumberFormat="1" applyFont="1" applyFill="1" applyAlignment="1">
      <alignment horizontal="center" vertical="center"/>
    </xf>
    <xf numFmtId="43" fontId="39" fillId="4" borderId="0" xfId="0" applyNumberFormat="1" applyFont="1" applyFill="1" applyAlignment="1">
      <alignment horizontal="center" vertical="center"/>
    </xf>
    <xf numFmtId="43" fontId="39" fillId="0" borderId="0" xfId="0" applyNumberFormat="1" applyFont="1" applyAlignment="1">
      <alignment horizontal="center" vertical="center"/>
    </xf>
    <xf numFmtId="169" fontId="39" fillId="0" borderId="0" xfId="0" applyNumberFormat="1" applyFont="1" applyAlignment="1">
      <alignment horizontal="center" vertical="center"/>
    </xf>
    <xf numFmtId="169" fontId="40" fillId="5" borderId="0" xfId="0" applyNumberFormat="1" applyFont="1" applyFill="1" applyAlignment="1">
      <alignment horizontal="center" vertical="center"/>
    </xf>
    <xf numFmtId="43" fontId="43" fillId="16" borderId="0" xfId="1" applyFont="1" applyFill="1" applyAlignment="1">
      <alignment horizontal="center" vertical="center"/>
    </xf>
    <xf numFmtId="9" fontId="39" fillId="0" borderId="0" xfId="3" applyFont="1" applyAlignment="1">
      <alignment horizontal="center" vertical="center"/>
    </xf>
    <xf numFmtId="4" fontId="39" fillId="0" borderId="0" xfId="0" applyNumberFormat="1" applyFont="1" applyAlignment="1">
      <alignment horizontal="center" vertical="center"/>
    </xf>
    <xf numFmtId="168" fontId="40" fillId="14" borderId="0" xfId="2" applyNumberFormat="1" applyFont="1" applyFill="1" applyAlignment="1">
      <alignment horizontal="center" vertical="center"/>
    </xf>
    <xf numFmtId="0" fontId="39" fillId="9" borderId="0" xfId="0" applyFont="1" applyFill="1" applyAlignment="1">
      <alignment horizontal="center" vertical="center"/>
    </xf>
    <xf numFmtId="43" fontId="41" fillId="9" borderId="0" xfId="0" applyNumberFormat="1" applyFont="1" applyFill="1" applyAlignment="1">
      <alignment horizontal="center" vertical="center"/>
    </xf>
    <xf numFmtId="43" fontId="39" fillId="9" borderId="0" xfId="0" applyNumberFormat="1" applyFont="1" applyFill="1" applyAlignment="1">
      <alignment horizontal="center" vertical="center"/>
    </xf>
    <xf numFmtId="44" fontId="40" fillId="14" borderId="0" xfId="2" applyFont="1" applyFill="1" applyAlignment="1">
      <alignment horizontal="center" vertical="center"/>
    </xf>
    <xf numFmtId="44" fontId="41" fillId="0" borderId="0" xfId="2" applyFont="1" applyAlignment="1">
      <alignment horizontal="center" vertical="center"/>
    </xf>
    <xf numFmtId="0" fontId="17" fillId="5" borderId="0" xfId="0" applyFont="1" applyFill="1" applyAlignment="1">
      <alignment vertical="center"/>
    </xf>
    <xf numFmtId="10" fontId="41" fillId="0" borderId="0" xfId="3" applyNumberFormat="1" applyFont="1" applyAlignment="1">
      <alignment horizontal="center" vertical="center"/>
    </xf>
    <xf numFmtId="0" fontId="19" fillId="5" borderId="0" xfId="0" applyFont="1" applyFill="1" applyAlignment="1">
      <alignment vertical="center"/>
    </xf>
    <xf numFmtId="43" fontId="19" fillId="5" borderId="0" xfId="1" applyFont="1" applyFill="1" applyBorder="1" applyAlignment="1">
      <alignment vertical="center"/>
    </xf>
    <xf numFmtId="9" fontId="19" fillId="5" borderId="0" xfId="0" applyNumberFormat="1" applyFont="1" applyFill="1" applyAlignment="1">
      <alignment vertical="center"/>
    </xf>
    <xf numFmtId="0" fontId="17" fillId="5" borderId="0" xfId="0" applyFont="1" applyFill="1" applyAlignment="1">
      <alignment horizontal="right" vertical="center"/>
    </xf>
    <xf numFmtId="170" fontId="19" fillId="5" borderId="0" xfId="1" applyNumberFormat="1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right" vertical="center"/>
    </xf>
    <xf numFmtId="43" fontId="20" fillId="5" borderId="0" xfId="1" applyFont="1" applyFill="1" applyBorder="1" applyAlignment="1">
      <alignment vertical="center"/>
    </xf>
    <xf numFmtId="43" fontId="21" fillId="5" borderId="0" xfId="1" applyFont="1" applyFill="1" applyBorder="1" applyAlignment="1">
      <alignment horizontal="center" vertical="center"/>
    </xf>
    <xf numFmtId="4" fontId="22" fillId="5" borderId="0" xfId="0" applyNumberFormat="1" applyFont="1" applyFill="1" applyAlignment="1">
      <alignment horizontal="right" vertical="center"/>
    </xf>
    <xf numFmtId="43" fontId="21" fillId="5" borderId="0" xfId="1" applyFont="1" applyFill="1" applyBorder="1" applyAlignment="1">
      <alignment vertical="center"/>
    </xf>
    <xf numFmtId="4" fontId="21" fillId="5" borderId="0" xfId="1" applyNumberFormat="1" applyFont="1" applyFill="1" applyBorder="1" applyAlignment="1">
      <alignment horizontal="right" vertical="center"/>
    </xf>
    <xf numFmtId="10" fontId="19" fillId="5" borderId="0" xfId="3" applyNumberFormat="1" applyFont="1" applyFill="1" applyBorder="1" applyAlignment="1">
      <alignment horizontal="right" vertical="center"/>
    </xf>
    <xf numFmtId="44" fontId="19" fillId="5" borderId="0" xfId="2" applyFont="1" applyFill="1" applyBorder="1" applyAlignment="1">
      <alignment horizontal="left" vertical="center"/>
    </xf>
    <xf numFmtId="168" fontId="17" fillId="5" borderId="0" xfId="2" applyNumberFormat="1" applyFont="1" applyFill="1" applyBorder="1" applyAlignment="1">
      <alignment horizontal="center" vertical="center"/>
    </xf>
    <xf numFmtId="10" fontId="47" fillId="5" borderId="0" xfId="0" applyNumberFormat="1" applyFont="1" applyFill="1" applyAlignment="1">
      <alignment horizontal="right" vertical="center"/>
    </xf>
    <xf numFmtId="44" fontId="47" fillId="5" borderId="0" xfId="2" applyFont="1" applyFill="1" applyBorder="1" applyAlignment="1">
      <alignment horizontal="right" vertical="center"/>
    </xf>
    <xf numFmtId="168" fontId="47" fillId="5" borderId="0" xfId="0" applyNumberFormat="1" applyFont="1" applyFill="1" applyAlignment="1">
      <alignment horizontal="right" vertical="center"/>
    </xf>
    <xf numFmtId="0" fontId="8" fillId="5" borderId="0" xfId="0" applyFont="1" applyFill="1" applyAlignment="1">
      <alignment vertical="center"/>
    </xf>
    <xf numFmtId="4" fontId="8" fillId="5" borderId="0" xfId="0" applyNumberFormat="1" applyFont="1" applyFill="1" applyAlignment="1">
      <alignment horizontal="right" vertical="center"/>
    </xf>
    <xf numFmtId="0" fontId="45" fillId="5" borderId="0" xfId="0" applyFont="1" applyFill="1" applyAlignment="1">
      <alignment vertical="center"/>
    </xf>
    <xf numFmtId="44" fontId="45" fillId="5" borderId="0" xfId="2" applyFont="1" applyFill="1" applyBorder="1" applyAlignment="1">
      <alignment horizontal="left" vertical="center"/>
    </xf>
    <xf numFmtId="168" fontId="46" fillId="5" borderId="0" xfId="2" applyNumberFormat="1" applyFont="1" applyFill="1" applyBorder="1" applyAlignment="1">
      <alignment horizontal="center" vertical="center"/>
    </xf>
    <xf numFmtId="165" fontId="23" fillId="5" borderId="0" xfId="1" applyNumberFormat="1" applyFont="1" applyFill="1" applyBorder="1" applyAlignment="1">
      <alignment horizontal="left" vertical="center"/>
    </xf>
    <xf numFmtId="0" fontId="24" fillId="5" borderId="0" xfId="0" applyFont="1" applyFill="1" applyAlignment="1">
      <alignment vertical="center"/>
    </xf>
    <xf numFmtId="0" fontId="46" fillId="5" borderId="0" xfId="0" applyFont="1" applyFill="1" applyAlignment="1">
      <alignment horizontal="right" vertical="center"/>
    </xf>
    <xf numFmtId="0" fontId="46" fillId="5" borderId="0" xfId="0" applyFont="1" applyFill="1" applyAlignment="1">
      <alignment vertical="center"/>
    </xf>
    <xf numFmtId="0" fontId="32" fillId="5" borderId="0" xfId="0" applyFont="1" applyFill="1" applyAlignment="1">
      <alignment vertical="center"/>
    </xf>
    <xf numFmtId="0" fontId="33" fillId="5" borderId="0" xfId="0" applyFont="1" applyFill="1" applyAlignment="1">
      <alignment horizontal="right" vertical="center"/>
    </xf>
    <xf numFmtId="168" fontId="32" fillId="5" borderId="0" xfId="2" applyNumberFormat="1" applyFont="1" applyFill="1" applyBorder="1" applyAlignment="1">
      <alignment horizontal="right" vertical="center"/>
    </xf>
    <xf numFmtId="10" fontId="39" fillId="0" borderId="0" xfId="3" applyNumberFormat="1" applyFont="1" applyAlignment="1">
      <alignment horizontal="center" vertical="center"/>
    </xf>
    <xf numFmtId="10" fontId="39" fillId="0" borderId="0" xfId="0" applyNumberFormat="1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10" fontId="44" fillId="16" borderId="0" xfId="1" applyNumberFormat="1" applyFont="1" applyFill="1" applyAlignment="1">
      <alignment horizontal="center" vertical="center"/>
    </xf>
    <xf numFmtId="10" fontId="43" fillId="16" borderId="0" xfId="3" applyNumberFormat="1" applyFont="1" applyFill="1" applyAlignment="1">
      <alignment horizontal="center" vertical="center"/>
    </xf>
    <xf numFmtId="10" fontId="41" fillId="0" borderId="0" xfId="3" applyNumberFormat="1" applyFont="1" applyFill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43" fontId="50" fillId="5" borderId="5" xfId="1" applyFont="1" applyFill="1" applyBorder="1" applyAlignment="1">
      <alignment vertical="center"/>
    </xf>
    <xf numFmtId="43" fontId="50" fillId="5" borderId="3" xfId="1" applyFont="1" applyFill="1" applyBorder="1" applyAlignment="1">
      <alignment vertical="center"/>
    </xf>
    <xf numFmtId="10" fontId="19" fillId="5" borderId="5" xfId="3" applyNumberFormat="1" applyFont="1" applyFill="1" applyBorder="1" applyAlignment="1">
      <alignment vertical="center"/>
    </xf>
    <xf numFmtId="43" fontId="50" fillId="5" borderId="4" xfId="1" applyFont="1" applyFill="1" applyBorder="1" applyAlignment="1">
      <alignment vertical="center"/>
    </xf>
    <xf numFmtId="43" fontId="50" fillId="5" borderId="0" xfId="1" applyFont="1" applyFill="1" applyBorder="1" applyAlignment="1">
      <alignment vertical="center"/>
    </xf>
    <xf numFmtId="10" fontId="19" fillId="5" borderId="4" xfId="3" applyNumberFormat="1" applyFont="1" applyFill="1" applyBorder="1" applyAlignment="1">
      <alignment vertical="center"/>
    </xf>
    <xf numFmtId="9" fontId="19" fillId="5" borderId="0" xfId="0" applyNumberFormat="1" applyFont="1" applyFill="1" applyAlignment="1">
      <alignment horizontal="right" vertical="center"/>
    </xf>
    <xf numFmtId="44" fontId="19" fillId="5" borderId="0" xfId="2" applyFont="1" applyFill="1" applyBorder="1" applyAlignment="1">
      <alignment horizontal="right" vertical="center"/>
    </xf>
    <xf numFmtId="0" fontId="51" fillId="5" borderId="0" xfId="0" applyFont="1" applyFill="1" applyAlignment="1">
      <alignment horizontal="left" vertical="center"/>
    </xf>
    <xf numFmtId="10" fontId="19" fillId="5" borderId="0" xfId="3" applyNumberFormat="1" applyFont="1" applyFill="1" applyBorder="1" applyAlignment="1">
      <alignment vertical="center"/>
    </xf>
    <xf numFmtId="0" fontId="50" fillId="5" borderId="0" xfId="0" applyFont="1" applyFill="1" applyAlignment="1">
      <alignment vertical="center"/>
    </xf>
    <xf numFmtId="170" fontId="50" fillId="5" borderId="0" xfId="1" applyNumberFormat="1" applyFont="1" applyFill="1" applyBorder="1" applyAlignment="1">
      <alignment vertical="center"/>
    </xf>
    <xf numFmtId="0" fontId="19" fillId="5" borderId="0" xfId="0" applyFont="1" applyFill="1" applyAlignment="1">
      <alignment horizontal="center" vertical="center"/>
    </xf>
    <xf numFmtId="0" fontId="19" fillId="5" borderId="4" xfId="0" applyFont="1" applyFill="1" applyBorder="1" applyAlignment="1">
      <alignment horizontal="left" vertical="center"/>
    </xf>
    <xf numFmtId="4" fontId="19" fillId="5" borderId="4" xfId="0" applyNumberFormat="1" applyFont="1" applyFill="1" applyBorder="1" applyAlignment="1">
      <alignment vertical="center"/>
    </xf>
    <xf numFmtId="0" fontId="19" fillId="5" borderId="4" xfId="0" applyFont="1" applyFill="1" applyBorder="1" applyAlignment="1">
      <alignment horizontal="right" vertical="center"/>
    </xf>
    <xf numFmtId="43" fontId="50" fillId="5" borderId="4" xfId="0" applyNumberFormat="1" applyFont="1" applyFill="1" applyBorder="1" applyAlignment="1">
      <alignment vertical="center"/>
    </xf>
    <xf numFmtId="0" fontId="17" fillId="5" borderId="4" xfId="0" applyFont="1" applyFill="1" applyBorder="1" applyAlignment="1">
      <alignment horizontal="right" vertical="center"/>
    </xf>
    <xf numFmtId="0" fontId="52" fillId="5" borderId="0" xfId="1" applyNumberFormat="1" applyFont="1" applyFill="1" applyBorder="1" applyAlignment="1">
      <alignment horizontal="left" vertical="center"/>
    </xf>
    <xf numFmtId="43" fontId="0" fillId="0" borderId="0" xfId="0" applyNumberFormat="1" applyAlignment="1">
      <alignment vertical="center"/>
    </xf>
    <xf numFmtId="10" fontId="41" fillId="0" borderId="0" xfId="0" applyNumberFormat="1" applyFont="1" applyAlignment="1">
      <alignment horizontal="center" vertical="center"/>
    </xf>
    <xf numFmtId="9" fontId="41" fillId="0" borderId="0" xfId="0" applyNumberFormat="1" applyFont="1" applyAlignment="1">
      <alignment horizontal="center" vertical="center"/>
    </xf>
    <xf numFmtId="2" fontId="50" fillId="5" borderId="4" xfId="1" applyNumberFormat="1" applyFont="1" applyFill="1" applyBorder="1" applyAlignment="1">
      <alignment vertical="center"/>
    </xf>
    <xf numFmtId="0" fontId="54" fillId="0" borderId="0" xfId="0" applyFont="1" applyAlignment="1">
      <alignment horizontal="center" vertical="center"/>
    </xf>
    <xf numFmtId="10" fontId="44" fillId="16" borderId="0" xfId="3" applyNumberFormat="1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169" fontId="16" fillId="0" borderId="0" xfId="0" applyNumberFormat="1" applyFont="1" applyAlignment="1">
      <alignment horizontal="center" vertical="center"/>
    </xf>
    <xf numFmtId="44" fontId="16" fillId="0" borderId="0" xfId="3" applyNumberFormat="1" applyFont="1" applyFill="1" applyBorder="1" applyAlignment="1">
      <alignment horizontal="center" vertical="center"/>
    </xf>
    <xf numFmtId="44" fontId="16" fillId="0" borderId="0" xfId="0" applyNumberFormat="1" applyFont="1" applyAlignment="1">
      <alignment horizontal="center" vertical="center"/>
    </xf>
    <xf numFmtId="44" fontId="16" fillId="0" borderId="0" xfId="2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44" fontId="53" fillId="5" borderId="0" xfId="2" applyFont="1" applyFill="1" applyBorder="1" applyAlignment="1">
      <alignment horizontal="center" vertical="center"/>
    </xf>
    <xf numFmtId="0" fontId="18" fillId="17" borderId="0" xfId="0" applyFont="1" applyFill="1" applyAlignment="1">
      <alignment horizontal="center" vertical="center" wrapText="1"/>
    </xf>
    <xf numFmtId="0" fontId="26" fillId="5" borderId="0" xfId="0" applyFont="1" applyFill="1" applyAlignment="1">
      <alignment horizontal="left" vertical="center"/>
    </xf>
    <xf numFmtId="171" fontId="18" fillId="17" borderId="0" xfId="0" quotePrefix="1" applyNumberFormat="1" applyFont="1" applyFill="1" applyAlignment="1">
      <alignment horizontal="center" vertical="center"/>
    </xf>
    <xf numFmtId="0" fontId="55" fillId="5" borderId="0" xfId="0" applyFont="1" applyFill="1" applyAlignment="1">
      <alignment horizontal="center" vertical="center" wrapText="1"/>
    </xf>
    <xf numFmtId="0" fontId="56" fillId="5" borderId="0" xfId="0" applyFont="1" applyFill="1" applyAlignment="1">
      <alignment horizontal="center" vertical="center" wrapText="1"/>
    </xf>
    <xf numFmtId="0" fontId="27" fillId="6" borderId="0" xfId="0" applyFont="1" applyFill="1" applyAlignment="1">
      <alignment horizontal="center" vertical="center"/>
    </xf>
    <xf numFmtId="4" fontId="38" fillId="5" borderId="0" xfId="1" applyNumberFormat="1" applyFont="1" applyFill="1" applyBorder="1" applyAlignment="1">
      <alignment horizontal="right" vertical="center"/>
    </xf>
    <xf numFmtId="0" fontId="38" fillId="5" borderId="0" xfId="0" applyFont="1" applyFill="1" applyAlignment="1">
      <alignment horizontal="center" vertical="center"/>
    </xf>
    <xf numFmtId="44" fontId="23" fillId="5" borderId="0" xfId="2" applyFont="1" applyFill="1" applyAlignment="1">
      <alignment horizontal="center" vertical="center"/>
    </xf>
    <xf numFmtId="0" fontId="30" fillId="5" borderId="0" xfId="0" applyFont="1" applyFill="1" applyAlignment="1">
      <alignment horizontal="center" vertical="center"/>
    </xf>
    <xf numFmtId="168" fontId="32" fillId="5" borderId="0" xfId="2" applyNumberFormat="1" applyFont="1" applyFill="1" applyBorder="1" applyAlignment="1">
      <alignment horizontal="center" vertical="center"/>
    </xf>
    <xf numFmtId="44" fontId="32" fillId="5" borderId="0" xfId="2" applyFont="1" applyFill="1" applyBorder="1" applyAlignment="1">
      <alignment horizontal="center" vertical="center"/>
    </xf>
    <xf numFmtId="168" fontId="45" fillId="5" borderId="0" xfId="2" applyNumberFormat="1" applyFont="1" applyFill="1" applyBorder="1" applyAlignment="1">
      <alignment horizontal="center" vertical="center"/>
    </xf>
    <xf numFmtId="44" fontId="45" fillId="5" borderId="0" xfId="2" applyFont="1" applyFill="1" applyBorder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44" fontId="23" fillId="5" borderId="0" xfId="2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25" fillId="7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 wrapText="1"/>
    </xf>
    <xf numFmtId="44" fontId="31" fillId="10" borderId="0" xfId="0" applyNumberFormat="1" applyFont="1" applyFill="1" applyAlignment="1">
      <alignment horizontal="center" vertical="center"/>
    </xf>
    <xf numFmtId="0" fontId="31" fillId="1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4" fillId="0" borderId="0" xfId="0" applyFont="1" applyAlignment="1">
      <alignment horizontal="center" vertical="center"/>
    </xf>
  </cellXfs>
  <cellStyles count="25">
    <cellStyle name="Comma" xfId="1" builtinId="3"/>
    <cellStyle name="Comma [0] 2" xfId="7" xr:uid="{00000000-0005-0000-0000-000001000000}"/>
    <cellStyle name="Comma [0] 2 2" xfId="8" xr:uid="{00000000-0005-0000-0000-000002000000}"/>
    <cellStyle name="Comma 2" xfId="9" xr:uid="{00000000-0005-0000-0000-000003000000}"/>
    <cellStyle name="Comma 2 2" xfId="20" xr:uid="{115642A9-8926-4932-A9CB-9B4E9364A726}"/>
    <cellStyle name="Comma 3" xfId="5" xr:uid="{00000000-0005-0000-0000-000004000000}"/>
    <cellStyle name="Comma 4" xfId="11" xr:uid="{00000000-0005-0000-0000-000005000000}"/>
    <cellStyle name="Comma 5" xfId="12" xr:uid="{00000000-0005-0000-0000-000006000000}"/>
    <cellStyle name="Currency" xfId="2" builtinId="4"/>
    <cellStyle name="Currency [0] 2" xfId="6" xr:uid="{00000000-0005-0000-0000-000008000000}"/>
    <cellStyle name="Currency 2" xfId="21" xr:uid="{D7D31DAA-C0E2-476A-98EF-34A13269575B}"/>
    <cellStyle name="Currency 3" xfId="22" xr:uid="{C2FCAA46-3712-4F0A-90C7-7411915D6D3A}"/>
    <cellStyle name="Currency 4" xfId="23" xr:uid="{999F0E8C-E825-4AF2-BEC7-F4FF9173C0B3}"/>
    <cellStyle name="Currency 5" xfId="24" xr:uid="{BC37C665-CE6D-4B05-862B-0B30F6BBC98A}"/>
    <cellStyle name="Normal" xfId="0" builtinId="0"/>
    <cellStyle name="Normal 2" xfId="13" xr:uid="{B9408F9F-85CA-4941-867E-D56DDF541CAB}"/>
    <cellStyle name="Normal 2 12" xfId="10" xr:uid="{00000000-0005-0000-0000-00000A000000}"/>
    <cellStyle name="Normal 2 2" xfId="15" xr:uid="{CFDA85B8-1A35-4D3F-BA94-C861D6A59A9A}"/>
    <cellStyle name="Normal 2 3" xfId="14" xr:uid="{0A85DB0B-AE3F-4970-888E-39531B88F32C}"/>
    <cellStyle name="Normal 3" xfId="4" xr:uid="{00000000-0005-0000-0000-00000B000000}"/>
    <cellStyle name="Normal 3 2" xfId="16" xr:uid="{91831AB7-74A5-4751-B16A-96EC672EF5E6}"/>
    <cellStyle name="Normal 4" xfId="19" xr:uid="{56E211DC-1F83-4222-8A5C-B4EBB2BFECA9}"/>
    <cellStyle name="Normal 5 2" xfId="17" xr:uid="{346D985E-8505-4B7B-81DA-C0E089A0699C}"/>
    <cellStyle name="Normal 7 2" xfId="18" xr:uid="{4F410168-2DCA-45EB-B7BC-27C4781C79BA}"/>
    <cellStyle name="Percent" xfId="3" builtinId="5"/>
  </cellStyles>
  <dxfs count="27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8080"/>
      <color rgb="FF6A36DE"/>
      <color rgb="FF552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STRIPPING RATIO OB VS</a:t>
            </a:r>
            <a:r>
              <a:rPr lang="en-US" b="1" baseline="0"/>
              <a:t> ORE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MTD'!$A$3</c:f>
              <c:strCache>
                <c:ptCount val="1"/>
                <c:pt idx="0">
                  <c:v>OVERBURDEN REMOVAL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MTD'!$D$3:$O$3</c:f>
              <c:numCache>
                <c:formatCode>_(* #,##0.00_);_(* \(#,##0.00\);_(* "-"??_);_(@_)</c:formatCode>
                <c:ptCount val="12"/>
                <c:pt idx="0">
                  <c:v>20512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0-474E-82E0-E7D21CA6D129}"/>
            </c:ext>
          </c:extLst>
        </c:ser>
        <c:ser>
          <c:idx val="1"/>
          <c:order val="1"/>
          <c:tx>
            <c:strRef>
              <c:f>'SUMMARY MTD'!$A$4</c:f>
              <c:strCache>
                <c:ptCount val="1"/>
                <c:pt idx="0">
                  <c:v>ORE MINING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MTD'!$D$4:$O$4</c:f>
              <c:numCache>
                <c:formatCode>_(* #,##0.00_);_(* \(#,##0.00\);_(* "-"??_);_(@_)</c:formatCode>
                <c:ptCount val="12"/>
                <c:pt idx="0">
                  <c:v>78826.199999999983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0-474E-82E0-E7D21CA6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MTD'!$A$6</c:f>
              <c:strCache>
                <c:ptCount val="1"/>
                <c:pt idx="0">
                  <c:v>STRIPING RATIO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MTD'!$D$6:$O$6</c:f>
              <c:numCache>
                <c:formatCode>_(* #,##0.00_);_(* \(#,##0.00\);_(* "-"??_);_(@_)</c:formatCode>
                <c:ptCount val="12"/>
                <c:pt idx="0">
                  <c:v>0.26021804932877651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C0-474E-82E0-E7D21CA6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871680"/>
        <c:axId val="1440825440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44082544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871680"/>
        <c:crosses val="max"/>
        <c:crossBetween val="between"/>
      </c:valAx>
      <c:catAx>
        <c:axId val="143787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0825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RATIO COST VS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MTD'!$A$17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MTD'!$D$17:$O$17</c:f>
              <c:numCache>
                <c:formatCode>_-[$Rp-3809]* #,##0.00_-;\-[$Rp-3809]* #,##0.00_-;_-[$Rp-3809]* "-"??_-;_-@_-</c:formatCode>
                <c:ptCount val="12"/>
                <c:pt idx="0">
                  <c:v>4002946224.4452925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D-47BD-B961-FE13F4B909A1}"/>
            </c:ext>
          </c:extLst>
        </c:ser>
        <c:ser>
          <c:idx val="1"/>
          <c:order val="1"/>
          <c:tx>
            <c:strRef>
              <c:f>'SUMMARY MTD'!$A$18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MTD'!$D$18:$O$18</c:f>
              <c:numCache>
                <c:formatCode>_-[$Rp-3809]* #,##0.00_-;\-[$Rp-3809]* #,##0.00_-;_-[$Rp-3809]* "-"??_-;_-@_-</c:formatCode>
                <c:ptCount val="12"/>
                <c:pt idx="0">
                  <c:v>9363291340.7999973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D-47BD-B961-FE13F4B90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MTD'!$A$21</c:f>
              <c:strCache>
                <c:ptCount val="1"/>
                <c:pt idx="0">
                  <c:v>PERCENT PROFIT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MTD'!$D$21:$O$21</c:f>
              <c:numCache>
                <c:formatCode>0%</c:formatCode>
                <c:ptCount val="12"/>
                <c:pt idx="0">
                  <c:v>0.57248513596894213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CD-47BD-B961-FE13F4B90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177440"/>
        <c:axId val="1038667888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p-3809]* #,##0.00_-;\-[$Rp-3809]* #,##0.00_-;_-[$Rp-3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0386678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77440"/>
        <c:crosses val="max"/>
        <c:crossBetween val="between"/>
      </c:valAx>
      <c:catAx>
        <c:axId val="110717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6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FUEL RATIO ALL (Liter/Ton)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MTD'!$A$27</c:f>
              <c:strCache>
                <c:ptCount val="1"/>
                <c:pt idx="0">
                  <c:v>Total Fuel Consumption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MTD'!$D$27:$O$27</c:f>
              <c:numCache>
                <c:formatCode>#,##0.00</c:formatCode>
                <c:ptCount val="12"/>
                <c:pt idx="0">
                  <c:v>140386.8047679349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6-4DCC-B1C7-837CF1C9F530}"/>
            </c:ext>
          </c:extLst>
        </c:ser>
        <c:ser>
          <c:idx val="1"/>
          <c:order val="1"/>
          <c:tx>
            <c:strRef>
              <c:f>'SUMMARY MTD'!$A$4</c:f>
              <c:strCache>
                <c:ptCount val="1"/>
                <c:pt idx="0">
                  <c:v>ORE MINING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MTD'!$D$4:$O$4</c:f>
              <c:numCache>
                <c:formatCode>_(* #,##0.00_);_(* \(#,##0.00\);_(* "-"??_);_(@_)</c:formatCode>
                <c:ptCount val="12"/>
                <c:pt idx="0">
                  <c:v>78826.199999999983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6-4DCC-B1C7-837CF1C9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MTD'!$A$22</c:f>
              <c:strCache>
                <c:ptCount val="1"/>
                <c:pt idx="0">
                  <c:v>FUEL RATIO (L/Ton)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MTD'!$D$22:$O$22</c:f>
              <c:numCache>
                <c:formatCode>_(* #,##0.00_);_(* \(#,##0.00\);_(* "-"??_);_(@_)</c:formatCode>
                <c:ptCount val="12"/>
                <c:pt idx="0">
                  <c:v>1.7809662874518235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D6-4DCC-B1C7-837CF1C9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122752"/>
        <c:axId val="1426868560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42686856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22752"/>
        <c:crosses val="max"/>
        <c:crossBetween val="between"/>
      </c:valAx>
      <c:catAx>
        <c:axId val="144612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6868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 / TON ORE (USD/Ton)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MTD'!$A$30</c:f>
              <c:strCache>
                <c:ptCount val="1"/>
                <c:pt idx="0">
                  <c:v>( USD / Ton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MTD'!$D$30:$O$30</c:f>
              <c:numCache>
                <c:formatCode>_([$$-409]* #,##0.00_);_([$$-409]* \(#,##0.00\);_([$$-409]* "-"??_);_(@_)</c:formatCode>
                <c:ptCount val="12"/>
                <c:pt idx="0">
                  <c:v>3.420118912248463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7-479A-8E9A-8FBD7C20E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ACHIEVEMENT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MTD'!$A$7</c:f>
              <c:strCache>
                <c:ptCount val="1"/>
                <c:pt idx="0">
                  <c:v>ACH % OVERBURDEN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MTD'!$D$7:$O$7</c:f>
              <c:numCache>
                <c:formatCode>0.00%</c:formatCode>
                <c:ptCount val="12"/>
                <c:pt idx="0">
                  <c:v>1.1016869043629207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0-474E-82E0-E7D21CA6D129}"/>
            </c:ext>
          </c:extLst>
        </c:ser>
        <c:ser>
          <c:idx val="1"/>
          <c:order val="1"/>
          <c:tx>
            <c:strRef>
              <c:f>'SUMMARY MTD'!$A$8</c:f>
              <c:strCache>
                <c:ptCount val="1"/>
                <c:pt idx="0">
                  <c:v>ACH % ORE MINING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MTD'!$D$8:$O$8</c:f>
              <c:numCache>
                <c:formatCode>0.00%</c:formatCode>
                <c:ptCount val="12"/>
                <c:pt idx="0">
                  <c:v>1.260908391125221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0-474E-82E0-E7D21CA6D129}"/>
            </c:ext>
          </c:extLst>
        </c:ser>
        <c:ser>
          <c:idx val="2"/>
          <c:order val="2"/>
          <c:tx>
            <c:strRef>
              <c:f>'SUMMARY MTD'!$A$9</c:f>
              <c:strCache>
                <c:ptCount val="1"/>
                <c:pt idx="0">
                  <c:v>ACH % QUARRY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MTD'!$D$9:$O$9</c:f>
              <c:numCache>
                <c:formatCode>0.00%</c:formatCode>
                <c:ptCount val="12"/>
                <c:pt idx="0">
                  <c:v>1.8784857390841045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C0-474E-82E0-E7D21CA6D129}"/>
            </c:ext>
          </c:extLst>
        </c:ser>
        <c:ser>
          <c:idx val="3"/>
          <c:order val="3"/>
          <c:tx>
            <c:strRef>
              <c:f>'SUMMARY MTD'!$A$23</c:f>
              <c:strCache>
                <c:ptCount val="1"/>
                <c:pt idx="0">
                  <c:v>ACH % FUEL RATIO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MTD'!$D$23:$O$23</c:f>
              <c:numCache>
                <c:formatCode>0.00%</c:formatCode>
                <c:ptCount val="12"/>
                <c:pt idx="0">
                  <c:v>1.0344584547404849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C-474F-9A30-FE87E628C430}"/>
            </c:ext>
          </c:extLst>
        </c:ser>
        <c:ser>
          <c:idx val="4"/>
          <c:order val="4"/>
          <c:tx>
            <c:strRef>
              <c:f>'SUMMARY MTD'!$A$28</c:f>
              <c:strCache>
                <c:ptCount val="1"/>
                <c:pt idx="0">
                  <c:v>ACH % FUEL CONSUMPTION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MTD'!$D$28:$O$28</c:f>
              <c:numCache>
                <c:formatCode>0.00%</c:formatCode>
                <c:ptCount val="12"/>
                <c:pt idx="0">
                  <c:v>0.82040730478234458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FC-474F-9A30-FE87E628C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catAx>
        <c:axId val="111570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Persentase 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254121</xdr:colOff>
      <xdr:row>4</xdr:row>
      <xdr:rowOff>46084</xdr:rowOff>
    </xdr:from>
    <xdr:to>
      <xdr:col>9</xdr:col>
      <xdr:colOff>912706</xdr:colOff>
      <xdr:row>6</xdr:row>
      <xdr:rowOff>91728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57848B-DEC2-46E5-B83C-4AE070041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5814" b="93605" l="6667" r="94815">
                      <a14:foregroundMark x1="23704" y1="22093" x2="23704" y2="22093"/>
                      <a14:foregroundMark x1="36667" y1="45349" x2="36667" y2="45349"/>
                      <a14:foregroundMark x1="42222" y1="61628" x2="42222" y2="61628"/>
                      <a14:foregroundMark x1="55926" y1="28488" x2="55926" y2="28488"/>
                      <a14:foregroundMark x1="68889" y1="11628" x2="68889" y2="11628"/>
                      <a14:foregroundMark x1="41852" y1="38372" x2="41852" y2="38372"/>
                      <a14:foregroundMark x1="8148" y1="87209" x2="8148" y2="87209"/>
                      <a14:foregroundMark x1="7407" y1="94767" x2="7407" y2="94767"/>
                      <a14:foregroundMark x1="60741" y1="27326" x2="60741" y2="27326"/>
                      <a14:foregroundMark x1="80370" y1="13372" x2="80370" y2="13372"/>
                      <a14:foregroundMark x1="84815" y1="11047" x2="84815" y2="11047"/>
                      <a14:foregroundMark x1="93333" y1="6395" x2="93333" y2="6395"/>
                      <a14:foregroundMark x1="94815" y1="5814" x2="94815" y2="5814"/>
                    </a14:backgroundRemoval>
                  </a14:imgEffect>
                  <a14:imgEffect>
                    <a14:artisticCrisscrossEtching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0001" y="777604"/>
          <a:ext cx="658585" cy="419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30</xdr:row>
      <xdr:rowOff>148590</xdr:rowOff>
    </xdr:from>
    <xdr:to>
      <xdr:col>4</xdr:col>
      <xdr:colOff>550333</xdr:colOff>
      <xdr:row>48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60D47-39D8-46B6-A710-36E759EB5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658707</xdr:colOff>
      <xdr:row>31</xdr:row>
      <xdr:rowOff>0</xdr:rowOff>
    </xdr:from>
    <xdr:to>
      <xdr:col>8</xdr:col>
      <xdr:colOff>154094</xdr:colOff>
      <xdr:row>48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0B8435-6A4F-415D-848A-09CA29204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276014</xdr:colOff>
      <xdr:row>31</xdr:row>
      <xdr:rowOff>0</xdr:rowOff>
    </xdr:from>
    <xdr:to>
      <xdr:col>11</xdr:col>
      <xdr:colOff>856827</xdr:colOff>
      <xdr:row>48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FBE167-C884-4065-9E3D-5EEC70EAE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978747</xdr:colOff>
      <xdr:row>31</xdr:row>
      <xdr:rowOff>0</xdr:rowOff>
    </xdr:from>
    <xdr:to>
      <xdr:col>15</xdr:col>
      <xdr:colOff>471086</xdr:colOff>
      <xdr:row>48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5869EC-AB55-49C6-AD2B-DDCC4A0D2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22859</xdr:colOff>
      <xdr:row>49</xdr:row>
      <xdr:rowOff>13124</xdr:rowOff>
    </xdr:from>
    <xdr:to>
      <xdr:col>9</xdr:col>
      <xdr:colOff>575733</xdr:colOff>
      <xdr:row>66</xdr:row>
      <xdr:rowOff>24554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E36050-DE2C-FC1C-D098-18B1B8F46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Data%20Tambang/Laporan%20Produksi/Report_2021/CV_APP/cost%20production%20report%20APP/07_cost%20production%20report%20juli%20APP%20-%20KB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REPORT unit HE"/>
      <sheetName val="REPORT unit DT HAUL"/>
      <sheetName val="REPORT unit LV &amp; support"/>
      <sheetName val="HOUR METER"/>
      <sheetName val="FUEL UNIT"/>
      <sheetName val="SUMMARY MTD"/>
      <sheetName val="list rate unit"/>
    </sheetNames>
    <sheetDataSet>
      <sheetData sheetId="0">
        <row r="21">
          <cell r="G21" t="str">
            <v>( USD / Ton )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D79892-E857-4076-8D9A-E3A02871E4FC}" name="Table2" displayName="Table2" ref="A3:K28" totalsRowShown="0" headerRowDxfId="26" dataDxfId="25">
  <autoFilter ref="A3:K28" xr:uid="{C21316D5-582A-4B4E-924D-E90E6148CE3A}"/>
  <tableColumns count="11">
    <tableColumn id="1" xr3:uid="{5C4A96E9-13BF-420C-8C4F-2824DDA0EEA6}" name="NO" dataDxfId="24"/>
    <tableColumn id="2" xr3:uid="{A30811DE-1B25-4EA9-BFF9-9FCB5EAB9D3F}" name="UNIT" dataDxfId="23"/>
    <tableColumn id="3" xr3:uid="{90FFD443-AE37-456F-9D47-036A2B58CD4C}" name="Ltr/Hr" dataDxfId="22"/>
    <tableColumn id="4" xr3:uid="{FF157741-D8C7-41B9-A25C-31DBC7DCD9C7}" name="Rent/Hr" dataDxfId="21"/>
    <tableColumn id="5" xr3:uid="{232C8140-C725-4045-BAD7-6F91599E87EB}" name="Column1" dataDxfId="20"/>
    <tableColumn id="6" xr3:uid="{0367BD61-51E8-463C-8438-0A60CD60EFB1}" name="Column2" dataDxfId="19"/>
    <tableColumn id="7" xr3:uid="{E9FE6373-CA0C-4E51-A94D-4927FFF53E43}" name="Description" dataDxfId="18"/>
    <tableColumn id="9" xr3:uid="{D9F902DE-079B-4658-A26E-089747F06395}" name="Column4" dataDxfId="17"/>
    <tableColumn id="10" xr3:uid="{C56AEA91-38B0-4BB8-AA04-C3D1091FE881}" name="Column5" dataDxfId="16"/>
    <tableColumn id="11" xr3:uid="{56B66294-CCAF-4FC8-87AE-3080125B8E07}" name="Column6" dataDxfId="15"/>
    <tableColumn id="8" xr3:uid="{C1445579-8B84-4BA2-886C-BC0FD60B2383}" name="Column7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F9EA9A-3958-40A9-8F06-B41511A41CA6}" name="Table3" displayName="Table3" ref="A31:C36" totalsRowShown="0" headerRowDxfId="13" dataDxfId="11" headerRowBorderDxfId="12">
  <autoFilter ref="A31:C36" xr:uid="{964D139A-6BF5-4B3E-8719-4E4AEEB109EA}"/>
  <tableColumns count="3">
    <tableColumn id="1" xr3:uid="{821CC7F3-E8BB-4F1A-8856-A803DAEEAAE2}" name="NO" dataDxfId="10"/>
    <tableColumn id="2" xr3:uid="{9511BAF7-5327-483F-B8B9-37B18C6674E9}" name="UNIT" dataDxfId="9"/>
    <tableColumn id="3" xr3:uid="{8A5D4DB1-E8BE-4B48-8CB1-50DF43EA00D2}" name="$ / KM" dataDxfId="8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D71B-CA4D-46FD-AEAF-17793DBABB3B}">
  <sheetPr>
    <tabColor rgb="FFFF0000"/>
  </sheetPr>
  <dimension ref="B2:L39"/>
  <sheetViews>
    <sheetView topLeftCell="A4" zoomScale="85" zoomScaleNormal="85" workbookViewId="0">
      <selection activeCell="O21" sqref="O21"/>
    </sheetView>
  </sheetViews>
  <sheetFormatPr baseColWidth="10" defaultColWidth="8.83203125" defaultRowHeight="15" x14ac:dyDescent="0.2"/>
  <cols>
    <col min="1" max="1" width="8.83203125" style="12"/>
    <col min="2" max="2" width="5.83203125" style="12" customWidth="1"/>
    <col min="3" max="3" width="31.5" style="12" bestFit="1" customWidth="1"/>
    <col min="4" max="5" width="14.83203125" style="12" customWidth="1"/>
    <col min="6" max="6" width="13.83203125" style="12" customWidth="1"/>
    <col min="7" max="7" width="3.6640625" style="12" customWidth="1"/>
    <col min="8" max="8" width="28.1640625" style="12" customWidth="1"/>
    <col min="9" max="9" width="10.5" style="12" customWidth="1"/>
    <col min="10" max="10" width="17.6640625" style="12" customWidth="1"/>
    <col min="11" max="11" width="9.1640625" style="12" customWidth="1"/>
    <col min="12" max="12" width="5.83203125" style="12" customWidth="1"/>
    <col min="13" max="13" width="8.83203125" style="12"/>
    <col min="14" max="14" width="13.5" style="12" customWidth="1"/>
    <col min="15" max="16384" width="8.83203125" style="12"/>
  </cols>
  <sheetData>
    <row r="2" spans="2:12" ht="20" customHeight="1" x14ac:dyDescent="0.2">
      <c r="B2" s="182" t="s">
        <v>354</v>
      </c>
      <c r="C2" s="182"/>
      <c r="D2" s="182"/>
      <c r="E2" s="182"/>
      <c r="F2" s="182"/>
      <c r="G2" s="182"/>
      <c r="H2" s="182"/>
      <c r="I2" s="182"/>
      <c r="J2" s="182"/>
      <c r="K2" s="182"/>
      <c r="L2" s="182"/>
    </row>
    <row r="3" spans="2:12" ht="20" customHeight="1" x14ac:dyDescent="0.2"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</row>
    <row r="4" spans="2:12" x14ac:dyDescent="0.2"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15" customHeight="1" x14ac:dyDescent="0.2">
      <c r="B5" s="105"/>
      <c r="C5" s="177" t="s">
        <v>316</v>
      </c>
      <c r="D5" s="179" t="s">
        <v>355</v>
      </c>
      <c r="E5" s="179"/>
      <c r="F5" s="179"/>
      <c r="G5" s="105"/>
      <c r="H5" s="178" t="s">
        <v>297</v>
      </c>
      <c r="I5" s="178"/>
      <c r="J5" s="178"/>
      <c r="K5" s="105"/>
      <c r="L5" s="105"/>
    </row>
    <row r="6" spans="2:12" ht="14.5" customHeight="1" x14ac:dyDescent="0.2">
      <c r="B6" s="105"/>
      <c r="C6" s="177"/>
      <c r="D6" s="179"/>
      <c r="E6" s="179"/>
      <c r="F6" s="179"/>
      <c r="G6" s="105"/>
      <c r="H6" s="178"/>
      <c r="I6" s="178"/>
      <c r="J6" s="178"/>
      <c r="K6" s="105"/>
      <c r="L6" s="105"/>
    </row>
    <row r="7" spans="2:12" ht="14.5" customHeight="1" x14ac:dyDescent="0.2">
      <c r="B7" s="105"/>
      <c r="C7" s="177"/>
      <c r="D7" s="179"/>
      <c r="E7" s="179"/>
      <c r="F7" s="179"/>
      <c r="G7" s="105"/>
      <c r="H7" s="178"/>
      <c r="I7" s="178"/>
      <c r="J7" s="178"/>
      <c r="K7" s="105"/>
      <c r="L7" s="105"/>
    </row>
    <row r="8" spans="2:12" ht="16" x14ac:dyDescent="0.2">
      <c r="B8" s="105"/>
      <c r="C8" s="105"/>
      <c r="D8" s="105"/>
      <c r="E8" s="105"/>
      <c r="F8" s="105"/>
      <c r="G8" s="105"/>
      <c r="H8" s="107"/>
      <c r="I8" s="107"/>
      <c r="J8" s="107"/>
      <c r="K8" s="105"/>
      <c r="L8" s="105"/>
    </row>
    <row r="9" spans="2:12" ht="16" x14ac:dyDescent="0.2">
      <c r="B9" s="105"/>
      <c r="C9" s="105"/>
      <c r="D9" s="143" t="s">
        <v>306</v>
      </c>
      <c r="E9" s="144" t="s">
        <v>307</v>
      </c>
      <c r="F9" s="143" t="s">
        <v>308</v>
      </c>
      <c r="G9" s="105"/>
      <c r="H9" s="107" t="s">
        <v>73</v>
      </c>
      <c r="I9" s="107"/>
      <c r="J9" s="113">
        <v>31</v>
      </c>
      <c r="K9" s="110" t="s">
        <v>311</v>
      </c>
      <c r="L9" s="105"/>
    </row>
    <row r="10" spans="2:12" ht="16" x14ac:dyDescent="0.2">
      <c r="B10" s="105"/>
      <c r="C10" s="107" t="s">
        <v>309</v>
      </c>
      <c r="D10" s="145">
        <v>18618.72</v>
      </c>
      <c r="E10" s="146">
        <v>20512</v>
      </c>
      <c r="F10" s="147">
        <f>IFERROR(E10/D10,0)</f>
        <v>1.1016869043629207</v>
      </c>
      <c r="G10" s="105"/>
      <c r="H10" s="107" t="s">
        <v>74</v>
      </c>
      <c r="I10" s="107"/>
      <c r="J10" s="113">
        <f>9*J9</f>
        <v>279</v>
      </c>
      <c r="K10" s="110" t="s">
        <v>312</v>
      </c>
      <c r="L10" s="105"/>
    </row>
    <row r="11" spans="2:12" ht="16" x14ac:dyDescent="0.2">
      <c r="B11" s="105"/>
      <c r="C11" s="107" t="s">
        <v>75</v>
      </c>
      <c r="D11" s="148">
        <v>62515.405999999995</v>
      </c>
      <c r="E11" s="149">
        <f>'REPORT unit DT HAUL'!D33</f>
        <v>78826.199999999983</v>
      </c>
      <c r="F11" s="150">
        <f t="shared" ref="F11:F12" si="0">E11/D11</f>
        <v>1.260908391125221</v>
      </c>
      <c r="G11" s="105"/>
      <c r="H11" s="107" t="s">
        <v>314</v>
      </c>
      <c r="I11" s="109"/>
      <c r="J11" s="151">
        <v>0.9</v>
      </c>
      <c r="K11" s="110" t="s">
        <v>313</v>
      </c>
      <c r="L11" s="105"/>
    </row>
    <row r="12" spans="2:12" ht="16" x14ac:dyDescent="0.2">
      <c r="B12" s="105"/>
      <c r="C12" s="107" t="s">
        <v>180</v>
      </c>
      <c r="D12" s="148">
        <v>2234.2464</v>
      </c>
      <c r="E12" s="149">
        <v>4197</v>
      </c>
      <c r="F12" s="150">
        <f t="shared" si="0"/>
        <v>1.8784857390841045</v>
      </c>
      <c r="G12" s="105"/>
      <c r="H12" s="107"/>
      <c r="I12" s="109"/>
      <c r="J12" s="151"/>
      <c r="K12" s="110"/>
      <c r="L12" s="105"/>
    </row>
    <row r="13" spans="2:12" ht="16" x14ac:dyDescent="0.2">
      <c r="B13" s="105"/>
      <c r="C13" s="107" t="s">
        <v>77</v>
      </c>
      <c r="D13" s="148">
        <f>D10/D11</f>
        <v>0.29782610705591517</v>
      </c>
      <c r="E13" s="149">
        <f>E10/E11</f>
        <v>0.26021804932877651</v>
      </c>
      <c r="F13" s="150">
        <f>D13/E13</f>
        <v>1.1445251696573213</v>
      </c>
      <c r="G13" s="105"/>
      <c r="H13" s="107" t="s">
        <v>85</v>
      </c>
      <c r="I13" s="110"/>
      <c r="J13" s="152">
        <v>0</v>
      </c>
      <c r="K13" s="152"/>
      <c r="L13" s="105"/>
    </row>
    <row r="14" spans="2:12" ht="16" x14ac:dyDescent="0.2">
      <c r="B14" s="105"/>
      <c r="C14" s="107" t="s">
        <v>310</v>
      </c>
      <c r="D14" s="167">
        <f>J17/D11</f>
        <v>1.8423356336623116</v>
      </c>
      <c r="E14" s="149">
        <f>J18/E11</f>
        <v>1.7809662874518235</v>
      </c>
      <c r="F14" s="150">
        <f>D14/E14</f>
        <v>1.0344584547404849</v>
      </c>
      <c r="G14" s="105"/>
      <c r="H14" s="153" t="s">
        <v>303</v>
      </c>
      <c r="I14" s="110"/>
      <c r="J14" s="108"/>
      <c r="K14" s="105"/>
      <c r="L14" s="105"/>
    </row>
    <row r="15" spans="2:12" ht="16" x14ac:dyDescent="0.2">
      <c r="B15" s="105"/>
      <c r="C15" s="180" t="s">
        <v>358</v>
      </c>
      <c r="D15" s="181"/>
      <c r="E15" s="181"/>
      <c r="F15" s="181"/>
      <c r="G15" s="105"/>
      <c r="H15" s="153"/>
      <c r="I15" s="110"/>
      <c r="J15" s="108"/>
      <c r="K15" s="105"/>
      <c r="L15" s="105"/>
    </row>
    <row r="16" spans="2:12" ht="22.75" customHeight="1" x14ac:dyDescent="0.2">
      <c r="B16" s="105"/>
      <c r="C16" s="181"/>
      <c r="D16" s="181"/>
      <c r="E16" s="181"/>
      <c r="F16" s="181"/>
      <c r="G16" s="105"/>
      <c r="H16" s="153"/>
      <c r="I16" s="110"/>
      <c r="J16" s="108"/>
      <c r="K16" s="105"/>
      <c r="L16" s="105"/>
    </row>
    <row r="17" spans="2:12" ht="16" x14ac:dyDescent="0.2">
      <c r="B17" s="105"/>
      <c r="C17" s="107" t="s">
        <v>323</v>
      </c>
      <c r="D17" s="155"/>
      <c r="E17" s="156"/>
      <c r="F17" s="154"/>
      <c r="G17" s="105"/>
      <c r="H17" s="191" t="s">
        <v>139</v>
      </c>
      <c r="I17" s="158" t="s">
        <v>306</v>
      </c>
      <c r="J17" s="159">
        <v>115174.36012666667</v>
      </c>
      <c r="K17" s="160" t="s">
        <v>140</v>
      </c>
      <c r="L17" s="113"/>
    </row>
    <row r="18" spans="2:12" ht="16" x14ac:dyDescent="0.2">
      <c r="B18" s="105"/>
      <c r="C18" s="107" t="s">
        <v>324</v>
      </c>
      <c r="D18" s="161">
        <v>63.199999999999996</v>
      </c>
      <c r="E18" s="149">
        <v>58.396141975308637</v>
      </c>
      <c r="F18" s="150">
        <f t="shared" ref="F18" si="1">E18/D18</f>
        <v>0.92398958821690891</v>
      </c>
      <c r="G18" s="105"/>
      <c r="H18" s="191"/>
      <c r="I18" s="158" t="s">
        <v>307</v>
      </c>
      <c r="J18" s="159">
        <f>'REPORT unit OB'!G21+'REPORT unit QUARRY'!G20+'REPORT unit DEVELOP'!G12+'REPORT unit ORE GETTING'!G21+'REPORT unit DT HAUL'!H33+'REPORT unit LV &amp; support'!E10</f>
        <v>140386.8047679349</v>
      </c>
      <c r="K18" s="162" t="s">
        <v>140</v>
      </c>
      <c r="L18" s="105"/>
    </row>
    <row r="19" spans="2:12" ht="16" x14ac:dyDescent="0.2">
      <c r="B19" s="105"/>
      <c r="C19" s="107"/>
      <c r="D19" s="107"/>
      <c r="E19" s="111"/>
      <c r="F19" s="105"/>
      <c r="G19" s="105"/>
      <c r="H19" s="191"/>
      <c r="I19" s="158" t="s">
        <v>308</v>
      </c>
      <c r="J19" s="150">
        <f>J17/J18</f>
        <v>0.82040730478234458</v>
      </c>
      <c r="K19" s="162"/>
      <c r="L19" s="105"/>
    </row>
    <row r="20" spans="2:12" ht="8" customHeight="1" x14ac:dyDescent="0.2">
      <c r="B20" s="105"/>
      <c r="C20" s="107"/>
      <c r="D20" s="107"/>
      <c r="E20" s="111"/>
      <c r="F20" s="105"/>
      <c r="G20" s="105"/>
      <c r="H20" s="157"/>
      <c r="I20" s="113"/>
      <c r="J20" s="116"/>
      <c r="K20" s="110"/>
      <c r="L20" s="105"/>
    </row>
    <row r="21" spans="2:12" ht="19" x14ac:dyDescent="0.2">
      <c r="B21" s="105"/>
      <c r="C21" s="114" t="s">
        <v>168</v>
      </c>
      <c r="D21" s="114"/>
      <c r="E21" s="115"/>
      <c r="F21" s="105"/>
      <c r="G21" s="105"/>
      <c r="H21" s="163" t="s">
        <v>315</v>
      </c>
      <c r="I21" s="110"/>
      <c r="J21" s="116"/>
      <c r="K21" s="105"/>
      <c r="L21" s="105"/>
    </row>
    <row r="22" spans="2:12" ht="16" x14ac:dyDescent="0.2">
      <c r="B22" s="105"/>
      <c r="C22" s="117" t="s">
        <v>169</v>
      </c>
      <c r="D22" s="176">
        <f>'REPORT unit OB'!J21</f>
        <v>769281224.44529259</v>
      </c>
      <c r="E22" s="176"/>
      <c r="F22" s="176"/>
      <c r="G22" s="105"/>
      <c r="H22" s="107" t="s">
        <v>178</v>
      </c>
      <c r="I22" s="119">
        <f>J22/$J$30</f>
        <v>0.19217875567436474</v>
      </c>
      <c r="J22" s="120">
        <f>D22/E11</f>
        <v>9759.2072742983019</v>
      </c>
      <c r="K22" s="121">
        <f>J22/$J$32</f>
        <v>0.65727419681427146</v>
      </c>
      <c r="L22" s="121"/>
    </row>
    <row r="23" spans="2:12" ht="16" x14ac:dyDescent="0.2">
      <c r="B23" s="105"/>
      <c r="C23" s="117" t="s">
        <v>170</v>
      </c>
      <c r="D23" s="176">
        <f>'REPORT unit QUARRY'!J20</f>
        <v>304000000</v>
      </c>
      <c r="E23" s="176"/>
      <c r="F23" s="176"/>
      <c r="G23" s="105"/>
      <c r="H23" s="107" t="s">
        <v>179</v>
      </c>
      <c r="I23" s="119">
        <f t="shared" ref="I23:I27" si="2">J23/$J$30</f>
        <v>7.5944062936325538E-2</v>
      </c>
      <c r="J23" s="120">
        <f>D23/E11</f>
        <v>3856.5857544826476</v>
      </c>
      <c r="K23" s="121">
        <f t="shared" ref="K23:K27" si="3">J23/$J$32</f>
        <v>0.25973772592151451</v>
      </c>
      <c r="L23" s="121"/>
    </row>
    <row r="24" spans="2:12" ht="16" x14ac:dyDescent="0.2">
      <c r="B24" s="105"/>
      <c r="C24" s="117" t="s">
        <v>171</v>
      </c>
      <c r="D24" s="176">
        <f>'REPORT unit DEVELOP'!J12</f>
        <v>0</v>
      </c>
      <c r="E24" s="176"/>
      <c r="F24" s="176"/>
      <c r="G24" s="105"/>
      <c r="H24" s="107" t="s">
        <v>174</v>
      </c>
      <c r="I24" s="119">
        <f t="shared" si="2"/>
        <v>0</v>
      </c>
      <c r="J24" s="120">
        <f>D24/E11</f>
        <v>0</v>
      </c>
      <c r="K24" s="121">
        <f t="shared" si="3"/>
        <v>0</v>
      </c>
      <c r="L24" s="121"/>
    </row>
    <row r="25" spans="2:12" ht="16" x14ac:dyDescent="0.2">
      <c r="B25" s="105"/>
      <c r="C25" s="117" t="s">
        <v>172</v>
      </c>
      <c r="D25" s="176">
        <f>'REPORT unit ORE GETTING'!J21</f>
        <v>493455000</v>
      </c>
      <c r="E25" s="176"/>
      <c r="F25" s="176"/>
      <c r="G25" s="105"/>
      <c r="H25" s="107" t="s">
        <v>175</v>
      </c>
      <c r="I25" s="119">
        <f t="shared" si="2"/>
        <v>0.12327295255343593</v>
      </c>
      <c r="J25" s="120">
        <f>D25/E11</f>
        <v>6260.0379061784042</v>
      </c>
      <c r="K25" s="121">
        <f t="shared" si="3"/>
        <v>0.42160815639671367</v>
      </c>
      <c r="L25" s="121"/>
    </row>
    <row r="26" spans="2:12" ht="16" x14ac:dyDescent="0.2">
      <c r="B26" s="105"/>
      <c r="C26" s="117" t="s">
        <v>173</v>
      </c>
      <c r="D26" s="176">
        <f>'REPORT unit DT HAUL'!M33</f>
        <v>2436000000</v>
      </c>
      <c r="E26" s="176"/>
      <c r="F26" s="176"/>
      <c r="G26" s="105"/>
      <c r="H26" s="107" t="s">
        <v>176</v>
      </c>
      <c r="I26" s="119">
        <f t="shared" si="2"/>
        <v>0.60855176747660866</v>
      </c>
      <c r="J26" s="120">
        <f>D26/E11</f>
        <v>30903.430585262267</v>
      </c>
      <c r="K26" s="121">
        <f t="shared" si="3"/>
        <v>2.0813194090289779</v>
      </c>
      <c r="L26" s="121"/>
    </row>
    <row r="27" spans="2:12" ht="16" x14ac:dyDescent="0.2">
      <c r="B27" s="105"/>
      <c r="C27" s="117" t="s">
        <v>81</v>
      </c>
      <c r="D27" s="176">
        <f>'REPORT unit LV &amp; support'!H10</f>
        <v>210000</v>
      </c>
      <c r="E27" s="176"/>
      <c r="F27" s="176"/>
      <c r="G27" s="105"/>
      <c r="H27" s="107" t="s">
        <v>177</v>
      </c>
      <c r="I27" s="119">
        <f t="shared" si="2"/>
        <v>5.2461359265224881E-5</v>
      </c>
      <c r="J27" s="120">
        <f>D27/E11</f>
        <v>2.6640888435570922</v>
      </c>
      <c r="K27" s="121">
        <f t="shared" si="3"/>
        <v>1.7942408698525675E-4</v>
      </c>
      <c r="L27" s="121"/>
    </row>
    <row r="28" spans="2:12" ht="16" x14ac:dyDescent="0.2">
      <c r="B28" s="105"/>
      <c r="C28" s="117"/>
      <c r="D28" s="117"/>
      <c r="E28" s="118"/>
      <c r="F28" s="105"/>
      <c r="G28" s="105"/>
      <c r="H28" s="112"/>
      <c r="I28" s="122">
        <f>SUM(I22:I27)</f>
        <v>1</v>
      </c>
      <c r="J28" s="123">
        <f t="shared" ref="J28:K28" si="4">SUM(J22:J27)</f>
        <v>50781.925609065183</v>
      </c>
      <c r="K28" s="124">
        <f t="shared" si="4"/>
        <v>3.420118912248463</v>
      </c>
      <c r="L28" s="124"/>
    </row>
    <row r="29" spans="2:12" ht="16" x14ac:dyDescent="0.2">
      <c r="B29" s="105"/>
      <c r="C29" s="125"/>
      <c r="D29" s="125"/>
      <c r="E29" s="126"/>
      <c r="F29" s="105"/>
      <c r="G29" s="105"/>
      <c r="H29" s="127"/>
      <c r="I29" s="119"/>
      <c r="J29" s="128"/>
      <c r="K29" s="129"/>
      <c r="L29" s="129"/>
    </row>
    <row r="30" spans="2:12" ht="19" x14ac:dyDescent="0.2">
      <c r="B30" s="105"/>
      <c r="C30" s="130" t="s">
        <v>46</v>
      </c>
      <c r="D30" s="192">
        <f>SUM(D22:F27)</f>
        <v>4002946224.4452925</v>
      </c>
      <c r="E30" s="192"/>
      <c r="F30" s="192"/>
      <c r="G30" s="131"/>
      <c r="H30" s="127" t="s">
        <v>93</v>
      </c>
      <c r="I30" s="132"/>
      <c r="J30" s="190">
        <f>D30/E11</f>
        <v>50781.925609065176</v>
      </c>
      <c r="K30" s="190"/>
      <c r="L30" s="129"/>
    </row>
    <row r="31" spans="2:12" ht="19" x14ac:dyDescent="0.2">
      <c r="B31" s="105"/>
      <c r="C31" s="130" t="s">
        <v>49</v>
      </c>
      <c r="D31" s="185">
        <f>E11*(J33*J32)</f>
        <v>9363291340.7999973</v>
      </c>
      <c r="E31" s="185"/>
      <c r="F31" s="185"/>
      <c r="G31" s="131"/>
      <c r="H31" s="127" t="s">
        <v>83</v>
      </c>
      <c r="I31" s="132"/>
      <c r="J31" s="189">
        <f>J30/J32</f>
        <v>3.420118912248463</v>
      </c>
      <c r="K31" s="189"/>
      <c r="L31" s="133"/>
    </row>
    <row r="32" spans="2:12" ht="19" x14ac:dyDescent="0.2">
      <c r="B32" s="105"/>
      <c r="C32" s="130"/>
      <c r="D32" s="185"/>
      <c r="E32" s="185"/>
      <c r="F32" s="185"/>
      <c r="G32" s="131"/>
      <c r="H32" s="134" t="s">
        <v>78</v>
      </c>
      <c r="I32" s="135"/>
      <c r="J32" s="188">
        <v>14848</v>
      </c>
      <c r="K32" s="188"/>
      <c r="L32" s="105"/>
    </row>
    <row r="33" spans="2:12" ht="19" x14ac:dyDescent="0.2">
      <c r="B33" s="105"/>
      <c r="C33" s="184" t="s">
        <v>79</v>
      </c>
      <c r="D33" s="183">
        <f>D31-D30</f>
        <v>5360345116.3547049</v>
      </c>
      <c r="E33" s="183"/>
      <c r="F33" s="183"/>
      <c r="G33" s="105"/>
      <c r="H33" s="134" t="s">
        <v>84</v>
      </c>
      <c r="I33" s="135"/>
      <c r="J33" s="187">
        <v>8</v>
      </c>
      <c r="K33" s="187"/>
      <c r="L33" s="105"/>
    </row>
    <row r="34" spans="2:12" ht="19" x14ac:dyDescent="0.2">
      <c r="B34" s="105"/>
      <c r="C34" s="184"/>
      <c r="D34" s="183"/>
      <c r="E34" s="183"/>
      <c r="F34" s="183"/>
      <c r="G34" s="105"/>
      <c r="H34" s="134"/>
      <c r="I34" s="135"/>
      <c r="J34" s="136"/>
      <c r="K34" s="105"/>
      <c r="L34" s="105"/>
    </row>
    <row r="35" spans="2:12" ht="14.5" customHeight="1" x14ac:dyDescent="0.2">
      <c r="B35" s="186" t="str">
        <f>IF(D31&lt;D30,("….RUGI …..!!!!!"),("OKE….."))</f>
        <v>OKE…..</v>
      </c>
      <c r="C35" s="186"/>
      <c r="D35" s="186"/>
      <c r="E35" s="186"/>
      <c r="F35" s="186"/>
      <c r="G35" s="186"/>
      <c r="H35" s="186"/>
      <c r="I35" s="186"/>
      <c r="J35" s="186"/>
      <c r="K35" s="186"/>
      <c r="L35" s="186"/>
    </row>
    <row r="36" spans="2:12" ht="14.5" customHeight="1" x14ac:dyDescent="0.2">
      <c r="B36" s="186"/>
      <c r="C36" s="186"/>
      <c r="D36" s="186"/>
      <c r="E36" s="186"/>
      <c r="F36" s="186"/>
      <c r="G36" s="186"/>
      <c r="H36" s="186"/>
      <c r="I36" s="186"/>
      <c r="J36" s="186"/>
      <c r="K36" s="186"/>
      <c r="L36" s="186"/>
    </row>
    <row r="37" spans="2:12" ht="14.5" customHeight="1" x14ac:dyDescent="0.2">
      <c r="B37" s="186"/>
      <c r="C37" s="186"/>
      <c r="D37" s="186"/>
      <c r="E37" s="186"/>
      <c r="F37" s="186"/>
      <c r="G37" s="186"/>
      <c r="H37" s="186"/>
      <c r="I37" s="186"/>
      <c r="J37" s="186"/>
      <c r="K37" s="186"/>
      <c r="L37" s="186"/>
    </row>
    <row r="39" spans="2:12" x14ac:dyDescent="0.2">
      <c r="H39" s="164"/>
    </row>
  </sheetData>
  <mergeCells count="22">
    <mergeCell ref="B2:L3"/>
    <mergeCell ref="D33:F34"/>
    <mergeCell ref="C33:C34"/>
    <mergeCell ref="D31:F31"/>
    <mergeCell ref="B35:L37"/>
    <mergeCell ref="J33:K33"/>
    <mergeCell ref="J32:K32"/>
    <mergeCell ref="J31:K31"/>
    <mergeCell ref="J30:K30"/>
    <mergeCell ref="D24:F24"/>
    <mergeCell ref="D23:F23"/>
    <mergeCell ref="D22:F22"/>
    <mergeCell ref="H17:H19"/>
    <mergeCell ref="D32:F32"/>
    <mergeCell ref="D30:F30"/>
    <mergeCell ref="D27:F27"/>
    <mergeCell ref="D26:F26"/>
    <mergeCell ref="D25:F25"/>
    <mergeCell ref="C5:C7"/>
    <mergeCell ref="H5:J7"/>
    <mergeCell ref="D5:F7"/>
    <mergeCell ref="C15:F16"/>
  </mergeCells>
  <conditionalFormatting sqref="D33">
    <cfRule type="iconSet" priority="7">
      <iconSet iconSet="3Arrows">
        <cfvo type="percent" val="0"/>
        <cfvo type="percent" val="33"/>
        <cfvo type="percent" val="50"/>
      </iconSet>
    </cfRule>
  </conditionalFormatting>
  <conditionalFormatting sqref="F10:F14 F18">
    <cfRule type="cellIs" dxfId="7" priority="4" operator="lessThan">
      <formula>0.7</formula>
    </cfRule>
    <cfRule type="cellIs" dxfId="6" priority="5" operator="between">
      <formula>1</formula>
      <formula>0.7</formula>
    </cfRule>
    <cfRule type="cellIs" dxfId="5" priority="6" operator="greaterThan">
      <formula>1</formula>
    </cfRule>
  </conditionalFormatting>
  <conditionalFormatting sqref="J19">
    <cfRule type="cellIs" dxfId="4" priority="1" operator="lessThan">
      <formula>0.7</formula>
    </cfRule>
    <cfRule type="cellIs" dxfId="3" priority="2" operator="between">
      <formula>1</formula>
      <formula>0.7</formula>
    </cfRule>
    <cfRule type="cellIs" dxfId="2" priority="3" operator="greaterThan">
      <formula>1</formula>
    </cfRule>
  </conditionalFormatting>
  <printOptions horizontalCentered="1" verticalCentered="1"/>
  <pageMargins left="0.2" right="0.2" top="0.25" bottom="0.25" header="0.3" footer="0.3"/>
  <pageSetup paperSize="9" scale="92" orientation="landscape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AN50"/>
  <sheetViews>
    <sheetView topLeftCell="B1" zoomScale="85" zoomScaleNormal="85" workbookViewId="0">
      <pane xSplit="4" ySplit="3" topLeftCell="F4" activePane="bottomRight" state="frozenSplit"/>
      <selection activeCell="AI27" sqref="E4:AI27"/>
      <selection pane="topRight" activeCell="AI27" sqref="E4:AI27"/>
      <selection pane="bottomLeft" activeCell="AI27" sqref="E4:AI27"/>
      <selection pane="bottomRight" activeCell="AI27" sqref="E4:AI27"/>
    </sheetView>
  </sheetViews>
  <sheetFormatPr baseColWidth="10" defaultColWidth="8.83203125" defaultRowHeight="15" x14ac:dyDescent="0.2"/>
  <cols>
    <col min="1" max="1" width="13.83203125" style="1" bestFit="1" customWidth="1"/>
    <col min="2" max="2" width="13.83203125" style="1" customWidth="1"/>
    <col min="3" max="3" width="22.5" style="1" customWidth="1"/>
    <col min="4" max="4" width="4.1640625" style="1" bestFit="1" customWidth="1"/>
    <col min="5" max="5" width="22.5" style="1" bestFit="1" customWidth="1"/>
    <col min="6" max="7" width="9.5" style="1" bestFit="1" customWidth="1"/>
    <col min="8" max="11" width="10.5" style="1" bestFit="1" customWidth="1"/>
    <col min="12" max="12" width="9.5" style="1" bestFit="1" customWidth="1"/>
    <col min="13" max="34" width="10.5" style="1" bestFit="1" customWidth="1"/>
    <col min="35" max="35" width="11.33203125" style="1" bestFit="1" customWidth="1"/>
    <col min="36" max="36" width="10.5" style="1" bestFit="1" customWidth="1"/>
    <col min="37" max="37" width="11.5" style="2" bestFit="1" customWidth="1"/>
    <col min="38" max="38" width="15" style="1" bestFit="1" customWidth="1"/>
    <col min="39" max="257" width="9.1640625" style="1"/>
    <col min="258" max="258" width="8.83203125" style="1" customWidth="1"/>
    <col min="259" max="259" width="21" style="1" bestFit="1" customWidth="1"/>
    <col min="260" max="260" width="3.83203125" style="1" bestFit="1" customWidth="1"/>
    <col min="261" max="261" width="21" style="1" bestFit="1" customWidth="1"/>
    <col min="262" max="262" width="11.83203125" style="1" customWidth="1"/>
    <col min="263" max="263" width="11.5" style="1" customWidth="1"/>
    <col min="264" max="264" width="12" style="1" customWidth="1"/>
    <col min="265" max="265" width="11.5" style="1" customWidth="1"/>
    <col min="266" max="267" width="10.33203125" style="1" customWidth="1"/>
    <col min="268" max="282" width="8.83203125" style="1" customWidth="1"/>
    <col min="283" max="283" width="10.5" style="1" bestFit="1" customWidth="1"/>
    <col min="284" max="286" width="8.83203125" style="1" customWidth="1"/>
    <col min="287" max="288" width="9.1640625" style="1"/>
    <col min="289" max="289" width="9.5" style="1" customWidth="1"/>
    <col min="290" max="290" width="10.33203125" style="1" customWidth="1"/>
    <col min="291" max="291" width="9.6640625" style="1" customWidth="1"/>
    <col min="292" max="292" width="10.33203125" style="1" customWidth="1"/>
    <col min="293" max="293" width="14.83203125" style="1" bestFit="1" customWidth="1"/>
    <col min="294" max="294" width="8.83203125" style="1" customWidth="1"/>
    <col min="295" max="513" width="9.1640625" style="1"/>
    <col min="514" max="514" width="8.83203125" style="1" customWidth="1"/>
    <col min="515" max="515" width="21" style="1" bestFit="1" customWidth="1"/>
    <col min="516" max="516" width="3.83203125" style="1" bestFit="1" customWidth="1"/>
    <col min="517" max="517" width="21" style="1" bestFit="1" customWidth="1"/>
    <col min="518" max="518" width="11.83203125" style="1" customWidth="1"/>
    <col min="519" max="519" width="11.5" style="1" customWidth="1"/>
    <col min="520" max="520" width="12" style="1" customWidth="1"/>
    <col min="521" max="521" width="11.5" style="1" customWidth="1"/>
    <col min="522" max="523" width="10.33203125" style="1" customWidth="1"/>
    <col min="524" max="538" width="8.83203125" style="1" customWidth="1"/>
    <col min="539" max="539" width="10.5" style="1" bestFit="1" customWidth="1"/>
    <col min="540" max="542" width="8.83203125" style="1" customWidth="1"/>
    <col min="543" max="544" width="9.1640625" style="1"/>
    <col min="545" max="545" width="9.5" style="1" customWidth="1"/>
    <col min="546" max="546" width="10.33203125" style="1" customWidth="1"/>
    <col min="547" max="547" width="9.6640625" style="1" customWidth="1"/>
    <col min="548" max="548" width="10.33203125" style="1" customWidth="1"/>
    <col min="549" max="549" width="14.83203125" style="1" bestFit="1" customWidth="1"/>
    <col min="550" max="550" width="8.83203125" style="1" customWidth="1"/>
    <col min="551" max="769" width="9.1640625" style="1"/>
    <col min="770" max="770" width="8.83203125" style="1" customWidth="1"/>
    <col min="771" max="771" width="21" style="1" bestFit="1" customWidth="1"/>
    <col min="772" max="772" width="3.83203125" style="1" bestFit="1" customWidth="1"/>
    <col min="773" max="773" width="21" style="1" bestFit="1" customWidth="1"/>
    <col min="774" max="774" width="11.83203125" style="1" customWidth="1"/>
    <col min="775" max="775" width="11.5" style="1" customWidth="1"/>
    <col min="776" max="776" width="12" style="1" customWidth="1"/>
    <col min="777" max="777" width="11.5" style="1" customWidth="1"/>
    <col min="778" max="779" width="10.33203125" style="1" customWidth="1"/>
    <col min="780" max="794" width="8.83203125" style="1" customWidth="1"/>
    <col min="795" max="795" width="10.5" style="1" bestFit="1" customWidth="1"/>
    <col min="796" max="798" width="8.83203125" style="1" customWidth="1"/>
    <col min="799" max="800" width="9.1640625" style="1"/>
    <col min="801" max="801" width="9.5" style="1" customWidth="1"/>
    <col min="802" max="802" width="10.33203125" style="1" customWidth="1"/>
    <col min="803" max="803" width="9.6640625" style="1" customWidth="1"/>
    <col min="804" max="804" width="10.33203125" style="1" customWidth="1"/>
    <col min="805" max="805" width="14.83203125" style="1" bestFit="1" customWidth="1"/>
    <col min="806" max="806" width="8.83203125" style="1" customWidth="1"/>
    <col min="807" max="1025" width="9.1640625" style="1"/>
    <col min="1026" max="1026" width="8.83203125" style="1" customWidth="1"/>
    <col min="1027" max="1027" width="21" style="1" bestFit="1" customWidth="1"/>
    <col min="1028" max="1028" width="3.83203125" style="1" bestFit="1" customWidth="1"/>
    <col min="1029" max="1029" width="21" style="1" bestFit="1" customWidth="1"/>
    <col min="1030" max="1030" width="11.83203125" style="1" customWidth="1"/>
    <col min="1031" max="1031" width="11.5" style="1" customWidth="1"/>
    <col min="1032" max="1032" width="12" style="1" customWidth="1"/>
    <col min="1033" max="1033" width="11.5" style="1" customWidth="1"/>
    <col min="1034" max="1035" width="10.33203125" style="1" customWidth="1"/>
    <col min="1036" max="1050" width="8.83203125" style="1" customWidth="1"/>
    <col min="1051" max="1051" width="10.5" style="1" bestFit="1" customWidth="1"/>
    <col min="1052" max="1054" width="8.83203125" style="1" customWidth="1"/>
    <col min="1055" max="1056" width="9.1640625" style="1"/>
    <col min="1057" max="1057" width="9.5" style="1" customWidth="1"/>
    <col min="1058" max="1058" width="10.33203125" style="1" customWidth="1"/>
    <col min="1059" max="1059" width="9.6640625" style="1" customWidth="1"/>
    <col min="1060" max="1060" width="10.33203125" style="1" customWidth="1"/>
    <col min="1061" max="1061" width="14.83203125" style="1" bestFit="1" customWidth="1"/>
    <col min="1062" max="1062" width="8.83203125" style="1" customWidth="1"/>
    <col min="1063" max="1281" width="9.1640625" style="1"/>
    <col min="1282" max="1282" width="8.83203125" style="1" customWidth="1"/>
    <col min="1283" max="1283" width="21" style="1" bestFit="1" customWidth="1"/>
    <col min="1284" max="1284" width="3.83203125" style="1" bestFit="1" customWidth="1"/>
    <col min="1285" max="1285" width="21" style="1" bestFit="1" customWidth="1"/>
    <col min="1286" max="1286" width="11.83203125" style="1" customWidth="1"/>
    <col min="1287" max="1287" width="11.5" style="1" customWidth="1"/>
    <col min="1288" max="1288" width="12" style="1" customWidth="1"/>
    <col min="1289" max="1289" width="11.5" style="1" customWidth="1"/>
    <col min="1290" max="1291" width="10.33203125" style="1" customWidth="1"/>
    <col min="1292" max="1306" width="8.83203125" style="1" customWidth="1"/>
    <col min="1307" max="1307" width="10.5" style="1" bestFit="1" customWidth="1"/>
    <col min="1308" max="1310" width="8.83203125" style="1" customWidth="1"/>
    <col min="1311" max="1312" width="9.1640625" style="1"/>
    <col min="1313" max="1313" width="9.5" style="1" customWidth="1"/>
    <col min="1314" max="1314" width="10.33203125" style="1" customWidth="1"/>
    <col min="1315" max="1315" width="9.6640625" style="1" customWidth="1"/>
    <col min="1316" max="1316" width="10.33203125" style="1" customWidth="1"/>
    <col min="1317" max="1317" width="14.83203125" style="1" bestFit="1" customWidth="1"/>
    <col min="1318" max="1318" width="8.83203125" style="1" customWidth="1"/>
    <col min="1319" max="1537" width="9.1640625" style="1"/>
    <col min="1538" max="1538" width="8.83203125" style="1" customWidth="1"/>
    <col min="1539" max="1539" width="21" style="1" bestFit="1" customWidth="1"/>
    <col min="1540" max="1540" width="3.83203125" style="1" bestFit="1" customWidth="1"/>
    <col min="1541" max="1541" width="21" style="1" bestFit="1" customWidth="1"/>
    <col min="1542" max="1542" width="11.83203125" style="1" customWidth="1"/>
    <col min="1543" max="1543" width="11.5" style="1" customWidth="1"/>
    <col min="1544" max="1544" width="12" style="1" customWidth="1"/>
    <col min="1545" max="1545" width="11.5" style="1" customWidth="1"/>
    <col min="1546" max="1547" width="10.33203125" style="1" customWidth="1"/>
    <col min="1548" max="1562" width="8.83203125" style="1" customWidth="1"/>
    <col min="1563" max="1563" width="10.5" style="1" bestFit="1" customWidth="1"/>
    <col min="1564" max="1566" width="8.83203125" style="1" customWidth="1"/>
    <col min="1567" max="1568" width="9.1640625" style="1"/>
    <col min="1569" max="1569" width="9.5" style="1" customWidth="1"/>
    <col min="1570" max="1570" width="10.33203125" style="1" customWidth="1"/>
    <col min="1571" max="1571" width="9.6640625" style="1" customWidth="1"/>
    <col min="1572" max="1572" width="10.33203125" style="1" customWidth="1"/>
    <col min="1573" max="1573" width="14.83203125" style="1" bestFit="1" customWidth="1"/>
    <col min="1574" max="1574" width="8.83203125" style="1" customWidth="1"/>
    <col min="1575" max="1793" width="9.1640625" style="1"/>
    <col min="1794" max="1794" width="8.83203125" style="1" customWidth="1"/>
    <col min="1795" max="1795" width="21" style="1" bestFit="1" customWidth="1"/>
    <col min="1796" max="1796" width="3.83203125" style="1" bestFit="1" customWidth="1"/>
    <col min="1797" max="1797" width="21" style="1" bestFit="1" customWidth="1"/>
    <col min="1798" max="1798" width="11.83203125" style="1" customWidth="1"/>
    <col min="1799" max="1799" width="11.5" style="1" customWidth="1"/>
    <col min="1800" max="1800" width="12" style="1" customWidth="1"/>
    <col min="1801" max="1801" width="11.5" style="1" customWidth="1"/>
    <col min="1802" max="1803" width="10.33203125" style="1" customWidth="1"/>
    <col min="1804" max="1818" width="8.83203125" style="1" customWidth="1"/>
    <col min="1819" max="1819" width="10.5" style="1" bestFit="1" customWidth="1"/>
    <col min="1820" max="1822" width="8.83203125" style="1" customWidth="1"/>
    <col min="1823" max="1824" width="9.1640625" style="1"/>
    <col min="1825" max="1825" width="9.5" style="1" customWidth="1"/>
    <col min="1826" max="1826" width="10.33203125" style="1" customWidth="1"/>
    <col min="1827" max="1827" width="9.6640625" style="1" customWidth="1"/>
    <col min="1828" max="1828" width="10.33203125" style="1" customWidth="1"/>
    <col min="1829" max="1829" width="14.83203125" style="1" bestFit="1" customWidth="1"/>
    <col min="1830" max="1830" width="8.83203125" style="1" customWidth="1"/>
    <col min="1831" max="2049" width="9.1640625" style="1"/>
    <col min="2050" max="2050" width="8.83203125" style="1" customWidth="1"/>
    <col min="2051" max="2051" width="21" style="1" bestFit="1" customWidth="1"/>
    <col min="2052" max="2052" width="3.83203125" style="1" bestFit="1" customWidth="1"/>
    <col min="2053" max="2053" width="21" style="1" bestFit="1" customWidth="1"/>
    <col min="2054" max="2054" width="11.83203125" style="1" customWidth="1"/>
    <col min="2055" max="2055" width="11.5" style="1" customWidth="1"/>
    <col min="2056" max="2056" width="12" style="1" customWidth="1"/>
    <col min="2057" max="2057" width="11.5" style="1" customWidth="1"/>
    <col min="2058" max="2059" width="10.33203125" style="1" customWidth="1"/>
    <col min="2060" max="2074" width="8.83203125" style="1" customWidth="1"/>
    <col min="2075" max="2075" width="10.5" style="1" bestFit="1" customWidth="1"/>
    <col min="2076" max="2078" width="8.83203125" style="1" customWidth="1"/>
    <col min="2079" max="2080" width="9.1640625" style="1"/>
    <col min="2081" max="2081" width="9.5" style="1" customWidth="1"/>
    <col min="2082" max="2082" width="10.33203125" style="1" customWidth="1"/>
    <col min="2083" max="2083" width="9.6640625" style="1" customWidth="1"/>
    <col min="2084" max="2084" width="10.33203125" style="1" customWidth="1"/>
    <col min="2085" max="2085" width="14.83203125" style="1" bestFit="1" customWidth="1"/>
    <col min="2086" max="2086" width="8.83203125" style="1" customWidth="1"/>
    <col min="2087" max="2305" width="9.1640625" style="1"/>
    <col min="2306" max="2306" width="8.83203125" style="1" customWidth="1"/>
    <col min="2307" max="2307" width="21" style="1" bestFit="1" customWidth="1"/>
    <col min="2308" max="2308" width="3.83203125" style="1" bestFit="1" customWidth="1"/>
    <col min="2309" max="2309" width="21" style="1" bestFit="1" customWidth="1"/>
    <col min="2310" max="2310" width="11.83203125" style="1" customWidth="1"/>
    <col min="2311" max="2311" width="11.5" style="1" customWidth="1"/>
    <col min="2312" max="2312" width="12" style="1" customWidth="1"/>
    <col min="2313" max="2313" width="11.5" style="1" customWidth="1"/>
    <col min="2314" max="2315" width="10.33203125" style="1" customWidth="1"/>
    <col min="2316" max="2330" width="8.83203125" style="1" customWidth="1"/>
    <col min="2331" max="2331" width="10.5" style="1" bestFit="1" customWidth="1"/>
    <col min="2332" max="2334" width="8.83203125" style="1" customWidth="1"/>
    <col min="2335" max="2336" width="9.1640625" style="1"/>
    <col min="2337" max="2337" width="9.5" style="1" customWidth="1"/>
    <col min="2338" max="2338" width="10.33203125" style="1" customWidth="1"/>
    <col min="2339" max="2339" width="9.6640625" style="1" customWidth="1"/>
    <col min="2340" max="2340" width="10.33203125" style="1" customWidth="1"/>
    <col min="2341" max="2341" width="14.83203125" style="1" bestFit="1" customWidth="1"/>
    <col min="2342" max="2342" width="8.83203125" style="1" customWidth="1"/>
    <col min="2343" max="2561" width="9.1640625" style="1"/>
    <col min="2562" max="2562" width="8.83203125" style="1" customWidth="1"/>
    <col min="2563" max="2563" width="21" style="1" bestFit="1" customWidth="1"/>
    <col min="2564" max="2564" width="3.83203125" style="1" bestFit="1" customWidth="1"/>
    <col min="2565" max="2565" width="21" style="1" bestFit="1" customWidth="1"/>
    <col min="2566" max="2566" width="11.83203125" style="1" customWidth="1"/>
    <col min="2567" max="2567" width="11.5" style="1" customWidth="1"/>
    <col min="2568" max="2568" width="12" style="1" customWidth="1"/>
    <col min="2569" max="2569" width="11.5" style="1" customWidth="1"/>
    <col min="2570" max="2571" width="10.33203125" style="1" customWidth="1"/>
    <col min="2572" max="2586" width="8.83203125" style="1" customWidth="1"/>
    <col min="2587" max="2587" width="10.5" style="1" bestFit="1" customWidth="1"/>
    <col min="2588" max="2590" width="8.83203125" style="1" customWidth="1"/>
    <col min="2591" max="2592" width="9.1640625" style="1"/>
    <col min="2593" max="2593" width="9.5" style="1" customWidth="1"/>
    <col min="2594" max="2594" width="10.33203125" style="1" customWidth="1"/>
    <col min="2595" max="2595" width="9.6640625" style="1" customWidth="1"/>
    <col min="2596" max="2596" width="10.33203125" style="1" customWidth="1"/>
    <col min="2597" max="2597" width="14.83203125" style="1" bestFit="1" customWidth="1"/>
    <col min="2598" max="2598" width="8.83203125" style="1" customWidth="1"/>
    <col min="2599" max="2817" width="9.1640625" style="1"/>
    <col min="2818" max="2818" width="8.83203125" style="1" customWidth="1"/>
    <col min="2819" max="2819" width="21" style="1" bestFit="1" customWidth="1"/>
    <col min="2820" max="2820" width="3.83203125" style="1" bestFit="1" customWidth="1"/>
    <col min="2821" max="2821" width="21" style="1" bestFit="1" customWidth="1"/>
    <col min="2822" max="2822" width="11.83203125" style="1" customWidth="1"/>
    <col min="2823" max="2823" width="11.5" style="1" customWidth="1"/>
    <col min="2824" max="2824" width="12" style="1" customWidth="1"/>
    <col min="2825" max="2825" width="11.5" style="1" customWidth="1"/>
    <col min="2826" max="2827" width="10.33203125" style="1" customWidth="1"/>
    <col min="2828" max="2842" width="8.83203125" style="1" customWidth="1"/>
    <col min="2843" max="2843" width="10.5" style="1" bestFit="1" customWidth="1"/>
    <col min="2844" max="2846" width="8.83203125" style="1" customWidth="1"/>
    <col min="2847" max="2848" width="9.1640625" style="1"/>
    <col min="2849" max="2849" width="9.5" style="1" customWidth="1"/>
    <col min="2850" max="2850" width="10.33203125" style="1" customWidth="1"/>
    <col min="2851" max="2851" width="9.6640625" style="1" customWidth="1"/>
    <col min="2852" max="2852" width="10.33203125" style="1" customWidth="1"/>
    <col min="2853" max="2853" width="14.83203125" style="1" bestFit="1" customWidth="1"/>
    <col min="2854" max="2854" width="8.83203125" style="1" customWidth="1"/>
    <col min="2855" max="3073" width="9.1640625" style="1"/>
    <col min="3074" max="3074" width="8.83203125" style="1" customWidth="1"/>
    <col min="3075" max="3075" width="21" style="1" bestFit="1" customWidth="1"/>
    <col min="3076" max="3076" width="3.83203125" style="1" bestFit="1" customWidth="1"/>
    <col min="3077" max="3077" width="21" style="1" bestFit="1" customWidth="1"/>
    <col min="3078" max="3078" width="11.83203125" style="1" customWidth="1"/>
    <col min="3079" max="3079" width="11.5" style="1" customWidth="1"/>
    <col min="3080" max="3080" width="12" style="1" customWidth="1"/>
    <col min="3081" max="3081" width="11.5" style="1" customWidth="1"/>
    <col min="3082" max="3083" width="10.33203125" style="1" customWidth="1"/>
    <col min="3084" max="3098" width="8.83203125" style="1" customWidth="1"/>
    <col min="3099" max="3099" width="10.5" style="1" bestFit="1" customWidth="1"/>
    <col min="3100" max="3102" width="8.83203125" style="1" customWidth="1"/>
    <col min="3103" max="3104" width="9.1640625" style="1"/>
    <col min="3105" max="3105" width="9.5" style="1" customWidth="1"/>
    <col min="3106" max="3106" width="10.33203125" style="1" customWidth="1"/>
    <col min="3107" max="3107" width="9.6640625" style="1" customWidth="1"/>
    <col min="3108" max="3108" width="10.33203125" style="1" customWidth="1"/>
    <col min="3109" max="3109" width="14.83203125" style="1" bestFit="1" customWidth="1"/>
    <col min="3110" max="3110" width="8.83203125" style="1" customWidth="1"/>
    <col min="3111" max="3329" width="9.1640625" style="1"/>
    <col min="3330" max="3330" width="8.83203125" style="1" customWidth="1"/>
    <col min="3331" max="3331" width="21" style="1" bestFit="1" customWidth="1"/>
    <col min="3332" max="3332" width="3.83203125" style="1" bestFit="1" customWidth="1"/>
    <col min="3333" max="3333" width="21" style="1" bestFit="1" customWidth="1"/>
    <col min="3334" max="3334" width="11.83203125" style="1" customWidth="1"/>
    <col min="3335" max="3335" width="11.5" style="1" customWidth="1"/>
    <col min="3336" max="3336" width="12" style="1" customWidth="1"/>
    <col min="3337" max="3337" width="11.5" style="1" customWidth="1"/>
    <col min="3338" max="3339" width="10.33203125" style="1" customWidth="1"/>
    <col min="3340" max="3354" width="8.83203125" style="1" customWidth="1"/>
    <col min="3355" max="3355" width="10.5" style="1" bestFit="1" customWidth="1"/>
    <col min="3356" max="3358" width="8.83203125" style="1" customWidth="1"/>
    <col min="3359" max="3360" width="9.1640625" style="1"/>
    <col min="3361" max="3361" width="9.5" style="1" customWidth="1"/>
    <col min="3362" max="3362" width="10.33203125" style="1" customWidth="1"/>
    <col min="3363" max="3363" width="9.6640625" style="1" customWidth="1"/>
    <col min="3364" max="3364" width="10.33203125" style="1" customWidth="1"/>
    <col min="3365" max="3365" width="14.83203125" style="1" bestFit="1" customWidth="1"/>
    <col min="3366" max="3366" width="8.83203125" style="1" customWidth="1"/>
    <col min="3367" max="3585" width="9.1640625" style="1"/>
    <col min="3586" max="3586" width="8.83203125" style="1" customWidth="1"/>
    <col min="3587" max="3587" width="21" style="1" bestFit="1" customWidth="1"/>
    <col min="3588" max="3588" width="3.83203125" style="1" bestFit="1" customWidth="1"/>
    <col min="3589" max="3589" width="21" style="1" bestFit="1" customWidth="1"/>
    <col min="3590" max="3590" width="11.83203125" style="1" customWidth="1"/>
    <col min="3591" max="3591" width="11.5" style="1" customWidth="1"/>
    <col min="3592" max="3592" width="12" style="1" customWidth="1"/>
    <col min="3593" max="3593" width="11.5" style="1" customWidth="1"/>
    <col min="3594" max="3595" width="10.33203125" style="1" customWidth="1"/>
    <col min="3596" max="3610" width="8.83203125" style="1" customWidth="1"/>
    <col min="3611" max="3611" width="10.5" style="1" bestFit="1" customWidth="1"/>
    <col min="3612" max="3614" width="8.83203125" style="1" customWidth="1"/>
    <col min="3615" max="3616" width="9.1640625" style="1"/>
    <col min="3617" max="3617" width="9.5" style="1" customWidth="1"/>
    <col min="3618" max="3618" width="10.33203125" style="1" customWidth="1"/>
    <col min="3619" max="3619" width="9.6640625" style="1" customWidth="1"/>
    <col min="3620" max="3620" width="10.33203125" style="1" customWidth="1"/>
    <col min="3621" max="3621" width="14.83203125" style="1" bestFit="1" customWidth="1"/>
    <col min="3622" max="3622" width="8.83203125" style="1" customWidth="1"/>
    <col min="3623" max="3841" width="9.1640625" style="1"/>
    <col min="3842" max="3842" width="8.83203125" style="1" customWidth="1"/>
    <col min="3843" max="3843" width="21" style="1" bestFit="1" customWidth="1"/>
    <col min="3844" max="3844" width="3.83203125" style="1" bestFit="1" customWidth="1"/>
    <col min="3845" max="3845" width="21" style="1" bestFit="1" customWidth="1"/>
    <col min="3846" max="3846" width="11.83203125" style="1" customWidth="1"/>
    <col min="3847" max="3847" width="11.5" style="1" customWidth="1"/>
    <col min="3848" max="3848" width="12" style="1" customWidth="1"/>
    <col min="3849" max="3849" width="11.5" style="1" customWidth="1"/>
    <col min="3850" max="3851" width="10.33203125" style="1" customWidth="1"/>
    <col min="3852" max="3866" width="8.83203125" style="1" customWidth="1"/>
    <col min="3867" max="3867" width="10.5" style="1" bestFit="1" customWidth="1"/>
    <col min="3868" max="3870" width="8.83203125" style="1" customWidth="1"/>
    <col min="3871" max="3872" width="9.1640625" style="1"/>
    <col min="3873" max="3873" width="9.5" style="1" customWidth="1"/>
    <col min="3874" max="3874" width="10.33203125" style="1" customWidth="1"/>
    <col min="3875" max="3875" width="9.6640625" style="1" customWidth="1"/>
    <col min="3876" max="3876" width="10.33203125" style="1" customWidth="1"/>
    <col min="3877" max="3877" width="14.83203125" style="1" bestFit="1" customWidth="1"/>
    <col min="3878" max="3878" width="8.83203125" style="1" customWidth="1"/>
    <col min="3879" max="4097" width="9.1640625" style="1"/>
    <col min="4098" max="4098" width="8.83203125" style="1" customWidth="1"/>
    <col min="4099" max="4099" width="21" style="1" bestFit="1" customWidth="1"/>
    <col min="4100" max="4100" width="3.83203125" style="1" bestFit="1" customWidth="1"/>
    <col min="4101" max="4101" width="21" style="1" bestFit="1" customWidth="1"/>
    <col min="4102" max="4102" width="11.83203125" style="1" customWidth="1"/>
    <col min="4103" max="4103" width="11.5" style="1" customWidth="1"/>
    <col min="4104" max="4104" width="12" style="1" customWidth="1"/>
    <col min="4105" max="4105" width="11.5" style="1" customWidth="1"/>
    <col min="4106" max="4107" width="10.33203125" style="1" customWidth="1"/>
    <col min="4108" max="4122" width="8.83203125" style="1" customWidth="1"/>
    <col min="4123" max="4123" width="10.5" style="1" bestFit="1" customWidth="1"/>
    <col min="4124" max="4126" width="8.83203125" style="1" customWidth="1"/>
    <col min="4127" max="4128" width="9.1640625" style="1"/>
    <col min="4129" max="4129" width="9.5" style="1" customWidth="1"/>
    <col min="4130" max="4130" width="10.33203125" style="1" customWidth="1"/>
    <col min="4131" max="4131" width="9.6640625" style="1" customWidth="1"/>
    <col min="4132" max="4132" width="10.33203125" style="1" customWidth="1"/>
    <col min="4133" max="4133" width="14.83203125" style="1" bestFit="1" customWidth="1"/>
    <col min="4134" max="4134" width="8.83203125" style="1" customWidth="1"/>
    <col min="4135" max="4353" width="9.1640625" style="1"/>
    <col min="4354" max="4354" width="8.83203125" style="1" customWidth="1"/>
    <col min="4355" max="4355" width="21" style="1" bestFit="1" customWidth="1"/>
    <col min="4356" max="4356" width="3.83203125" style="1" bestFit="1" customWidth="1"/>
    <col min="4357" max="4357" width="21" style="1" bestFit="1" customWidth="1"/>
    <col min="4358" max="4358" width="11.83203125" style="1" customWidth="1"/>
    <col min="4359" max="4359" width="11.5" style="1" customWidth="1"/>
    <col min="4360" max="4360" width="12" style="1" customWidth="1"/>
    <col min="4361" max="4361" width="11.5" style="1" customWidth="1"/>
    <col min="4362" max="4363" width="10.33203125" style="1" customWidth="1"/>
    <col min="4364" max="4378" width="8.83203125" style="1" customWidth="1"/>
    <col min="4379" max="4379" width="10.5" style="1" bestFit="1" customWidth="1"/>
    <col min="4380" max="4382" width="8.83203125" style="1" customWidth="1"/>
    <col min="4383" max="4384" width="9.1640625" style="1"/>
    <col min="4385" max="4385" width="9.5" style="1" customWidth="1"/>
    <col min="4386" max="4386" width="10.33203125" style="1" customWidth="1"/>
    <col min="4387" max="4387" width="9.6640625" style="1" customWidth="1"/>
    <col min="4388" max="4388" width="10.33203125" style="1" customWidth="1"/>
    <col min="4389" max="4389" width="14.83203125" style="1" bestFit="1" customWidth="1"/>
    <col min="4390" max="4390" width="8.83203125" style="1" customWidth="1"/>
    <col min="4391" max="4609" width="9.1640625" style="1"/>
    <col min="4610" max="4610" width="8.83203125" style="1" customWidth="1"/>
    <col min="4611" max="4611" width="21" style="1" bestFit="1" customWidth="1"/>
    <col min="4612" max="4612" width="3.83203125" style="1" bestFit="1" customWidth="1"/>
    <col min="4613" max="4613" width="21" style="1" bestFit="1" customWidth="1"/>
    <col min="4614" max="4614" width="11.83203125" style="1" customWidth="1"/>
    <col min="4615" max="4615" width="11.5" style="1" customWidth="1"/>
    <col min="4616" max="4616" width="12" style="1" customWidth="1"/>
    <col min="4617" max="4617" width="11.5" style="1" customWidth="1"/>
    <col min="4618" max="4619" width="10.33203125" style="1" customWidth="1"/>
    <col min="4620" max="4634" width="8.83203125" style="1" customWidth="1"/>
    <col min="4635" max="4635" width="10.5" style="1" bestFit="1" customWidth="1"/>
    <col min="4636" max="4638" width="8.83203125" style="1" customWidth="1"/>
    <col min="4639" max="4640" width="9.1640625" style="1"/>
    <col min="4641" max="4641" width="9.5" style="1" customWidth="1"/>
    <col min="4642" max="4642" width="10.33203125" style="1" customWidth="1"/>
    <col min="4643" max="4643" width="9.6640625" style="1" customWidth="1"/>
    <col min="4644" max="4644" width="10.33203125" style="1" customWidth="1"/>
    <col min="4645" max="4645" width="14.83203125" style="1" bestFit="1" customWidth="1"/>
    <col min="4646" max="4646" width="8.83203125" style="1" customWidth="1"/>
    <col min="4647" max="4865" width="9.1640625" style="1"/>
    <col min="4866" max="4866" width="8.83203125" style="1" customWidth="1"/>
    <col min="4867" max="4867" width="21" style="1" bestFit="1" customWidth="1"/>
    <col min="4868" max="4868" width="3.83203125" style="1" bestFit="1" customWidth="1"/>
    <col min="4869" max="4869" width="21" style="1" bestFit="1" customWidth="1"/>
    <col min="4870" max="4870" width="11.83203125" style="1" customWidth="1"/>
    <col min="4871" max="4871" width="11.5" style="1" customWidth="1"/>
    <col min="4872" max="4872" width="12" style="1" customWidth="1"/>
    <col min="4873" max="4873" width="11.5" style="1" customWidth="1"/>
    <col min="4874" max="4875" width="10.33203125" style="1" customWidth="1"/>
    <col min="4876" max="4890" width="8.83203125" style="1" customWidth="1"/>
    <col min="4891" max="4891" width="10.5" style="1" bestFit="1" customWidth="1"/>
    <col min="4892" max="4894" width="8.83203125" style="1" customWidth="1"/>
    <col min="4895" max="4896" width="9.1640625" style="1"/>
    <col min="4897" max="4897" width="9.5" style="1" customWidth="1"/>
    <col min="4898" max="4898" width="10.33203125" style="1" customWidth="1"/>
    <col min="4899" max="4899" width="9.6640625" style="1" customWidth="1"/>
    <col min="4900" max="4900" width="10.33203125" style="1" customWidth="1"/>
    <col min="4901" max="4901" width="14.83203125" style="1" bestFit="1" customWidth="1"/>
    <col min="4902" max="4902" width="8.83203125" style="1" customWidth="1"/>
    <col min="4903" max="5121" width="9.1640625" style="1"/>
    <col min="5122" max="5122" width="8.83203125" style="1" customWidth="1"/>
    <col min="5123" max="5123" width="21" style="1" bestFit="1" customWidth="1"/>
    <col min="5124" max="5124" width="3.83203125" style="1" bestFit="1" customWidth="1"/>
    <col min="5125" max="5125" width="21" style="1" bestFit="1" customWidth="1"/>
    <col min="5126" max="5126" width="11.83203125" style="1" customWidth="1"/>
    <col min="5127" max="5127" width="11.5" style="1" customWidth="1"/>
    <col min="5128" max="5128" width="12" style="1" customWidth="1"/>
    <col min="5129" max="5129" width="11.5" style="1" customWidth="1"/>
    <col min="5130" max="5131" width="10.33203125" style="1" customWidth="1"/>
    <col min="5132" max="5146" width="8.83203125" style="1" customWidth="1"/>
    <col min="5147" max="5147" width="10.5" style="1" bestFit="1" customWidth="1"/>
    <col min="5148" max="5150" width="8.83203125" style="1" customWidth="1"/>
    <col min="5151" max="5152" width="9.1640625" style="1"/>
    <col min="5153" max="5153" width="9.5" style="1" customWidth="1"/>
    <col min="5154" max="5154" width="10.33203125" style="1" customWidth="1"/>
    <col min="5155" max="5155" width="9.6640625" style="1" customWidth="1"/>
    <col min="5156" max="5156" width="10.33203125" style="1" customWidth="1"/>
    <col min="5157" max="5157" width="14.83203125" style="1" bestFit="1" customWidth="1"/>
    <col min="5158" max="5158" width="8.83203125" style="1" customWidth="1"/>
    <col min="5159" max="5377" width="9.1640625" style="1"/>
    <col min="5378" max="5378" width="8.83203125" style="1" customWidth="1"/>
    <col min="5379" max="5379" width="21" style="1" bestFit="1" customWidth="1"/>
    <col min="5380" max="5380" width="3.83203125" style="1" bestFit="1" customWidth="1"/>
    <col min="5381" max="5381" width="21" style="1" bestFit="1" customWidth="1"/>
    <col min="5382" max="5382" width="11.83203125" style="1" customWidth="1"/>
    <col min="5383" max="5383" width="11.5" style="1" customWidth="1"/>
    <col min="5384" max="5384" width="12" style="1" customWidth="1"/>
    <col min="5385" max="5385" width="11.5" style="1" customWidth="1"/>
    <col min="5386" max="5387" width="10.33203125" style="1" customWidth="1"/>
    <col min="5388" max="5402" width="8.83203125" style="1" customWidth="1"/>
    <col min="5403" max="5403" width="10.5" style="1" bestFit="1" customWidth="1"/>
    <col min="5404" max="5406" width="8.83203125" style="1" customWidth="1"/>
    <col min="5407" max="5408" width="9.1640625" style="1"/>
    <col min="5409" max="5409" width="9.5" style="1" customWidth="1"/>
    <col min="5410" max="5410" width="10.33203125" style="1" customWidth="1"/>
    <col min="5411" max="5411" width="9.6640625" style="1" customWidth="1"/>
    <col min="5412" max="5412" width="10.33203125" style="1" customWidth="1"/>
    <col min="5413" max="5413" width="14.83203125" style="1" bestFit="1" customWidth="1"/>
    <col min="5414" max="5414" width="8.83203125" style="1" customWidth="1"/>
    <col min="5415" max="5633" width="9.1640625" style="1"/>
    <col min="5634" max="5634" width="8.83203125" style="1" customWidth="1"/>
    <col min="5635" max="5635" width="21" style="1" bestFit="1" customWidth="1"/>
    <col min="5636" max="5636" width="3.83203125" style="1" bestFit="1" customWidth="1"/>
    <col min="5637" max="5637" width="21" style="1" bestFit="1" customWidth="1"/>
    <col min="5638" max="5638" width="11.83203125" style="1" customWidth="1"/>
    <col min="5639" max="5639" width="11.5" style="1" customWidth="1"/>
    <col min="5640" max="5640" width="12" style="1" customWidth="1"/>
    <col min="5641" max="5641" width="11.5" style="1" customWidth="1"/>
    <col min="5642" max="5643" width="10.33203125" style="1" customWidth="1"/>
    <col min="5644" max="5658" width="8.83203125" style="1" customWidth="1"/>
    <col min="5659" max="5659" width="10.5" style="1" bestFit="1" customWidth="1"/>
    <col min="5660" max="5662" width="8.83203125" style="1" customWidth="1"/>
    <col min="5663" max="5664" width="9.1640625" style="1"/>
    <col min="5665" max="5665" width="9.5" style="1" customWidth="1"/>
    <col min="5666" max="5666" width="10.33203125" style="1" customWidth="1"/>
    <col min="5667" max="5667" width="9.6640625" style="1" customWidth="1"/>
    <col min="5668" max="5668" width="10.33203125" style="1" customWidth="1"/>
    <col min="5669" max="5669" width="14.83203125" style="1" bestFit="1" customWidth="1"/>
    <col min="5670" max="5670" width="8.83203125" style="1" customWidth="1"/>
    <col min="5671" max="5889" width="9.1640625" style="1"/>
    <col min="5890" max="5890" width="8.83203125" style="1" customWidth="1"/>
    <col min="5891" max="5891" width="21" style="1" bestFit="1" customWidth="1"/>
    <col min="5892" max="5892" width="3.83203125" style="1" bestFit="1" customWidth="1"/>
    <col min="5893" max="5893" width="21" style="1" bestFit="1" customWidth="1"/>
    <col min="5894" max="5894" width="11.83203125" style="1" customWidth="1"/>
    <col min="5895" max="5895" width="11.5" style="1" customWidth="1"/>
    <col min="5896" max="5896" width="12" style="1" customWidth="1"/>
    <col min="5897" max="5897" width="11.5" style="1" customWidth="1"/>
    <col min="5898" max="5899" width="10.33203125" style="1" customWidth="1"/>
    <col min="5900" max="5914" width="8.83203125" style="1" customWidth="1"/>
    <col min="5915" max="5915" width="10.5" style="1" bestFit="1" customWidth="1"/>
    <col min="5916" max="5918" width="8.83203125" style="1" customWidth="1"/>
    <col min="5919" max="5920" width="9.1640625" style="1"/>
    <col min="5921" max="5921" width="9.5" style="1" customWidth="1"/>
    <col min="5922" max="5922" width="10.33203125" style="1" customWidth="1"/>
    <col min="5923" max="5923" width="9.6640625" style="1" customWidth="1"/>
    <col min="5924" max="5924" width="10.33203125" style="1" customWidth="1"/>
    <col min="5925" max="5925" width="14.83203125" style="1" bestFit="1" customWidth="1"/>
    <col min="5926" max="5926" width="8.83203125" style="1" customWidth="1"/>
    <col min="5927" max="6145" width="9.1640625" style="1"/>
    <col min="6146" max="6146" width="8.83203125" style="1" customWidth="1"/>
    <col min="6147" max="6147" width="21" style="1" bestFit="1" customWidth="1"/>
    <col min="6148" max="6148" width="3.83203125" style="1" bestFit="1" customWidth="1"/>
    <col min="6149" max="6149" width="21" style="1" bestFit="1" customWidth="1"/>
    <col min="6150" max="6150" width="11.83203125" style="1" customWidth="1"/>
    <col min="6151" max="6151" width="11.5" style="1" customWidth="1"/>
    <col min="6152" max="6152" width="12" style="1" customWidth="1"/>
    <col min="6153" max="6153" width="11.5" style="1" customWidth="1"/>
    <col min="6154" max="6155" width="10.33203125" style="1" customWidth="1"/>
    <col min="6156" max="6170" width="8.83203125" style="1" customWidth="1"/>
    <col min="6171" max="6171" width="10.5" style="1" bestFit="1" customWidth="1"/>
    <col min="6172" max="6174" width="8.83203125" style="1" customWidth="1"/>
    <col min="6175" max="6176" width="9.1640625" style="1"/>
    <col min="6177" max="6177" width="9.5" style="1" customWidth="1"/>
    <col min="6178" max="6178" width="10.33203125" style="1" customWidth="1"/>
    <col min="6179" max="6179" width="9.6640625" style="1" customWidth="1"/>
    <col min="6180" max="6180" width="10.33203125" style="1" customWidth="1"/>
    <col min="6181" max="6181" width="14.83203125" style="1" bestFit="1" customWidth="1"/>
    <col min="6182" max="6182" width="8.83203125" style="1" customWidth="1"/>
    <col min="6183" max="6401" width="9.1640625" style="1"/>
    <col min="6402" max="6402" width="8.83203125" style="1" customWidth="1"/>
    <col min="6403" max="6403" width="21" style="1" bestFit="1" customWidth="1"/>
    <col min="6404" max="6404" width="3.83203125" style="1" bestFit="1" customWidth="1"/>
    <col min="6405" max="6405" width="21" style="1" bestFit="1" customWidth="1"/>
    <col min="6406" max="6406" width="11.83203125" style="1" customWidth="1"/>
    <col min="6407" max="6407" width="11.5" style="1" customWidth="1"/>
    <col min="6408" max="6408" width="12" style="1" customWidth="1"/>
    <col min="6409" max="6409" width="11.5" style="1" customWidth="1"/>
    <col min="6410" max="6411" width="10.33203125" style="1" customWidth="1"/>
    <col min="6412" max="6426" width="8.83203125" style="1" customWidth="1"/>
    <col min="6427" max="6427" width="10.5" style="1" bestFit="1" customWidth="1"/>
    <col min="6428" max="6430" width="8.83203125" style="1" customWidth="1"/>
    <col min="6431" max="6432" width="9.1640625" style="1"/>
    <col min="6433" max="6433" width="9.5" style="1" customWidth="1"/>
    <col min="6434" max="6434" width="10.33203125" style="1" customWidth="1"/>
    <col min="6435" max="6435" width="9.6640625" style="1" customWidth="1"/>
    <col min="6436" max="6436" width="10.33203125" style="1" customWidth="1"/>
    <col min="6437" max="6437" width="14.83203125" style="1" bestFit="1" customWidth="1"/>
    <col min="6438" max="6438" width="8.83203125" style="1" customWidth="1"/>
    <col min="6439" max="6657" width="9.1640625" style="1"/>
    <col min="6658" max="6658" width="8.83203125" style="1" customWidth="1"/>
    <col min="6659" max="6659" width="21" style="1" bestFit="1" customWidth="1"/>
    <col min="6660" max="6660" width="3.83203125" style="1" bestFit="1" customWidth="1"/>
    <col min="6661" max="6661" width="21" style="1" bestFit="1" customWidth="1"/>
    <col min="6662" max="6662" width="11.83203125" style="1" customWidth="1"/>
    <col min="6663" max="6663" width="11.5" style="1" customWidth="1"/>
    <col min="6664" max="6664" width="12" style="1" customWidth="1"/>
    <col min="6665" max="6665" width="11.5" style="1" customWidth="1"/>
    <col min="6666" max="6667" width="10.33203125" style="1" customWidth="1"/>
    <col min="6668" max="6682" width="8.83203125" style="1" customWidth="1"/>
    <col min="6683" max="6683" width="10.5" style="1" bestFit="1" customWidth="1"/>
    <col min="6684" max="6686" width="8.83203125" style="1" customWidth="1"/>
    <col min="6687" max="6688" width="9.1640625" style="1"/>
    <col min="6689" max="6689" width="9.5" style="1" customWidth="1"/>
    <col min="6690" max="6690" width="10.33203125" style="1" customWidth="1"/>
    <col min="6691" max="6691" width="9.6640625" style="1" customWidth="1"/>
    <col min="6692" max="6692" width="10.33203125" style="1" customWidth="1"/>
    <col min="6693" max="6693" width="14.83203125" style="1" bestFit="1" customWidth="1"/>
    <col min="6694" max="6694" width="8.83203125" style="1" customWidth="1"/>
    <col min="6695" max="6913" width="9.1640625" style="1"/>
    <col min="6914" max="6914" width="8.83203125" style="1" customWidth="1"/>
    <col min="6915" max="6915" width="21" style="1" bestFit="1" customWidth="1"/>
    <col min="6916" max="6916" width="3.83203125" style="1" bestFit="1" customWidth="1"/>
    <col min="6917" max="6917" width="21" style="1" bestFit="1" customWidth="1"/>
    <col min="6918" max="6918" width="11.83203125" style="1" customWidth="1"/>
    <col min="6919" max="6919" width="11.5" style="1" customWidth="1"/>
    <col min="6920" max="6920" width="12" style="1" customWidth="1"/>
    <col min="6921" max="6921" width="11.5" style="1" customWidth="1"/>
    <col min="6922" max="6923" width="10.33203125" style="1" customWidth="1"/>
    <col min="6924" max="6938" width="8.83203125" style="1" customWidth="1"/>
    <col min="6939" max="6939" width="10.5" style="1" bestFit="1" customWidth="1"/>
    <col min="6940" max="6942" width="8.83203125" style="1" customWidth="1"/>
    <col min="6943" max="6944" width="9.1640625" style="1"/>
    <col min="6945" max="6945" width="9.5" style="1" customWidth="1"/>
    <col min="6946" max="6946" width="10.33203125" style="1" customWidth="1"/>
    <col min="6947" max="6947" width="9.6640625" style="1" customWidth="1"/>
    <col min="6948" max="6948" width="10.33203125" style="1" customWidth="1"/>
    <col min="6949" max="6949" width="14.83203125" style="1" bestFit="1" customWidth="1"/>
    <col min="6950" max="6950" width="8.83203125" style="1" customWidth="1"/>
    <col min="6951" max="7169" width="9.1640625" style="1"/>
    <col min="7170" max="7170" width="8.83203125" style="1" customWidth="1"/>
    <col min="7171" max="7171" width="21" style="1" bestFit="1" customWidth="1"/>
    <col min="7172" max="7172" width="3.83203125" style="1" bestFit="1" customWidth="1"/>
    <col min="7173" max="7173" width="21" style="1" bestFit="1" customWidth="1"/>
    <col min="7174" max="7174" width="11.83203125" style="1" customWidth="1"/>
    <col min="7175" max="7175" width="11.5" style="1" customWidth="1"/>
    <col min="7176" max="7176" width="12" style="1" customWidth="1"/>
    <col min="7177" max="7177" width="11.5" style="1" customWidth="1"/>
    <col min="7178" max="7179" width="10.33203125" style="1" customWidth="1"/>
    <col min="7180" max="7194" width="8.83203125" style="1" customWidth="1"/>
    <col min="7195" max="7195" width="10.5" style="1" bestFit="1" customWidth="1"/>
    <col min="7196" max="7198" width="8.83203125" style="1" customWidth="1"/>
    <col min="7199" max="7200" width="9.1640625" style="1"/>
    <col min="7201" max="7201" width="9.5" style="1" customWidth="1"/>
    <col min="7202" max="7202" width="10.33203125" style="1" customWidth="1"/>
    <col min="7203" max="7203" width="9.6640625" style="1" customWidth="1"/>
    <col min="7204" max="7204" width="10.33203125" style="1" customWidth="1"/>
    <col min="7205" max="7205" width="14.83203125" style="1" bestFit="1" customWidth="1"/>
    <col min="7206" max="7206" width="8.83203125" style="1" customWidth="1"/>
    <col min="7207" max="7425" width="9.1640625" style="1"/>
    <col min="7426" max="7426" width="8.83203125" style="1" customWidth="1"/>
    <col min="7427" max="7427" width="21" style="1" bestFit="1" customWidth="1"/>
    <col min="7428" max="7428" width="3.83203125" style="1" bestFit="1" customWidth="1"/>
    <col min="7429" max="7429" width="21" style="1" bestFit="1" customWidth="1"/>
    <col min="7430" max="7430" width="11.83203125" style="1" customWidth="1"/>
    <col min="7431" max="7431" width="11.5" style="1" customWidth="1"/>
    <col min="7432" max="7432" width="12" style="1" customWidth="1"/>
    <col min="7433" max="7433" width="11.5" style="1" customWidth="1"/>
    <col min="7434" max="7435" width="10.33203125" style="1" customWidth="1"/>
    <col min="7436" max="7450" width="8.83203125" style="1" customWidth="1"/>
    <col min="7451" max="7451" width="10.5" style="1" bestFit="1" customWidth="1"/>
    <col min="7452" max="7454" width="8.83203125" style="1" customWidth="1"/>
    <col min="7455" max="7456" width="9.1640625" style="1"/>
    <col min="7457" max="7457" width="9.5" style="1" customWidth="1"/>
    <col min="7458" max="7458" width="10.33203125" style="1" customWidth="1"/>
    <col min="7459" max="7459" width="9.6640625" style="1" customWidth="1"/>
    <col min="7460" max="7460" width="10.33203125" style="1" customWidth="1"/>
    <col min="7461" max="7461" width="14.83203125" style="1" bestFit="1" customWidth="1"/>
    <col min="7462" max="7462" width="8.83203125" style="1" customWidth="1"/>
    <col min="7463" max="7681" width="9.1640625" style="1"/>
    <col min="7682" max="7682" width="8.83203125" style="1" customWidth="1"/>
    <col min="7683" max="7683" width="21" style="1" bestFit="1" customWidth="1"/>
    <col min="7684" max="7684" width="3.83203125" style="1" bestFit="1" customWidth="1"/>
    <col min="7685" max="7685" width="21" style="1" bestFit="1" customWidth="1"/>
    <col min="7686" max="7686" width="11.83203125" style="1" customWidth="1"/>
    <col min="7687" max="7687" width="11.5" style="1" customWidth="1"/>
    <col min="7688" max="7688" width="12" style="1" customWidth="1"/>
    <col min="7689" max="7689" width="11.5" style="1" customWidth="1"/>
    <col min="7690" max="7691" width="10.33203125" style="1" customWidth="1"/>
    <col min="7692" max="7706" width="8.83203125" style="1" customWidth="1"/>
    <col min="7707" max="7707" width="10.5" style="1" bestFit="1" customWidth="1"/>
    <col min="7708" max="7710" width="8.83203125" style="1" customWidth="1"/>
    <col min="7711" max="7712" width="9.1640625" style="1"/>
    <col min="7713" max="7713" width="9.5" style="1" customWidth="1"/>
    <col min="7714" max="7714" width="10.33203125" style="1" customWidth="1"/>
    <col min="7715" max="7715" width="9.6640625" style="1" customWidth="1"/>
    <col min="7716" max="7716" width="10.33203125" style="1" customWidth="1"/>
    <col min="7717" max="7717" width="14.83203125" style="1" bestFit="1" customWidth="1"/>
    <col min="7718" max="7718" width="8.83203125" style="1" customWidth="1"/>
    <col min="7719" max="7937" width="9.1640625" style="1"/>
    <col min="7938" max="7938" width="8.83203125" style="1" customWidth="1"/>
    <col min="7939" max="7939" width="21" style="1" bestFit="1" customWidth="1"/>
    <col min="7940" max="7940" width="3.83203125" style="1" bestFit="1" customWidth="1"/>
    <col min="7941" max="7941" width="21" style="1" bestFit="1" customWidth="1"/>
    <col min="7942" max="7942" width="11.83203125" style="1" customWidth="1"/>
    <col min="7943" max="7943" width="11.5" style="1" customWidth="1"/>
    <col min="7944" max="7944" width="12" style="1" customWidth="1"/>
    <col min="7945" max="7945" width="11.5" style="1" customWidth="1"/>
    <col min="7946" max="7947" width="10.33203125" style="1" customWidth="1"/>
    <col min="7948" max="7962" width="8.83203125" style="1" customWidth="1"/>
    <col min="7963" max="7963" width="10.5" style="1" bestFit="1" customWidth="1"/>
    <col min="7964" max="7966" width="8.83203125" style="1" customWidth="1"/>
    <col min="7967" max="7968" width="9.1640625" style="1"/>
    <col min="7969" max="7969" width="9.5" style="1" customWidth="1"/>
    <col min="7970" max="7970" width="10.33203125" style="1" customWidth="1"/>
    <col min="7971" max="7971" width="9.6640625" style="1" customWidth="1"/>
    <col min="7972" max="7972" width="10.33203125" style="1" customWidth="1"/>
    <col min="7973" max="7973" width="14.83203125" style="1" bestFit="1" customWidth="1"/>
    <col min="7974" max="7974" width="8.83203125" style="1" customWidth="1"/>
    <col min="7975" max="8193" width="9.1640625" style="1"/>
    <col min="8194" max="8194" width="8.83203125" style="1" customWidth="1"/>
    <col min="8195" max="8195" width="21" style="1" bestFit="1" customWidth="1"/>
    <col min="8196" max="8196" width="3.83203125" style="1" bestFit="1" customWidth="1"/>
    <col min="8197" max="8197" width="21" style="1" bestFit="1" customWidth="1"/>
    <col min="8198" max="8198" width="11.83203125" style="1" customWidth="1"/>
    <col min="8199" max="8199" width="11.5" style="1" customWidth="1"/>
    <col min="8200" max="8200" width="12" style="1" customWidth="1"/>
    <col min="8201" max="8201" width="11.5" style="1" customWidth="1"/>
    <col min="8202" max="8203" width="10.33203125" style="1" customWidth="1"/>
    <col min="8204" max="8218" width="8.83203125" style="1" customWidth="1"/>
    <col min="8219" max="8219" width="10.5" style="1" bestFit="1" customWidth="1"/>
    <col min="8220" max="8222" width="8.83203125" style="1" customWidth="1"/>
    <col min="8223" max="8224" width="9.1640625" style="1"/>
    <col min="8225" max="8225" width="9.5" style="1" customWidth="1"/>
    <col min="8226" max="8226" width="10.33203125" style="1" customWidth="1"/>
    <col min="8227" max="8227" width="9.6640625" style="1" customWidth="1"/>
    <col min="8228" max="8228" width="10.33203125" style="1" customWidth="1"/>
    <col min="8229" max="8229" width="14.83203125" style="1" bestFit="1" customWidth="1"/>
    <col min="8230" max="8230" width="8.83203125" style="1" customWidth="1"/>
    <col min="8231" max="8449" width="9.1640625" style="1"/>
    <col min="8450" max="8450" width="8.83203125" style="1" customWidth="1"/>
    <col min="8451" max="8451" width="21" style="1" bestFit="1" customWidth="1"/>
    <col min="8452" max="8452" width="3.83203125" style="1" bestFit="1" customWidth="1"/>
    <col min="8453" max="8453" width="21" style="1" bestFit="1" customWidth="1"/>
    <col min="8454" max="8454" width="11.83203125" style="1" customWidth="1"/>
    <col min="8455" max="8455" width="11.5" style="1" customWidth="1"/>
    <col min="8456" max="8456" width="12" style="1" customWidth="1"/>
    <col min="8457" max="8457" width="11.5" style="1" customWidth="1"/>
    <col min="8458" max="8459" width="10.33203125" style="1" customWidth="1"/>
    <col min="8460" max="8474" width="8.83203125" style="1" customWidth="1"/>
    <col min="8475" max="8475" width="10.5" style="1" bestFit="1" customWidth="1"/>
    <col min="8476" max="8478" width="8.83203125" style="1" customWidth="1"/>
    <col min="8479" max="8480" width="9.1640625" style="1"/>
    <col min="8481" max="8481" width="9.5" style="1" customWidth="1"/>
    <col min="8482" max="8482" width="10.33203125" style="1" customWidth="1"/>
    <col min="8483" max="8483" width="9.6640625" style="1" customWidth="1"/>
    <col min="8484" max="8484" width="10.33203125" style="1" customWidth="1"/>
    <col min="8485" max="8485" width="14.83203125" style="1" bestFit="1" customWidth="1"/>
    <col min="8486" max="8486" width="8.83203125" style="1" customWidth="1"/>
    <col min="8487" max="8705" width="9.1640625" style="1"/>
    <col min="8706" max="8706" width="8.83203125" style="1" customWidth="1"/>
    <col min="8707" max="8707" width="21" style="1" bestFit="1" customWidth="1"/>
    <col min="8708" max="8708" width="3.83203125" style="1" bestFit="1" customWidth="1"/>
    <col min="8709" max="8709" width="21" style="1" bestFit="1" customWidth="1"/>
    <col min="8710" max="8710" width="11.83203125" style="1" customWidth="1"/>
    <col min="8711" max="8711" width="11.5" style="1" customWidth="1"/>
    <col min="8712" max="8712" width="12" style="1" customWidth="1"/>
    <col min="8713" max="8713" width="11.5" style="1" customWidth="1"/>
    <col min="8714" max="8715" width="10.33203125" style="1" customWidth="1"/>
    <col min="8716" max="8730" width="8.83203125" style="1" customWidth="1"/>
    <col min="8731" max="8731" width="10.5" style="1" bestFit="1" customWidth="1"/>
    <col min="8732" max="8734" width="8.83203125" style="1" customWidth="1"/>
    <col min="8735" max="8736" width="9.1640625" style="1"/>
    <col min="8737" max="8737" width="9.5" style="1" customWidth="1"/>
    <col min="8738" max="8738" width="10.33203125" style="1" customWidth="1"/>
    <col min="8739" max="8739" width="9.6640625" style="1" customWidth="1"/>
    <col min="8740" max="8740" width="10.33203125" style="1" customWidth="1"/>
    <col min="8741" max="8741" width="14.83203125" style="1" bestFit="1" customWidth="1"/>
    <col min="8742" max="8742" width="8.83203125" style="1" customWidth="1"/>
    <col min="8743" max="8961" width="9.1640625" style="1"/>
    <col min="8962" max="8962" width="8.83203125" style="1" customWidth="1"/>
    <col min="8963" max="8963" width="21" style="1" bestFit="1" customWidth="1"/>
    <col min="8964" max="8964" width="3.83203125" style="1" bestFit="1" customWidth="1"/>
    <col min="8965" max="8965" width="21" style="1" bestFit="1" customWidth="1"/>
    <col min="8966" max="8966" width="11.83203125" style="1" customWidth="1"/>
    <col min="8967" max="8967" width="11.5" style="1" customWidth="1"/>
    <col min="8968" max="8968" width="12" style="1" customWidth="1"/>
    <col min="8969" max="8969" width="11.5" style="1" customWidth="1"/>
    <col min="8970" max="8971" width="10.33203125" style="1" customWidth="1"/>
    <col min="8972" max="8986" width="8.83203125" style="1" customWidth="1"/>
    <col min="8987" max="8987" width="10.5" style="1" bestFit="1" customWidth="1"/>
    <col min="8988" max="8990" width="8.83203125" style="1" customWidth="1"/>
    <col min="8991" max="8992" width="9.1640625" style="1"/>
    <col min="8993" max="8993" width="9.5" style="1" customWidth="1"/>
    <col min="8994" max="8994" width="10.33203125" style="1" customWidth="1"/>
    <col min="8995" max="8995" width="9.6640625" style="1" customWidth="1"/>
    <col min="8996" max="8996" width="10.33203125" style="1" customWidth="1"/>
    <col min="8997" max="8997" width="14.83203125" style="1" bestFit="1" customWidth="1"/>
    <col min="8998" max="8998" width="8.83203125" style="1" customWidth="1"/>
    <col min="8999" max="9217" width="9.1640625" style="1"/>
    <col min="9218" max="9218" width="8.83203125" style="1" customWidth="1"/>
    <col min="9219" max="9219" width="21" style="1" bestFit="1" customWidth="1"/>
    <col min="9220" max="9220" width="3.83203125" style="1" bestFit="1" customWidth="1"/>
    <col min="9221" max="9221" width="21" style="1" bestFit="1" customWidth="1"/>
    <col min="9222" max="9222" width="11.83203125" style="1" customWidth="1"/>
    <col min="9223" max="9223" width="11.5" style="1" customWidth="1"/>
    <col min="9224" max="9224" width="12" style="1" customWidth="1"/>
    <col min="9225" max="9225" width="11.5" style="1" customWidth="1"/>
    <col min="9226" max="9227" width="10.33203125" style="1" customWidth="1"/>
    <col min="9228" max="9242" width="8.83203125" style="1" customWidth="1"/>
    <col min="9243" max="9243" width="10.5" style="1" bestFit="1" customWidth="1"/>
    <col min="9244" max="9246" width="8.83203125" style="1" customWidth="1"/>
    <col min="9247" max="9248" width="9.1640625" style="1"/>
    <col min="9249" max="9249" width="9.5" style="1" customWidth="1"/>
    <col min="9250" max="9250" width="10.33203125" style="1" customWidth="1"/>
    <col min="9251" max="9251" width="9.6640625" style="1" customWidth="1"/>
    <col min="9252" max="9252" width="10.33203125" style="1" customWidth="1"/>
    <col min="9253" max="9253" width="14.83203125" style="1" bestFit="1" customWidth="1"/>
    <col min="9254" max="9254" width="8.83203125" style="1" customWidth="1"/>
    <col min="9255" max="9473" width="9.1640625" style="1"/>
    <col min="9474" max="9474" width="8.83203125" style="1" customWidth="1"/>
    <col min="9475" max="9475" width="21" style="1" bestFit="1" customWidth="1"/>
    <col min="9476" max="9476" width="3.83203125" style="1" bestFit="1" customWidth="1"/>
    <col min="9477" max="9477" width="21" style="1" bestFit="1" customWidth="1"/>
    <col min="9478" max="9478" width="11.83203125" style="1" customWidth="1"/>
    <col min="9479" max="9479" width="11.5" style="1" customWidth="1"/>
    <col min="9480" max="9480" width="12" style="1" customWidth="1"/>
    <col min="9481" max="9481" width="11.5" style="1" customWidth="1"/>
    <col min="9482" max="9483" width="10.33203125" style="1" customWidth="1"/>
    <col min="9484" max="9498" width="8.83203125" style="1" customWidth="1"/>
    <col min="9499" max="9499" width="10.5" style="1" bestFit="1" customWidth="1"/>
    <col min="9500" max="9502" width="8.83203125" style="1" customWidth="1"/>
    <col min="9503" max="9504" width="9.1640625" style="1"/>
    <col min="9505" max="9505" width="9.5" style="1" customWidth="1"/>
    <col min="9506" max="9506" width="10.33203125" style="1" customWidth="1"/>
    <col min="9507" max="9507" width="9.6640625" style="1" customWidth="1"/>
    <col min="9508" max="9508" width="10.33203125" style="1" customWidth="1"/>
    <col min="9509" max="9509" width="14.83203125" style="1" bestFit="1" customWidth="1"/>
    <col min="9510" max="9510" width="8.83203125" style="1" customWidth="1"/>
    <col min="9511" max="9729" width="9.1640625" style="1"/>
    <col min="9730" max="9730" width="8.83203125" style="1" customWidth="1"/>
    <col min="9731" max="9731" width="21" style="1" bestFit="1" customWidth="1"/>
    <col min="9732" max="9732" width="3.83203125" style="1" bestFit="1" customWidth="1"/>
    <col min="9733" max="9733" width="21" style="1" bestFit="1" customWidth="1"/>
    <col min="9734" max="9734" width="11.83203125" style="1" customWidth="1"/>
    <col min="9735" max="9735" width="11.5" style="1" customWidth="1"/>
    <col min="9736" max="9736" width="12" style="1" customWidth="1"/>
    <col min="9737" max="9737" width="11.5" style="1" customWidth="1"/>
    <col min="9738" max="9739" width="10.33203125" style="1" customWidth="1"/>
    <col min="9740" max="9754" width="8.83203125" style="1" customWidth="1"/>
    <col min="9755" max="9755" width="10.5" style="1" bestFit="1" customWidth="1"/>
    <col min="9756" max="9758" width="8.83203125" style="1" customWidth="1"/>
    <col min="9759" max="9760" width="9.1640625" style="1"/>
    <col min="9761" max="9761" width="9.5" style="1" customWidth="1"/>
    <col min="9762" max="9762" width="10.33203125" style="1" customWidth="1"/>
    <col min="9763" max="9763" width="9.6640625" style="1" customWidth="1"/>
    <col min="9764" max="9764" width="10.33203125" style="1" customWidth="1"/>
    <col min="9765" max="9765" width="14.83203125" style="1" bestFit="1" customWidth="1"/>
    <col min="9766" max="9766" width="8.83203125" style="1" customWidth="1"/>
    <col min="9767" max="9985" width="9.1640625" style="1"/>
    <col min="9986" max="9986" width="8.83203125" style="1" customWidth="1"/>
    <col min="9987" max="9987" width="21" style="1" bestFit="1" customWidth="1"/>
    <col min="9988" max="9988" width="3.83203125" style="1" bestFit="1" customWidth="1"/>
    <col min="9989" max="9989" width="21" style="1" bestFit="1" customWidth="1"/>
    <col min="9990" max="9990" width="11.83203125" style="1" customWidth="1"/>
    <col min="9991" max="9991" width="11.5" style="1" customWidth="1"/>
    <col min="9992" max="9992" width="12" style="1" customWidth="1"/>
    <col min="9993" max="9993" width="11.5" style="1" customWidth="1"/>
    <col min="9994" max="9995" width="10.33203125" style="1" customWidth="1"/>
    <col min="9996" max="10010" width="8.83203125" style="1" customWidth="1"/>
    <col min="10011" max="10011" width="10.5" style="1" bestFit="1" customWidth="1"/>
    <col min="10012" max="10014" width="8.83203125" style="1" customWidth="1"/>
    <col min="10015" max="10016" width="9.1640625" style="1"/>
    <col min="10017" max="10017" width="9.5" style="1" customWidth="1"/>
    <col min="10018" max="10018" width="10.33203125" style="1" customWidth="1"/>
    <col min="10019" max="10019" width="9.6640625" style="1" customWidth="1"/>
    <col min="10020" max="10020" width="10.33203125" style="1" customWidth="1"/>
    <col min="10021" max="10021" width="14.83203125" style="1" bestFit="1" customWidth="1"/>
    <col min="10022" max="10022" width="8.83203125" style="1" customWidth="1"/>
    <col min="10023" max="10241" width="9.1640625" style="1"/>
    <col min="10242" max="10242" width="8.83203125" style="1" customWidth="1"/>
    <col min="10243" max="10243" width="21" style="1" bestFit="1" customWidth="1"/>
    <col min="10244" max="10244" width="3.83203125" style="1" bestFit="1" customWidth="1"/>
    <col min="10245" max="10245" width="21" style="1" bestFit="1" customWidth="1"/>
    <col min="10246" max="10246" width="11.83203125" style="1" customWidth="1"/>
    <col min="10247" max="10247" width="11.5" style="1" customWidth="1"/>
    <col min="10248" max="10248" width="12" style="1" customWidth="1"/>
    <col min="10249" max="10249" width="11.5" style="1" customWidth="1"/>
    <col min="10250" max="10251" width="10.33203125" style="1" customWidth="1"/>
    <col min="10252" max="10266" width="8.83203125" style="1" customWidth="1"/>
    <col min="10267" max="10267" width="10.5" style="1" bestFit="1" customWidth="1"/>
    <col min="10268" max="10270" width="8.83203125" style="1" customWidth="1"/>
    <col min="10271" max="10272" width="9.1640625" style="1"/>
    <col min="10273" max="10273" width="9.5" style="1" customWidth="1"/>
    <col min="10274" max="10274" width="10.33203125" style="1" customWidth="1"/>
    <col min="10275" max="10275" width="9.6640625" style="1" customWidth="1"/>
    <col min="10276" max="10276" width="10.33203125" style="1" customWidth="1"/>
    <col min="10277" max="10277" width="14.83203125" style="1" bestFit="1" customWidth="1"/>
    <col min="10278" max="10278" width="8.83203125" style="1" customWidth="1"/>
    <col min="10279" max="10497" width="9.1640625" style="1"/>
    <col min="10498" max="10498" width="8.83203125" style="1" customWidth="1"/>
    <col min="10499" max="10499" width="21" style="1" bestFit="1" customWidth="1"/>
    <col min="10500" max="10500" width="3.83203125" style="1" bestFit="1" customWidth="1"/>
    <col min="10501" max="10501" width="21" style="1" bestFit="1" customWidth="1"/>
    <col min="10502" max="10502" width="11.83203125" style="1" customWidth="1"/>
    <col min="10503" max="10503" width="11.5" style="1" customWidth="1"/>
    <col min="10504" max="10504" width="12" style="1" customWidth="1"/>
    <col min="10505" max="10505" width="11.5" style="1" customWidth="1"/>
    <col min="10506" max="10507" width="10.33203125" style="1" customWidth="1"/>
    <col min="10508" max="10522" width="8.83203125" style="1" customWidth="1"/>
    <col min="10523" max="10523" width="10.5" style="1" bestFit="1" customWidth="1"/>
    <col min="10524" max="10526" width="8.83203125" style="1" customWidth="1"/>
    <col min="10527" max="10528" width="9.1640625" style="1"/>
    <col min="10529" max="10529" width="9.5" style="1" customWidth="1"/>
    <col min="10530" max="10530" width="10.33203125" style="1" customWidth="1"/>
    <col min="10531" max="10531" width="9.6640625" style="1" customWidth="1"/>
    <col min="10532" max="10532" width="10.33203125" style="1" customWidth="1"/>
    <col min="10533" max="10533" width="14.83203125" style="1" bestFit="1" customWidth="1"/>
    <col min="10534" max="10534" width="8.83203125" style="1" customWidth="1"/>
    <col min="10535" max="10753" width="9.1640625" style="1"/>
    <col min="10754" max="10754" width="8.83203125" style="1" customWidth="1"/>
    <col min="10755" max="10755" width="21" style="1" bestFit="1" customWidth="1"/>
    <col min="10756" max="10756" width="3.83203125" style="1" bestFit="1" customWidth="1"/>
    <col min="10757" max="10757" width="21" style="1" bestFit="1" customWidth="1"/>
    <col min="10758" max="10758" width="11.83203125" style="1" customWidth="1"/>
    <col min="10759" max="10759" width="11.5" style="1" customWidth="1"/>
    <col min="10760" max="10760" width="12" style="1" customWidth="1"/>
    <col min="10761" max="10761" width="11.5" style="1" customWidth="1"/>
    <col min="10762" max="10763" width="10.33203125" style="1" customWidth="1"/>
    <col min="10764" max="10778" width="8.83203125" style="1" customWidth="1"/>
    <col min="10779" max="10779" width="10.5" style="1" bestFit="1" customWidth="1"/>
    <col min="10780" max="10782" width="8.83203125" style="1" customWidth="1"/>
    <col min="10783" max="10784" width="9.1640625" style="1"/>
    <col min="10785" max="10785" width="9.5" style="1" customWidth="1"/>
    <col min="10786" max="10786" width="10.33203125" style="1" customWidth="1"/>
    <col min="10787" max="10787" width="9.6640625" style="1" customWidth="1"/>
    <col min="10788" max="10788" width="10.33203125" style="1" customWidth="1"/>
    <col min="10789" max="10789" width="14.83203125" style="1" bestFit="1" customWidth="1"/>
    <col min="10790" max="10790" width="8.83203125" style="1" customWidth="1"/>
    <col min="10791" max="11009" width="9.1640625" style="1"/>
    <col min="11010" max="11010" width="8.83203125" style="1" customWidth="1"/>
    <col min="11011" max="11011" width="21" style="1" bestFit="1" customWidth="1"/>
    <col min="11012" max="11012" width="3.83203125" style="1" bestFit="1" customWidth="1"/>
    <col min="11013" max="11013" width="21" style="1" bestFit="1" customWidth="1"/>
    <col min="11014" max="11014" width="11.83203125" style="1" customWidth="1"/>
    <col min="11015" max="11015" width="11.5" style="1" customWidth="1"/>
    <col min="11016" max="11016" width="12" style="1" customWidth="1"/>
    <col min="11017" max="11017" width="11.5" style="1" customWidth="1"/>
    <col min="11018" max="11019" width="10.33203125" style="1" customWidth="1"/>
    <col min="11020" max="11034" width="8.83203125" style="1" customWidth="1"/>
    <col min="11035" max="11035" width="10.5" style="1" bestFit="1" customWidth="1"/>
    <col min="11036" max="11038" width="8.83203125" style="1" customWidth="1"/>
    <col min="11039" max="11040" width="9.1640625" style="1"/>
    <col min="11041" max="11041" width="9.5" style="1" customWidth="1"/>
    <col min="11042" max="11042" width="10.33203125" style="1" customWidth="1"/>
    <col min="11043" max="11043" width="9.6640625" style="1" customWidth="1"/>
    <col min="11044" max="11044" width="10.33203125" style="1" customWidth="1"/>
    <col min="11045" max="11045" width="14.83203125" style="1" bestFit="1" customWidth="1"/>
    <col min="11046" max="11046" width="8.83203125" style="1" customWidth="1"/>
    <col min="11047" max="11265" width="9.1640625" style="1"/>
    <col min="11266" max="11266" width="8.83203125" style="1" customWidth="1"/>
    <col min="11267" max="11267" width="21" style="1" bestFit="1" customWidth="1"/>
    <col min="11268" max="11268" width="3.83203125" style="1" bestFit="1" customWidth="1"/>
    <col min="11269" max="11269" width="21" style="1" bestFit="1" customWidth="1"/>
    <col min="11270" max="11270" width="11.83203125" style="1" customWidth="1"/>
    <col min="11271" max="11271" width="11.5" style="1" customWidth="1"/>
    <col min="11272" max="11272" width="12" style="1" customWidth="1"/>
    <col min="11273" max="11273" width="11.5" style="1" customWidth="1"/>
    <col min="11274" max="11275" width="10.33203125" style="1" customWidth="1"/>
    <col min="11276" max="11290" width="8.83203125" style="1" customWidth="1"/>
    <col min="11291" max="11291" width="10.5" style="1" bestFit="1" customWidth="1"/>
    <col min="11292" max="11294" width="8.83203125" style="1" customWidth="1"/>
    <col min="11295" max="11296" width="9.1640625" style="1"/>
    <col min="11297" max="11297" width="9.5" style="1" customWidth="1"/>
    <col min="11298" max="11298" width="10.33203125" style="1" customWidth="1"/>
    <col min="11299" max="11299" width="9.6640625" style="1" customWidth="1"/>
    <col min="11300" max="11300" width="10.33203125" style="1" customWidth="1"/>
    <col min="11301" max="11301" width="14.83203125" style="1" bestFit="1" customWidth="1"/>
    <col min="11302" max="11302" width="8.83203125" style="1" customWidth="1"/>
    <col min="11303" max="11521" width="9.1640625" style="1"/>
    <col min="11522" max="11522" width="8.83203125" style="1" customWidth="1"/>
    <col min="11523" max="11523" width="21" style="1" bestFit="1" customWidth="1"/>
    <col min="11524" max="11524" width="3.83203125" style="1" bestFit="1" customWidth="1"/>
    <col min="11525" max="11525" width="21" style="1" bestFit="1" customWidth="1"/>
    <col min="11526" max="11526" width="11.83203125" style="1" customWidth="1"/>
    <col min="11527" max="11527" width="11.5" style="1" customWidth="1"/>
    <col min="11528" max="11528" width="12" style="1" customWidth="1"/>
    <col min="11529" max="11529" width="11.5" style="1" customWidth="1"/>
    <col min="11530" max="11531" width="10.33203125" style="1" customWidth="1"/>
    <col min="11532" max="11546" width="8.83203125" style="1" customWidth="1"/>
    <col min="11547" max="11547" width="10.5" style="1" bestFit="1" customWidth="1"/>
    <col min="11548" max="11550" width="8.83203125" style="1" customWidth="1"/>
    <col min="11551" max="11552" width="9.1640625" style="1"/>
    <col min="11553" max="11553" width="9.5" style="1" customWidth="1"/>
    <col min="11554" max="11554" width="10.33203125" style="1" customWidth="1"/>
    <col min="11555" max="11555" width="9.6640625" style="1" customWidth="1"/>
    <col min="11556" max="11556" width="10.33203125" style="1" customWidth="1"/>
    <col min="11557" max="11557" width="14.83203125" style="1" bestFit="1" customWidth="1"/>
    <col min="11558" max="11558" width="8.83203125" style="1" customWidth="1"/>
    <col min="11559" max="11777" width="9.1640625" style="1"/>
    <col min="11778" max="11778" width="8.83203125" style="1" customWidth="1"/>
    <col min="11779" max="11779" width="21" style="1" bestFit="1" customWidth="1"/>
    <col min="11780" max="11780" width="3.83203125" style="1" bestFit="1" customWidth="1"/>
    <col min="11781" max="11781" width="21" style="1" bestFit="1" customWidth="1"/>
    <col min="11782" max="11782" width="11.83203125" style="1" customWidth="1"/>
    <col min="11783" max="11783" width="11.5" style="1" customWidth="1"/>
    <col min="11784" max="11784" width="12" style="1" customWidth="1"/>
    <col min="11785" max="11785" width="11.5" style="1" customWidth="1"/>
    <col min="11786" max="11787" width="10.33203125" style="1" customWidth="1"/>
    <col min="11788" max="11802" width="8.83203125" style="1" customWidth="1"/>
    <col min="11803" max="11803" width="10.5" style="1" bestFit="1" customWidth="1"/>
    <col min="11804" max="11806" width="8.83203125" style="1" customWidth="1"/>
    <col min="11807" max="11808" width="9.1640625" style="1"/>
    <col min="11809" max="11809" width="9.5" style="1" customWidth="1"/>
    <col min="11810" max="11810" width="10.33203125" style="1" customWidth="1"/>
    <col min="11811" max="11811" width="9.6640625" style="1" customWidth="1"/>
    <col min="11812" max="11812" width="10.33203125" style="1" customWidth="1"/>
    <col min="11813" max="11813" width="14.83203125" style="1" bestFit="1" customWidth="1"/>
    <col min="11814" max="11814" width="8.83203125" style="1" customWidth="1"/>
    <col min="11815" max="12033" width="9.1640625" style="1"/>
    <col min="12034" max="12034" width="8.83203125" style="1" customWidth="1"/>
    <col min="12035" max="12035" width="21" style="1" bestFit="1" customWidth="1"/>
    <col min="12036" max="12036" width="3.83203125" style="1" bestFit="1" customWidth="1"/>
    <col min="12037" max="12037" width="21" style="1" bestFit="1" customWidth="1"/>
    <col min="12038" max="12038" width="11.83203125" style="1" customWidth="1"/>
    <col min="12039" max="12039" width="11.5" style="1" customWidth="1"/>
    <col min="12040" max="12040" width="12" style="1" customWidth="1"/>
    <col min="12041" max="12041" width="11.5" style="1" customWidth="1"/>
    <col min="12042" max="12043" width="10.33203125" style="1" customWidth="1"/>
    <col min="12044" max="12058" width="8.83203125" style="1" customWidth="1"/>
    <col min="12059" max="12059" width="10.5" style="1" bestFit="1" customWidth="1"/>
    <col min="12060" max="12062" width="8.83203125" style="1" customWidth="1"/>
    <col min="12063" max="12064" width="9.1640625" style="1"/>
    <col min="12065" max="12065" width="9.5" style="1" customWidth="1"/>
    <col min="12066" max="12066" width="10.33203125" style="1" customWidth="1"/>
    <col min="12067" max="12067" width="9.6640625" style="1" customWidth="1"/>
    <col min="12068" max="12068" width="10.33203125" style="1" customWidth="1"/>
    <col min="12069" max="12069" width="14.83203125" style="1" bestFit="1" customWidth="1"/>
    <col min="12070" max="12070" width="8.83203125" style="1" customWidth="1"/>
    <col min="12071" max="12289" width="9.1640625" style="1"/>
    <col min="12290" max="12290" width="8.83203125" style="1" customWidth="1"/>
    <col min="12291" max="12291" width="21" style="1" bestFit="1" customWidth="1"/>
    <col min="12292" max="12292" width="3.83203125" style="1" bestFit="1" customWidth="1"/>
    <col min="12293" max="12293" width="21" style="1" bestFit="1" customWidth="1"/>
    <col min="12294" max="12294" width="11.83203125" style="1" customWidth="1"/>
    <col min="12295" max="12295" width="11.5" style="1" customWidth="1"/>
    <col min="12296" max="12296" width="12" style="1" customWidth="1"/>
    <col min="12297" max="12297" width="11.5" style="1" customWidth="1"/>
    <col min="12298" max="12299" width="10.33203125" style="1" customWidth="1"/>
    <col min="12300" max="12314" width="8.83203125" style="1" customWidth="1"/>
    <col min="12315" max="12315" width="10.5" style="1" bestFit="1" customWidth="1"/>
    <col min="12316" max="12318" width="8.83203125" style="1" customWidth="1"/>
    <col min="12319" max="12320" width="9.1640625" style="1"/>
    <col min="12321" max="12321" width="9.5" style="1" customWidth="1"/>
    <col min="12322" max="12322" width="10.33203125" style="1" customWidth="1"/>
    <col min="12323" max="12323" width="9.6640625" style="1" customWidth="1"/>
    <col min="12324" max="12324" width="10.33203125" style="1" customWidth="1"/>
    <col min="12325" max="12325" width="14.83203125" style="1" bestFit="1" customWidth="1"/>
    <col min="12326" max="12326" width="8.83203125" style="1" customWidth="1"/>
    <col min="12327" max="12545" width="9.1640625" style="1"/>
    <col min="12546" max="12546" width="8.83203125" style="1" customWidth="1"/>
    <col min="12547" max="12547" width="21" style="1" bestFit="1" customWidth="1"/>
    <col min="12548" max="12548" width="3.83203125" style="1" bestFit="1" customWidth="1"/>
    <col min="12549" max="12549" width="21" style="1" bestFit="1" customWidth="1"/>
    <col min="12550" max="12550" width="11.83203125" style="1" customWidth="1"/>
    <col min="12551" max="12551" width="11.5" style="1" customWidth="1"/>
    <col min="12552" max="12552" width="12" style="1" customWidth="1"/>
    <col min="12553" max="12553" width="11.5" style="1" customWidth="1"/>
    <col min="12554" max="12555" width="10.33203125" style="1" customWidth="1"/>
    <col min="12556" max="12570" width="8.83203125" style="1" customWidth="1"/>
    <col min="12571" max="12571" width="10.5" style="1" bestFit="1" customWidth="1"/>
    <col min="12572" max="12574" width="8.83203125" style="1" customWidth="1"/>
    <col min="12575" max="12576" width="9.1640625" style="1"/>
    <col min="12577" max="12577" width="9.5" style="1" customWidth="1"/>
    <col min="12578" max="12578" width="10.33203125" style="1" customWidth="1"/>
    <col min="12579" max="12579" width="9.6640625" style="1" customWidth="1"/>
    <col min="12580" max="12580" width="10.33203125" style="1" customWidth="1"/>
    <col min="12581" max="12581" width="14.83203125" style="1" bestFit="1" customWidth="1"/>
    <col min="12582" max="12582" width="8.83203125" style="1" customWidth="1"/>
    <col min="12583" max="12801" width="9.1640625" style="1"/>
    <col min="12802" max="12802" width="8.83203125" style="1" customWidth="1"/>
    <col min="12803" max="12803" width="21" style="1" bestFit="1" customWidth="1"/>
    <col min="12804" max="12804" width="3.83203125" style="1" bestFit="1" customWidth="1"/>
    <col min="12805" max="12805" width="21" style="1" bestFit="1" customWidth="1"/>
    <col min="12806" max="12806" width="11.83203125" style="1" customWidth="1"/>
    <col min="12807" max="12807" width="11.5" style="1" customWidth="1"/>
    <col min="12808" max="12808" width="12" style="1" customWidth="1"/>
    <col min="12809" max="12809" width="11.5" style="1" customWidth="1"/>
    <col min="12810" max="12811" width="10.33203125" style="1" customWidth="1"/>
    <col min="12812" max="12826" width="8.83203125" style="1" customWidth="1"/>
    <col min="12827" max="12827" width="10.5" style="1" bestFit="1" customWidth="1"/>
    <col min="12828" max="12830" width="8.83203125" style="1" customWidth="1"/>
    <col min="12831" max="12832" width="9.1640625" style="1"/>
    <col min="12833" max="12833" width="9.5" style="1" customWidth="1"/>
    <col min="12834" max="12834" width="10.33203125" style="1" customWidth="1"/>
    <col min="12835" max="12835" width="9.6640625" style="1" customWidth="1"/>
    <col min="12836" max="12836" width="10.33203125" style="1" customWidth="1"/>
    <col min="12837" max="12837" width="14.83203125" style="1" bestFit="1" customWidth="1"/>
    <col min="12838" max="12838" width="8.83203125" style="1" customWidth="1"/>
    <col min="12839" max="13057" width="9.1640625" style="1"/>
    <col min="13058" max="13058" width="8.83203125" style="1" customWidth="1"/>
    <col min="13059" max="13059" width="21" style="1" bestFit="1" customWidth="1"/>
    <col min="13060" max="13060" width="3.83203125" style="1" bestFit="1" customWidth="1"/>
    <col min="13061" max="13061" width="21" style="1" bestFit="1" customWidth="1"/>
    <col min="13062" max="13062" width="11.83203125" style="1" customWidth="1"/>
    <col min="13063" max="13063" width="11.5" style="1" customWidth="1"/>
    <col min="13064" max="13064" width="12" style="1" customWidth="1"/>
    <col min="13065" max="13065" width="11.5" style="1" customWidth="1"/>
    <col min="13066" max="13067" width="10.33203125" style="1" customWidth="1"/>
    <col min="13068" max="13082" width="8.83203125" style="1" customWidth="1"/>
    <col min="13083" max="13083" width="10.5" style="1" bestFit="1" customWidth="1"/>
    <col min="13084" max="13086" width="8.83203125" style="1" customWidth="1"/>
    <col min="13087" max="13088" width="9.1640625" style="1"/>
    <col min="13089" max="13089" width="9.5" style="1" customWidth="1"/>
    <col min="13090" max="13090" width="10.33203125" style="1" customWidth="1"/>
    <col min="13091" max="13091" width="9.6640625" style="1" customWidth="1"/>
    <col min="13092" max="13092" width="10.33203125" style="1" customWidth="1"/>
    <col min="13093" max="13093" width="14.83203125" style="1" bestFit="1" customWidth="1"/>
    <col min="13094" max="13094" width="8.83203125" style="1" customWidth="1"/>
    <col min="13095" max="13313" width="9.1640625" style="1"/>
    <col min="13314" max="13314" width="8.83203125" style="1" customWidth="1"/>
    <col min="13315" max="13315" width="21" style="1" bestFit="1" customWidth="1"/>
    <col min="13316" max="13316" width="3.83203125" style="1" bestFit="1" customWidth="1"/>
    <col min="13317" max="13317" width="21" style="1" bestFit="1" customWidth="1"/>
    <col min="13318" max="13318" width="11.83203125" style="1" customWidth="1"/>
    <col min="13319" max="13319" width="11.5" style="1" customWidth="1"/>
    <col min="13320" max="13320" width="12" style="1" customWidth="1"/>
    <col min="13321" max="13321" width="11.5" style="1" customWidth="1"/>
    <col min="13322" max="13323" width="10.33203125" style="1" customWidth="1"/>
    <col min="13324" max="13338" width="8.83203125" style="1" customWidth="1"/>
    <col min="13339" max="13339" width="10.5" style="1" bestFit="1" customWidth="1"/>
    <col min="13340" max="13342" width="8.83203125" style="1" customWidth="1"/>
    <col min="13343" max="13344" width="9.1640625" style="1"/>
    <col min="13345" max="13345" width="9.5" style="1" customWidth="1"/>
    <col min="13346" max="13346" width="10.33203125" style="1" customWidth="1"/>
    <col min="13347" max="13347" width="9.6640625" style="1" customWidth="1"/>
    <col min="13348" max="13348" width="10.33203125" style="1" customWidth="1"/>
    <col min="13349" max="13349" width="14.83203125" style="1" bestFit="1" customWidth="1"/>
    <col min="13350" max="13350" width="8.83203125" style="1" customWidth="1"/>
    <col min="13351" max="13569" width="9.1640625" style="1"/>
    <col min="13570" max="13570" width="8.83203125" style="1" customWidth="1"/>
    <col min="13571" max="13571" width="21" style="1" bestFit="1" customWidth="1"/>
    <col min="13572" max="13572" width="3.83203125" style="1" bestFit="1" customWidth="1"/>
    <col min="13573" max="13573" width="21" style="1" bestFit="1" customWidth="1"/>
    <col min="13574" max="13574" width="11.83203125" style="1" customWidth="1"/>
    <col min="13575" max="13575" width="11.5" style="1" customWidth="1"/>
    <col min="13576" max="13576" width="12" style="1" customWidth="1"/>
    <col min="13577" max="13577" width="11.5" style="1" customWidth="1"/>
    <col min="13578" max="13579" width="10.33203125" style="1" customWidth="1"/>
    <col min="13580" max="13594" width="8.83203125" style="1" customWidth="1"/>
    <col min="13595" max="13595" width="10.5" style="1" bestFit="1" customWidth="1"/>
    <col min="13596" max="13598" width="8.83203125" style="1" customWidth="1"/>
    <col min="13599" max="13600" width="9.1640625" style="1"/>
    <col min="13601" max="13601" width="9.5" style="1" customWidth="1"/>
    <col min="13602" max="13602" width="10.33203125" style="1" customWidth="1"/>
    <col min="13603" max="13603" width="9.6640625" style="1" customWidth="1"/>
    <col min="13604" max="13604" width="10.33203125" style="1" customWidth="1"/>
    <col min="13605" max="13605" width="14.83203125" style="1" bestFit="1" customWidth="1"/>
    <col min="13606" max="13606" width="8.83203125" style="1" customWidth="1"/>
    <col min="13607" max="13825" width="9.1640625" style="1"/>
    <col min="13826" max="13826" width="8.83203125" style="1" customWidth="1"/>
    <col min="13827" max="13827" width="21" style="1" bestFit="1" customWidth="1"/>
    <col min="13828" max="13828" width="3.83203125" style="1" bestFit="1" customWidth="1"/>
    <col min="13829" max="13829" width="21" style="1" bestFit="1" customWidth="1"/>
    <col min="13830" max="13830" width="11.83203125" style="1" customWidth="1"/>
    <col min="13831" max="13831" width="11.5" style="1" customWidth="1"/>
    <col min="13832" max="13832" width="12" style="1" customWidth="1"/>
    <col min="13833" max="13833" width="11.5" style="1" customWidth="1"/>
    <col min="13834" max="13835" width="10.33203125" style="1" customWidth="1"/>
    <col min="13836" max="13850" width="8.83203125" style="1" customWidth="1"/>
    <col min="13851" max="13851" width="10.5" style="1" bestFit="1" customWidth="1"/>
    <col min="13852" max="13854" width="8.83203125" style="1" customWidth="1"/>
    <col min="13855" max="13856" width="9.1640625" style="1"/>
    <col min="13857" max="13857" width="9.5" style="1" customWidth="1"/>
    <col min="13858" max="13858" width="10.33203125" style="1" customWidth="1"/>
    <col min="13859" max="13859" width="9.6640625" style="1" customWidth="1"/>
    <col min="13860" max="13860" width="10.33203125" style="1" customWidth="1"/>
    <col min="13861" max="13861" width="14.83203125" style="1" bestFit="1" customWidth="1"/>
    <col min="13862" max="13862" width="8.83203125" style="1" customWidth="1"/>
    <col min="13863" max="14081" width="9.1640625" style="1"/>
    <col min="14082" max="14082" width="8.83203125" style="1" customWidth="1"/>
    <col min="14083" max="14083" width="21" style="1" bestFit="1" customWidth="1"/>
    <col min="14084" max="14084" width="3.83203125" style="1" bestFit="1" customWidth="1"/>
    <col min="14085" max="14085" width="21" style="1" bestFit="1" customWidth="1"/>
    <col min="14086" max="14086" width="11.83203125" style="1" customWidth="1"/>
    <col min="14087" max="14087" width="11.5" style="1" customWidth="1"/>
    <col min="14088" max="14088" width="12" style="1" customWidth="1"/>
    <col min="14089" max="14089" width="11.5" style="1" customWidth="1"/>
    <col min="14090" max="14091" width="10.33203125" style="1" customWidth="1"/>
    <col min="14092" max="14106" width="8.83203125" style="1" customWidth="1"/>
    <col min="14107" max="14107" width="10.5" style="1" bestFit="1" customWidth="1"/>
    <col min="14108" max="14110" width="8.83203125" style="1" customWidth="1"/>
    <col min="14111" max="14112" width="9.1640625" style="1"/>
    <col min="14113" max="14113" width="9.5" style="1" customWidth="1"/>
    <col min="14114" max="14114" width="10.33203125" style="1" customWidth="1"/>
    <col min="14115" max="14115" width="9.6640625" style="1" customWidth="1"/>
    <col min="14116" max="14116" width="10.33203125" style="1" customWidth="1"/>
    <col min="14117" max="14117" width="14.83203125" style="1" bestFit="1" customWidth="1"/>
    <col min="14118" max="14118" width="8.83203125" style="1" customWidth="1"/>
    <col min="14119" max="14337" width="9.1640625" style="1"/>
    <col min="14338" max="14338" width="8.83203125" style="1" customWidth="1"/>
    <col min="14339" max="14339" width="21" style="1" bestFit="1" customWidth="1"/>
    <col min="14340" max="14340" width="3.83203125" style="1" bestFit="1" customWidth="1"/>
    <col min="14341" max="14341" width="21" style="1" bestFit="1" customWidth="1"/>
    <col min="14342" max="14342" width="11.83203125" style="1" customWidth="1"/>
    <col min="14343" max="14343" width="11.5" style="1" customWidth="1"/>
    <col min="14344" max="14344" width="12" style="1" customWidth="1"/>
    <col min="14345" max="14345" width="11.5" style="1" customWidth="1"/>
    <col min="14346" max="14347" width="10.33203125" style="1" customWidth="1"/>
    <col min="14348" max="14362" width="8.83203125" style="1" customWidth="1"/>
    <col min="14363" max="14363" width="10.5" style="1" bestFit="1" customWidth="1"/>
    <col min="14364" max="14366" width="8.83203125" style="1" customWidth="1"/>
    <col min="14367" max="14368" width="9.1640625" style="1"/>
    <col min="14369" max="14369" width="9.5" style="1" customWidth="1"/>
    <col min="14370" max="14370" width="10.33203125" style="1" customWidth="1"/>
    <col min="14371" max="14371" width="9.6640625" style="1" customWidth="1"/>
    <col min="14372" max="14372" width="10.33203125" style="1" customWidth="1"/>
    <col min="14373" max="14373" width="14.83203125" style="1" bestFit="1" customWidth="1"/>
    <col min="14374" max="14374" width="8.83203125" style="1" customWidth="1"/>
    <col min="14375" max="14593" width="9.1640625" style="1"/>
    <col min="14594" max="14594" width="8.83203125" style="1" customWidth="1"/>
    <col min="14595" max="14595" width="21" style="1" bestFit="1" customWidth="1"/>
    <col min="14596" max="14596" width="3.83203125" style="1" bestFit="1" customWidth="1"/>
    <col min="14597" max="14597" width="21" style="1" bestFit="1" customWidth="1"/>
    <col min="14598" max="14598" width="11.83203125" style="1" customWidth="1"/>
    <col min="14599" max="14599" width="11.5" style="1" customWidth="1"/>
    <col min="14600" max="14600" width="12" style="1" customWidth="1"/>
    <col min="14601" max="14601" width="11.5" style="1" customWidth="1"/>
    <col min="14602" max="14603" width="10.33203125" style="1" customWidth="1"/>
    <col min="14604" max="14618" width="8.83203125" style="1" customWidth="1"/>
    <col min="14619" max="14619" width="10.5" style="1" bestFit="1" customWidth="1"/>
    <col min="14620" max="14622" width="8.83203125" style="1" customWidth="1"/>
    <col min="14623" max="14624" width="9.1640625" style="1"/>
    <col min="14625" max="14625" width="9.5" style="1" customWidth="1"/>
    <col min="14626" max="14626" width="10.33203125" style="1" customWidth="1"/>
    <col min="14627" max="14627" width="9.6640625" style="1" customWidth="1"/>
    <col min="14628" max="14628" width="10.33203125" style="1" customWidth="1"/>
    <col min="14629" max="14629" width="14.83203125" style="1" bestFit="1" customWidth="1"/>
    <col min="14630" max="14630" width="8.83203125" style="1" customWidth="1"/>
    <col min="14631" max="14849" width="9.1640625" style="1"/>
    <col min="14850" max="14850" width="8.83203125" style="1" customWidth="1"/>
    <col min="14851" max="14851" width="21" style="1" bestFit="1" customWidth="1"/>
    <col min="14852" max="14852" width="3.83203125" style="1" bestFit="1" customWidth="1"/>
    <col min="14853" max="14853" width="21" style="1" bestFit="1" customWidth="1"/>
    <col min="14854" max="14854" width="11.83203125" style="1" customWidth="1"/>
    <col min="14855" max="14855" width="11.5" style="1" customWidth="1"/>
    <col min="14856" max="14856" width="12" style="1" customWidth="1"/>
    <col min="14857" max="14857" width="11.5" style="1" customWidth="1"/>
    <col min="14858" max="14859" width="10.33203125" style="1" customWidth="1"/>
    <col min="14860" max="14874" width="8.83203125" style="1" customWidth="1"/>
    <col min="14875" max="14875" width="10.5" style="1" bestFit="1" customWidth="1"/>
    <col min="14876" max="14878" width="8.83203125" style="1" customWidth="1"/>
    <col min="14879" max="14880" width="9.1640625" style="1"/>
    <col min="14881" max="14881" width="9.5" style="1" customWidth="1"/>
    <col min="14882" max="14882" width="10.33203125" style="1" customWidth="1"/>
    <col min="14883" max="14883" width="9.6640625" style="1" customWidth="1"/>
    <col min="14884" max="14884" width="10.33203125" style="1" customWidth="1"/>
    <col min="14885" max="14885" width="14.83203125" style="1" bestFit="1" customWidth="1"/>
    <col min="14886" max="14886" width="8.83203125" style="1" customWidth="1"/>
    <col min="14887" max="15105" width="9.1640625" style="1"/>
    <col min="15106" max="15106" width="8.83203125" style="1" customWidth="1"/>
    <col min="15107" max="15107" width="21" style="1" bestFit="1" customWidth="1"/>
    <col min="15108" max="15108" width="3.83203125" style="1" bestFit="1" customWidth="1"/>
    <col min="15109" max="15109" width="21" style="1" bestFit="1" customWidth="1"/>
    <col min="15110" max="15110" width="11.83203125" style="1" customWidth="1"/>
    <col min="15111" max="15111" width="11.5" style="1" customWidth="1"/>
    <col min="15112" max="15112" width="12" style="1" customWidth="1"/>
    <col min="15113" max="15113" width="11.5" style="1" customWidth="1"/>
    <col min="15114" max="15115" width="10.33203125" style="1" customWidth="1"/>
    <col min="15116" max="15130" width="8.83203125" style="1" customWidth="1"/>
    <col min="15131" max="15131" width="10.5" style="1" bestFit="1" customWidth="1"/>
    <col min="15132" max="15134" width="8.83203125" style="1" customWidth="1"/>
    <col min="15135" max="15136" width="9.1640625" style="1"/>
    <col min="15137" max="15137" width="9.5" style="1" customWidth="1"/>
    <col min="15138" max="15138" width="10.33203125" style="1" customWidth="1"/>
    <col min="15139" max="15139" width="9.6640625" style="1" customWidth="1"/>
    <col min="15140" max="15140" width="10.33203125" style="1" customWidth="1"/>
    <col min="15141" max="15141" width="14.83203125" style="1" bestFit="1" customWidth="1"/>
    <col min="15142" max="15142" width="8.83203125" style="1" customWidth="1"/>
    <col min="15143" max="15361" width="9.1640625" style="1"/>
    <col min="15362" max="15362" width="8.83203125" style="1" customWidth="1"/>
    <col min="15363" max="15363" width="21" style="1" bestFit="1" customWidth="1"/>
    <col min="15364" max="15364" width="3.83203125" style="1" bestFit="1" customWidth="1"/>
    <col min="15365" max="15365" width="21" style="1" bestFit="1" customWidth="1"/>
    <col min="15366" max="15366" width="11.83203125" style="1" customWidth="1"/>
    <col min="15367" max="15367" width="11.5" style="1" customWidth="1"/>
    <col min="15368" max="15368" width="12" style="1" customWidth="1"/>
    <col min="15369" max="15369" width="11.5" style="1" customWidth="1"/>
    <col min="15370" max="15371" width="10.33203125" style="1" customWidth="1"/>
    <col min="15372" max="15386" width="8.83203125" style="1" customWidth="1"/>
    <col min="15387" max="15387" width="10.5" style="1" bestFit="1" customWidth="1"/>
    <col min="15388" max="15390" width="8.83203125" style="1" customWidth="1"/>
    <col min="15391" max="15392" width="9.1640625" style="1"/>
    <col min="15393" max="15393" width="9.5" style="1" customWidth="1"/>
    <col min="15394" max="15394" width="10.33203125" style="1" customWidth="1"/>
    <col min="15395" max="15395" width="9.6640625" style="1" customWidth="1"/>
    <col min="15396" max="15396" width="10.33203125" style="1" customWidth="1"/>
    <col min="15397" max="15397" width="14.83203125" style="1" bestFit="1" customWidth="1"/>
    <col min="15398" max="15398" width="8.83203125" style="1" customWidth="1"/>
    <col min="15399" max="15617" width="9.1640625" style="1"/>
    <col min="15618" max="15618" width="8.83203125" style="1" customWidth="1"/>
    <col min="15619" max="15619" width="21" style="1" bestFit="1" customWidth="1"/>
    <col min="15620" max="15620" width="3.83203125" style="1" bestFit="1" customWidth="1"/>
    <col min="15621" max="15621" width="21" style="1" bestFit="1" customWidth="1"/>
    <col min="15622" max="15622" width="11.83203125" style="1" customWidth="1"/>
    <col min="15623" max="15623" width="11.5" style="1" customWidth="1"/>
    <col min="15624" max="15624" width="12" style="1" customWidth="1"/>
    <col min="15625" max="15625" width="11.5" style="1" customWidth="1"/>
    <col min="15626" max="15627" width="10.33203125" style="1" customWidth="1"/>
    <col min="15628" max="15642" width="8.83203125" style="1" customWidth="1"/>
    <col min="15643" max="15643" width="10.5" style="1" bestFit="1" customWidth="1"/>
    <col min="15644" max="15646" width="8.83203125" style="1" customWidth="1"/>
    <col min="15647" max="15648" width="9.1640625" style="1"/>
    <col min="15649" max="15649" width="9.5" style="1" customWidth="1"/>
    <col min="15650" max="15650" width="10.33203125" style="1" customWidth="1"/>
    <col min="15651" max="15651" width="9.6640625" style="1" customWidth="1"/>
    <col min="15652" max="15652" width="10.33203125" style="1" customWidth="1"/>
    <col min="15653" max="15653" width="14.83203125" style="1" bestFit="1" customWidth="1"/>
    <col min="15654" max="15654" width="8.83203125" style="1" customWidth="1"/>
    <col min="15655" max="15873" width="9.1640625" style="1"/>
    <col min="15874" max="15874" width="8.83203125" style="1" customWidth="1"/>
    <col min="15875" max="15875" width="21" style="1" bestFit="1" customWidth="1"/>
    <col min="15876" max="15876" width="3.83203125" style="1" bestFit="1" customWidth="1"/>
    <col min="15877" max="15877" width="21" style="1" bestFit="1" customWidth="1"/>
    <col min="15878" max="15878" width="11.83203125" style="1" customWidth="1"/>
    <col min="15879" max="15879" width="11.5" style="1" customWidth="1"/>
    <col min="15880" max="15880" width="12" style="1" customWidth="1"/>
    <col min="15881" max="15881" width="11.5" style="1" customWidth="1"/>
    <col min="15882" max="15883" width="10.33203125" style="1" customWidth="1"/>
    <col min="15884" max="15898" width="8.83203125" style="1" customWidth="1"/>
    <col min="15899" max="15899" width="10.5" style="1" bestFit="1" customWidth="1"/>
    <col min="15900" max="15902" width="8.83203125" style="1" customWidth="1"/>
    <col min="15903" max="15904" width="9.1640625" style="1"/>
    <col min="15905" max="15905" width="9.5" style="1" customWidth="1"/>
    <col min="15906" max="15906" width="10.33203125" style="1" customWidth="1"/>
    <col min="15907" max="15907" width="9.6640625" style="1" customWidth="1"/>
    <col min="15908" max="15908" width="10.33203125" style="1" customWidth="1"/>
    <col min="15909" max="15909" width="14.83203125" style="1" bestFit="1" customWidth="1"/>
    <col min="15910" max="15910" width="8.83203125" style="1" customWidth="1"/>
    <col min="15911" max="16129" width="9.1640625" style="1"/>
    <col min="16130" max="16130" width="8.83203125" style="1" customWidth="1"/>
    <col min="16131" max="16131" width="21" style="1" bestFit="1" customWidth="1"/>
    <col min="16132" max="16132" width="3.83203125" style="1" bestFit="1" customWidth="1"/>
    <col min="16133" max="16133" width="21" style="1" bestFit="1" customWidth="1"/>
    <col min="16134" max="16134" width="11.83203125" style="1" customWidth="1"/>
    <col min="16135" max="16135" width="11.5" style="1" customWidth="1"/>
    <col min="16136" max="16136" width="12" style="1" customWidth="1"/>
    <col min="16137" max="16137" width="11.5" style="1" customWidth="1"/>
    <col min="16138" max="16139" width="10.33203125" style="1" customWidth="1"/>
    <col min="16140" max="16154" width="8.83203125" style="1" customWidth="1"/>
    <col min="16155" max="16155" width="10.5" style="1" bestFit="1" customWidth="1"/>
    <col min="16156" max="16158" width="8.83203125" style="1" customWidth="1"/>
    <col min="16159" max="16160" width="9.1640625" style="1"/>
    <col min="16161" max="16161" width="9.5" style="1" customWidth="1"/>
    <col min="16162" max="16162" width="10.33203125" style="1" customWidth="1"/>
    <col min="16163" max="16163" width="9.6640625" style="1" customWidth="1"/>
    <col min="16164" max="16164" width="10.33203125" style="1" customWidth="1"/>
    <col min="16165" max="16165" width="14.83203125" style="1" bestFit="1" customWidth="1"/>
    <col min="16166" max="16166" width="8.83203125" style="1" customWidth="1"/>
    <col min="16167" max="16383" width="9.1640625" style="1"/>
    <col min="16384" max="16384" width="8.83203125" style="1" customWidth="1"/>
  </cols>
  <sheetData>
    <row r="1" spans="1:40" x14ac:dyDescent="0.2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</row>
    <row r="2" spans="1:40" x14ac:dyDescent="0.2">
      <c r="C2" s="1" t="s">
        <v>0</v>
      </c>
      <c r="D2" s="200" t="s">
        <v>1</v>
      </c>
      <c r="E2" s="200" t="s">
        <v>2</v>
      </c>
      <c r="F2" s="200" t="s">
        <v>22</v>
      </c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199" t="s">
        <v>23</v>
      </c>
      <c r="AL2" s="199" t="s">
        <v>24</v>
      </c>
      <c r="AN2" s="3"/>
    </row>
    <row r="3" spans="1:40" s="4" customFormat="1" x14ac:dyDescent="0.2">
      <c r="C3" s="4" t="s">
        <v>5</v>
      </c>
      <c r="D3" s="200"/>
      <c r="E3" s="200"/>
      <c r="F3" s="4">
        <v>1</v>
      </c>
      <c r="G3" s="4">
        <v>2</v>
      </c>
      <c r="H3" s="4">
        <v>3</v>
      </c>
      <c r="I3" s="4">
        <v>4</v>
      </c>
      <c r="J3" s="4">
        <v>5</v>
      </c>
      <c r="K3" s="4">
        <v>6</v>
      </c>
      <c r="L3" s="4">
        <v>7</v>
      </c>
      <c r="M3" s="4">
        <v>8</v>
      </c>
      <c r="N3" s="4">
        <v>9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  <c r="AK3" s="199"/>
      <c r="AL3" s="199"/>
    </row>
    <row r="4" spans="1:40" x14ac:dyDescent="0.2">
      <c r="A4" s="1" t="s">
        <v>6</v>
      </c>
      <c r="C4" s="1" t="s">
        <v>59</v>
      </c>
      <c r="D4" s="1">
        <v>1</v>
      </c>
      <c r="E4" s="1" t="str">
        <f>C4</f>
        <v>TAP PC 400-03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6">
        <f t="shared" ref="AK4:AK23" si="0">SUM(F4:AJ4)</f>
        <v>0</v>
      </c>
      <c r="AL4" s="13">
        <f>VLOOKUP(C4,'HOUR METER'!B:AJ,35,FALSE)</f>
        <v>0</v>
      </c>
      <c r="AM4" s="5"/>
    </row>
    <row r="5" spans="1:40" x14ac:dyDescent="0.2">
      <c r="A5" s="1" t="s">
        <v>7</v>
      </c>
      <c r="C5" s="1" t="s">
        <v>60</v>
      </c>
      <c r="D5" s="1">
        <v>2</v>
      </c>
      <c r="E5" s="1" t="str">
        <f t="shared" ref="E5:E27" si="1">C5</f>
        <v>TAP PC 400-06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6">
        <f t="shared" si="0"/>
        <v>0</v>
      </c>
      <c r="AL5" s="13">
        <f>VLOOKUP(C5,'HOUR METER'!B:AJ,35,FALSE)</f>
        <v>0</v>
      </c>
      <c r="AM5" s="5"/>
    </row>
    <row r="6" spans="1:40" x14ac:dyDescent="0.2">
      <c r="A6" s="20"/>
      <c r="B6" s="20"/>
      <c r="C6" s="1" t="s">
        <v>68</v>
      </c>
      <c r="D6" s="1">
        <v>3</v>
      </c>
      <c r="E6" s="1" t="str">
        <f t="shared" si="1"/>
        <v>TAP PC 300-11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6">
        <f t="shared" si="0"/>
        <v>0</v>
      </c>
      <c r="AL6" s="13">
        <f>VLOOKUP(C6,'HOUR METER'!B:AJ,35,FALSE)</f>
        <v>0</v>
      </c>
      <c r="AM6" s="5"/>
    </row>
    <row r="7" spans="1:40" x14ac:dyDescent="0.2">
      <c r="A7" s="1" t="s">
        <v>8</v>
      </c>
      <c r="C7" s="1" t="s">
        <v>143</v>
      </c>
      <c r="D7" s="1">
        <v>4</v>
      </c>
      <c r="E7" s="1" t="str">
        <f t="shared" si="1"/>
        <v>TAP PC 300-12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6">
        <f t="shared" si="0"/>
        <v>0</v>
      </c>
      <c r="AL7" s="13">
        <f>VLOOKUP(C7,'HOUR METER'!B:AJ,35,FALSE)</f>
        <v>0</v>
      </c>
      <c r="AM7" s="5"/>
    </row>
    <row r="8" spans="1:40" x14ac:dyDescent="0.2">
      <c r="C8" s="1" t="s">
        <v>144</v>
      </c>
      <c r="D8" s="1">
        <v>5</v>
      </c>
      <c r="E8" s="1" t="str">
        <f t="shared" si="1"/>
        <v>TAP PC 300-14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6">
        <f t="shared" si="0"/>
        <v>0</v>
      </c>
      <c r="AL8" s="13">
        <f>VLOOKUP(C8,'HOUR METER'!B:AJ,35,FALSE)</f>
        <v>0</v>
      </c>
      <c r="AM8" s="5"/>
    </row>
    <row r="9" spans="1:40" x14ac:dyDescent="0.2">
      <c r="C9" s="1" t="s">
        <v>61</v>
      </c>
      <c r="D9" s="1">
        <v>6</v>
      </c>
      <c r="E9" s="1" t="str">
        <f t="shared" si="1"/>
        <v>TAP PC 200-11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6">
        <f t="shared" si="0"/>
        <v>0</v>
      </c>
      <c r="AL9" s="13">
        <f>VLOOKUP(C9,'HOUR METER'!B:AJ,35,FALSE)</f>
        <v>0</v>
      </c>
      <c r="AM9" s="5"/>
    </row>
    <row r="10" spans="1:40" x14ac:dyDescent="0.2">
      <c r="C10" s="1" t="s">
        <v>141</v>
      </c>
      <c r="D10" s="1">
        <v>7</v>
      </c>
      <c r="E10" s="1" t="str">
        <f t="shared" si="1"/>
        <v>TAP PC 200-12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6">
        <f t="shared" si="0"/>
        <v>0</v>
      </c>
      <c r="AL10" s="13">
        <f>VLOOKUP(C10,'HOUR METER'!B:AJ,35,FALSE)</f>
        <v>0</v>
      </c>
      <c r="AM10" s="5"/>
    </row>
    <row r="11" spans="1:40" x14ac:dyDescent="0.2">
      <c r="C11" s="1" t="s">
        <v>142</v>
      </c>
      <c r="D11" s="1">
        <v>8</v>
      </c>
      <c r="E11" s="1" t="str">
        <f t="shared" si="1"/>
        <v>TAP PC 200-14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6">
        <f t="shared" si="0"/>
        <v>0</v>
      </c>
      <c r="AL11" s="13">
        <f>VLOOKUP(C11,'HOUR METER'!B:AJ,35,FALSE)</f>
        <v>0</v>
      </c>
      <c r="AM11" s="5"/>
    </row>
    <row r="12" spans="1:40" x14ac:dyDescent="0.2">
      <c r="C12" s="1" t="s">
        <v>145</v>
      </c>
      <c r="D12" s="1">
        <v>9</v>
      </c>
      <c r="E12" s="1" t="str">
        <f t="shared" si="1"/>
        <v>TAP PC 200-15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6">
        <f t="shared" si="0"/>
        <v>0</v>
      </c>
      <c r="AL12" s="13">
        <f>VLOOKUP(C12,'HOUR METER'!B:AJ,35,FALSE)</f>
        <v>0</v>
      </c>
      <c r="AM12" s="5"/>
    </row>
    <row r="13" spans="1:40" x14ac:dyDescent="0.2">
      <c r="C13" s="1" t="s">
        <v>146</v>
      </c>
      <c r="D13" s="1">
        <v>10</v>
      </c>
      <c r="E13" s="1" t="str">
        <f t="shared" si="1"/>
        <v>TAP PC 200-16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6">
        <f t="shared" si="0"/>
        <v>0</v>
      </c>
      <c r="AL13" s="13">
        <f>VLOOKUP(C13,'HOUR METER'!B:AJ,35,FALSE)</f>
        <v>0</v>
      </c>
      <c r="AM13" s="5"/>
    </row>
    <row r="14" spans="1:40" x14ac:dyDescent="0.2">
      <c r="C14" s="1" t="s">
        <v>147</v>
      </c>
      <c r="D14" s="1">
        <v>11</v>
      </c>
      <c r="E14" s="1" t="str">
        <f t="shared" si="1"/>
        <v>ADT HM 400-01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6">
        <f t="shared" si="0"/>
        <v>0</v>
      </c>
      <c r="AL14" s="13">
        <f>VLOOKUP(C14,'HOUR METER'!B:AJ,35,FALSE)</f>
        <v>0</v>
      </c>
      <c r="AM14" s="5"/>
    </row>
    <row r="15" spans="1:40" x14ac:dyDescent="0.2">
      <c r="C15" s="1" t="s">
        <v>62</v>
      </c>
      <c r="D15" s="1">
        <v>12</v>
      </c>
      <c r="E15" s="1" t="str">
        <f t="shared" si="1"/>
        <v>ADT HM 400-02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6">
        <f t="shared" si="0"/>
        <v>0</v>
      </c>
      <c r="AL15" s="13">
        <f>VLOOKUP(C15,'HOUR METER'!B:AJ,35,FALSE)</f>
        <v>0</v>
      </c>
      <c r="AM15" s="5"/>
    </row>
    <row r="16" spans="1:40" x14ac:dyDescent="0.2">
      <c r="C16" s="1" t="s">
        <v>63</v>
      </c>
      <c r="D16" s="1">
        <v>13</v>
      </c>
      <c r="E16" s="1" t="str">
        <f t="shared" si="1"/>
        <v>ADT HM 400-03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6">
        <f t="shared" si="0"/>
        <v>0</v>
      </c>
      <c r="AL16" s="13">
        <f>VLOOKUP(C16,'HOUR METER'!B:AJ,35,FALSE)</f>
        <v>0</v>
      </c>
      <c r="AM16" s="5"/>
    </row>
    <row r="17" spans="3:40" x14ac:dyDescent="0.2">
      <c r="C17" s="1" t="s">
        <v>64</v>
      </c>
      <c r="D17" s="1">
        <v>14</v>
      </c>
      <c r="E17" s="1" t="str">
        <f t="shared" si="1"/>
        <v>ADT HM 400-05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6">
        <f t="shared" si="0"/>
        <v>0</v>
      </c>
      <c r="AL17" s="13">
        <f>VLOOKUP(C17,'HOUR METER'!B:AJ,35,FALSE)</f>
        <v>0</v>
      </c>
      <c r="AM17" s="5"/>
    </row>
    <row r="18" spans="3:40" x14ac:dyDescent="0.2">
      <c r="C18" s="1" t="s">
        <v>69</v>
      </c>
      <c r="D18" s="1">
        <v>15</v>
      </c>
      <c r="E18" s="1" t="str">
        <f t="shared" si="1"/>
        <v>ADT HM 400-06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6">
        <f t="shared" si="0"/>
        <v>0</v>
      </c>
      <c r="AL18" s="13">
        <f>VLOOKUP(C18,'HOUR METER'!B:AJ,35,FALSE)</f>
        <v>0</v>
      </c>
      <c r="AM18" s="5"/>
    </row>
    <row r="19" spans="3:40" x14ac:dyDescent="0.2">
      <c r="C19" s="1" t="s">
        <v>70</v>
      </c>
      <c r="D19" s="1">
        <v>16</v>
      </c>
      <c r="E19" s="1" t="str">
        <f t="shared" si="1"/>
        <v>ADT HM 400-07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6">
        <f t="shared" si="0"/>
        <v>0</v>
      </c>
      <c r="AL19" s="13">
        <f>VLOOKUP(C19,'HOUR METER'!B:AJ,35,FALSE)</f>
        <v>0</v>
      </c>
      <c r="AM19" s="5"/>
    </row>
    <row r="20" spans="3:40" x14ac:dyDescent="0.2">
      <c r="C20" s="1" t="s">
        <v>71</v>
      </c>
      <c r="D20" s="1">
        <v>17</v>
      </c>
      <c r="E20" s="1" t="str">
        <f t="shared" si="1"/>
        <v>ADT HM 400-08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6">
        <f t="shared" si="0"/>
        <v>0</v>
      </c>
      <c r="AL20" s="13">
        <f>VLOOKUP(C20,'HOUR METER'!B:AJ,35,FALSE)</f>
        <v>0</v>
      </c>
      <c r="AM20" s="5"/>
    </row>
    <row r="21" spans="3:40" x14ac:dyDescent="0.2">
      <c r="C21" s="1" t="s">
        <v>65</v>
      </c>
      <c r="D21" s="1">
        <v>18</v>
      </c>
      <c r="E21" s="1" t="str">
        <f t="shared" si="1"/>
        <v>DOZER D65P-04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6">
        <f t="shared" si="0"/>
        <v>0</v>
      </c>
      <c r="AL21" s="13">
        <f>VLOOKUP(C21,'HOUR METER'!B:AJ,35,FALSE)</f>
        <v>0</v>
      </c>
      <c r="AM21" s="5"/>
    </row>
    <row r="22" spans="3:40" x14ac:dyDescent="0.2">
      <c r="C22" s="1" t="s">
        <v>72</v>
      </c>
      <c r="D22" s="1">
        <v>19</v>
      </c>
      <c r="E22" s="1" t="str">
        <f t="shared" si="1"/>
        <v>DOZER D65P-05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6">
        <f t="shared" si="0"/>
        <v>0</v>
      </c>
      <c r="AL22" s="13">
        <f>VLOOKUP(C22,'HOUR METER'!B:AJ,35,FALSE)</f>
        <v>0</v>
      </c>
      <c r="AM22" s="5"/>
    </row>
    <row r="23" spans="3:40" x14ac:dyDescent="0.2">
      <c r="C23" s="1" t="s">
        <v>90</v>
      </c>
      <c r="D23" s="1">
        <v>20</v>
      </c>
      <c r="E23" s="1" t="str">
        <f t="shared" si="1"/>
        <v>DOZER D65P-11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6">
        <f t="shared" si="0"/>
        <v>0</v>
      </c>
      <c r="AL23" s="13">
        <f>VLOOKUP(C23,'HOUR METER'!B:AJ,35,FALSE)</f>
        <v>0</v>
      </c>
      <c r="AM23" s="5"/>
    </row>
    <row r="24" spans="3:40" x14ac:dyDescent="0.2">
      <c r="C24" s="1" t="s">
        <v>66</v>
      </c>
      <c r="D24" s="1">
        <v>21</v>
      </c>
      <c r="E24" s="1" t="str">
        <f t="shared" si="1"/>
        <v>DOZER D85SS-02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6">
        <f t="shared" ref="AK24:AK27" si="2">SUM(F24:AJ24)</f>
        <v>0</v>
      </c>
      <c r="AL24" s="13">
        <f>VLOOKUP(C24,'HOUR METER'!B:AJ,35,FALSE)</f>
        <v>0</v>
      </c>
      <c r="AM24" s="5"/>
    </row>
    <row r="25" spans="3:40" x14ac:dyDescent="0.2">
      <c r="C25" s="1" t="s">
        <v>91</v>
      </c>
      <c r="D25" s="1">
        <v>22</v>
      </c>
      <c r="E25" s="1" t="str">
        <f t="shared" si="1"/>
        <v>DOZER D85SS-11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6">
        <f t="shared" si="2"/>
        <v>0</v>
      </c>
      <c r="AL25" s="13">
        <f>VLOOKUP(C25,'HOUR METER'!B:AJ,35,FALSE)</f>
        <v>0</v>
      </c>
      <c r="AM25" s="5"/>
    </row>
    <row r="26" spans="3:40" x14ac:dyDescent="0.2">
      <c r="C26" s="1" t="s">
        <v>92</v>
      </c>
      <c r="D26" s="1">
        <v>23</v>
      </c>
      <c r="E26" s="1" t="str">
        <f t="shared" si="1"/>
        <v>TAP GRADER-11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6">
        <f t="shared" si="2"/>
        <v>0</v>
      </c>
      <c r="AL26" s="13">
        <f>VLOOKUP(C26,'HOUR METER'!B:AJ,35,FALSE)</f>
        <v>0</v>
      </c>
      <c r="AM26" s="5"/>
    </row>
    <row r="27" spans="3:40" x14ac:dyDescent="0.2">
      <c r="C27" s="1" t="s">
        <v>67</v>
      </c>
      <c r="D27" s="1">
        <v>24</v>
      </c>
      <c r="E27" s="1" t="str">
        <f t="shared" si="1"/>
        <v>TAP SAKAI-03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6">
        <f t="shared" si="2"/>
        <v>0</v>
      </c>
      <c r="AL27" s="13">
        <f>VLOOKUP(C27,'HOUR METER'!B:AJ,35,FALSE)</f>
        <v>0</v>
      </c>
      <c r="AM27" s="5"/>
    </row>
    <row r="28" spans="3:40" ht="14.5" customHeight="1" x14ac:dyDescent="0.2">
      <c r="F28" s="5"/>
      <c r="G28" s="1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6"/>
      <c r="AL28" s="5"/>
      <c r="AM28" s="13"/>
      <c r="AN28" s="5"/>
    </row>
    <row r="29" spans="3:40" ht="14.5" customHeight="1" x14ac:dyDescent="0.2">
      <c r="D29" s="7"/>
      <c r="F29" s="5">
        <f t="shared" ref="F29:AJ29" si="3">SUM(F4:F27)</f>
        <v>0</v>
      </c>
      <c r="G29" s="5">
        <f t="shared" si="3"/>
        <v>0</v>
      </c>
      <c r="H29" s="5">
        <f t="shared" si="3"/>
        <v>0</v>
      </c>
      <c r="I29" s="5">
        <f t="shared" si="3"/>
        <v>0</v>
      </c>
      <c r="J29" s="5">
        <f t="shared" si="3"/>
        <v>0</v>
      </c>
      <c r="K29" s="5">
        <f t="shared" si="3"/>
        <v>0</v>
      </c>
      <c r="L29" s="5">
        <f t="shared" si="3"/>
        <v>0</v>
      </c>
      <c r="M29" s="5">
        <f t="shared" si="3"/>
        <v>0</v>
      </c>
      <c r="N29" s="5">
        <f t="shared" si="3"/>
        <v>0</v>
      </c>
      <c r="O29" s="5">
        <f t="shared" si="3"/>
        <v>0</v>
      </c>
      <c r="P29" s="5">
        <f t="shared" si="3"/>
        <v>0</v>
      </c>
      <c r="Q29" s="5">
        <f t="shared" si="3"/>
        <v>0</v>
      </c>
      <c r="R29" s="5">
        <f t="shared" si="3"/>
        <v>0</v>
      </c>
      <c r="S29" s="5">
        <f t="shared" si="3"/>
        <v>0</v>
      </c>
      <c r="T29" s="5">
        <f t="shared" si="3"/>
        <v>0</v>
      </c>
      <c r="U29" s="5">
        <f t="shared" si="3"/>
        <v>0</v>
      </c>
      <c r="V29" s="5">
        <f t="shared" si="3"/>
        <v>0</v>
      </c>
      <c r="W29" s="5">
        <f t="shared" si="3"/>
        <v>0</v>
      </c>
      <c r="X29" s="5">
        <f t="shared" si="3"/>
        <v>0</v>
      </c>
      <c r="Y29" s="5">
        <f t="shared" si="3"/>
        <v>0</v>
      </c>
      <c r="Z29" s="5">
        <f t="shared" si="3"/>
        <v>0</v>
      </c>
      <c r="AA29" s="5">
        <f t="shared" si="3"/>
        <v>0</v>
      </c>
      <c r="AB29" s="5">
        <f t="shared" si="3"/>
        <v>0</v>
      </c>
      <c r="AC29" s="5">
        <f t="shared" si="3"/>
        <v>0</v>
      </c>
      <c r="AD29" s="5">
        <f t="shared" si="3"/>
        <v>0</v>
      </c>
      <c r="AE29" s="5">
        <f t="shared" si="3"/>
        <v>0</v>
      </c>
      <c r="AF29" s="5">
        <f t="shared" si="3"/>
        <v>0</v>
      </c>
      <c r="AG29" s="5">
        <f t="shared" si="3"/>
        <v>0</v>
      </c>
      <c r="AH29" s="5">
        <f t="shared" si="3"/>
        <v>0</v>
      </c>
      <c r="AI29" s="5">
        <f t="shared" si="3"/>
        <v>0</v>
      </c>
      <c r="AJ29" s="5">
        <f t="shared" si="3"/>
        <v>0</v>
      </c>
      <c r="AK29" s="6">
        <f>SUM(F29:AJ29)</f>
        <v>0</v>
      </c>
      <c r="AL29" s="5"/>
      <c r="AM29" s="13"/>
      <c r="AN29" s="5"/>
    </row>
    <row r="30" spans="3:40" s="2" customFormat="1" x14ac:dyDescent="0.2">
      <c r="D30" s="7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2" t="s">
        <v>23</v>
      </c>
      <c r="AK30" s="6">
        <f>SUM(AK4:AK27)</f>
        <v>0</v>
      </c>
      <c r="AM30" s="6"/>
      <c r="AN30" s="6"/>
    </row>
    <row r="31" spans="3:40" x14ac:dyDescent="0.2">
      <c r="L31" s="21"/>
      <c r="O31" s="21"/>
      <c r="X31" s="21"/>
      <c r="AA31" s="6"/>
      <c r="AB31" s="6"/>
      <c r="AC31" s="6"/>
      <c r="AD31" s="6"/>
      <c r="AE31" s="6"/>
      <c r="AF31" s="6"/>
      <c r="AG31" s="6"/>
      <c r="AH31" s="6"/>
      <c r="AI31" s="2"/>
      <c r="AJ31" s="2"/>
      <c r="AK31" s="6"/>
      <c r="AM31" s="5"/>
    </row>
    <row r="32" spans="3:40" x14ac:dyDescent="0.2">
      <c r="Q32" s="5"/>
      <c r="R32" s="5"/>
      <c r="AA32" s="6"/>
      <c r="AB32" s="6"/>
      <c r="AC32" s="6"/>
      <c r="AH32" s="6"/>
      <c r="AI32" s="2"/>
      <c r="AJ32" s="2"/>
      <c r="AK32" s="6"/>
      <c r="AM32" s="5"/>
      <c r="AN32" s="5"/>
    </row>
    <row r="33" spans="3:37" ht="20" customHeight="1" x14ac:dyDescent="0.2">
      <c r="C33" s="2" t="s">
        <v>10</v>
      </c>
      <c r="D33" s="2" t="s">
        <v>11</v>
      </c>
      <c r="E33" s="8">
        <f>SUM(F29:J29)</f>
        <v>0</v>
      </c>
      <c r="K33" s="21"/>
      <c r="AA33" s="201" t="s">
        <v>12</v>
      </c>
      <c r="AB33" s="201"/>
      <c r="AC33" s="201"/>
      <c r="AH33" s="201" t="s">
        <v>13</v>
      </c>
      <c r="AI33" s="201"/>
      <c r="AK33" s="6"/>
    </row>
    <row r="34" spans="3:37" ht="20" customHeight="1" x14ac:dyDescent="0.2">
      <c r="C34" s="2" t="s">
        <v>14</v>
      </c>
      <c r="D34" s="2" t="s">
        <v>11</v>
      </c>
      <c r="E34" s="8">
        <f>SUM(K29:Q29)</f>
        <v>0</v>
      </c>
      <c r="J34" s="21"/>
      <c r="S34" s="21"/>
      <c r="U34" s="7" t="s">
        <v>25</v>
      </c>
      <c r="AF34" s="21"/>
      <c r="AK34" s="9"/>
    </row>
    <row r="35" spans="3:37" ht="20" customHeight="1" x14ac:dyDescent="0.2">
      <c r="C35" s="2" t="s">
        <v>15</v>
      </c>
      <c r="D35" s="2" t="s">
        <v>11</v>
      </c>
      <c r="E35" s="8">
        <f>SUM(R29:X29)</f>
        <v>0</v>
      </c>
      <c r="K35" s="22"/>
      <c r="T35" s="201" t="s">
        <v>9</v>
      </c>
      <c r="U35" s="201"/>
      <c r="V35" s="201"/>
      <c r="W35" s="1" t="s">
        <v>9</v>
      </c>
      <c r="AK35" s="6"/>
    </row>
    <row r="36" spans="3:37" ht="20" customHeight="1" x14ac:dyDescent="0.2">
      <c r="C36" s="2" t="s">
        <v>16</v>
      </c>
      <c r="D36" s="2" t="s">
        <v>11</v>
      </c>
      <c r="E36" s="8">
        <f>SUM(Y29:AE29)</f>
        <v>0</v>
      </c>
      <c r="W36" s="21"/>
      <c r="X36" s="21"/>
    </row>
    <row r="37" spans="3:37" ht="20" customHeight="1" x14ac:dyDescent="0.2">
      <c r="C37" s="2" t="s">
        <v>18</v>
      </c>
      <c r="D37" s="2" t="s">
        <v>11</v>
      </c>
      <c r="E37" s="8">
        <f>SUM(AF29:AJ29)</f>
        <v>0</v>
      </c>
      <c r="AA37" s="201" t="s">
        <v>19</v>
      </c>
      <c r="AB37" s="201"/>
      <c r="AC37" s="201"/>
      <c r="AH37" s="201" t="s">
        <v>20</v>
      </c>
      <c r="AI37" s="201"/>
    </row>
    <row r="38" spans="3:37" ht="20" customHeight="1" x14ac:dyDescent="0.2">
      <c r="C38" s="2"/>
      <c r="D38" s="2"/>
      <c r="E38" s="8"/>
      <c r="AK38" s="23"/>
    </row>
    <row r="39" spans="3:37" ht="20" customHeight="1" x14ac:dyDescent="0.2">
      <c r="C39" s="2"/>
      <c r="D39" s="2"/>
      <c r="E39" s="10">
        <f>SUM(E33:E37)</f>
        <v>0</v>
      </c>
      <c r="H39" s="5"/>
      <c r="N39" s="21"/>
    </row>
    <row r="41" spans="3:37" ht="21.75" customHeight="1" x14ac:dyDescent="0.2">
      <c r="E41" s="11" t="str">
        <f>IF(E39=AK30,"BENAR","SALAH")</f>
        <v>BENAR</v>
      </c>
    </row>
    <row r="43" spans="3:37" x14ac:dyDescent="0.2">
      <c r="E43" s="24"/>
    </row>
    <row r="44" spans="3:37" x14ac:dyDescent="0.2">
      <c r="E44" s="5"/>
    </row>
    <row r="46" spans="3:37" x14ac:dyDescent="0.2">
      <c r="E46" s="25"/>
    </row>
    <row r="48" spans="3:37" x14ac:dyDescent="0.2">
      <c r="E48" s="26"/>
    </row>
    <row r="50" spans="5:5" x14ac:dyDescent="0.2">
      <c r="E50" s="25"/>
    </row>
  </sheetData>
  <mergeCells count="10">
    <mergeCell ref="AA33:AC33"/>
    <mergeCell ref="AH33:AI33"/>
    <mergeCell ref="T35:V35"/>
    <mergeCell ref="AA37:AC37"/>
    <mergeCell ref="AH37:AI37"/>
    <mergeCell ref="D2:D3"/>
    <mergeCell ref="E2:E3"/>
    <mergeCell ref="F2:AJ2"/>
    <mergeCell ref="AK2:AK3"/>
    <mergeCell ref="AL2:AL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P122"/>
  <sheetViews>
    <sheetView topLeftCell="A102" workbookViewId="0">
      <selection activeCell="M130" sqref="M130"/>
    </sheetView>
  </sheetViews>
  <sheetFormatPr baseColWidth="10" defaultColWidth="8.83203125" defaultRowHeight="14" x14ac:dyDescent="0.2"/>
  <cols>
    <col min="1" max="1" width="8.83203125" style="63"/>
    <col min="2" max="2" width="16.1640625" style="63" customWidth="1"/>
    <col min="3" max="3" width="8.83203125" style="63"/>
    <col min="4" max="6" width="16.6640625" style="63" customWidth="1"/>
    <col min="7" max="7" width="12.33203125" style="63" customWidth="1"/>
    <col min="8" max="8" width="15.5" style="63" bestFit="1" customWidth="1"/>
    <col min="9" max="10" width="14.5" style="63" bestFit="1" customWidth="1"/>
    <col min="11" max="11" width="16.1640625" style="63" customWidth="1"/>
    <col min="12" max="14" width="8.83203125" style="63"/>
    <col min="15" max="15" width="23.6640625" style="63" bestFit="1" customWidth="1"/>
    <col min="16" max="16" width="15.6640625" style="63" customWidth="1"/>
    <col min="17" max="16384" width="8.83203125" style="63"/>
  </cols>
  <sheetData>
    <row r="1" spans="1:16" ht="33.75" customHeight="1" x14ac:dyDescent="0.2">
      <c r="K1" s="63" t="s">
        <v>94</v>
      </c>
    </row>
    <row r="2" spans="1:16" x14ac:dyDescent="0.2">
      <c r="B2" s="63">
        <v>1</v>
      </c>
      <c r="C2" s="63">
        <v>2</v>
      </c>
      <c r="D2" s="63">
        <v>3</v>
      </c>
      <c r="E2" s="63">
        <v>4</v>
      </c>
      <c r="F2" s="63">
        <v>5</v>
      </c>
      <c r="G2" s="63">
        <v>6</v>
      </c>
      <c r="H2" s="63">
        <v>7</v>
      </c>
      <c r="I2" s="63">
        <v>8</v>
      </c>
      <c r="J2" s="63">
        <v>9</v>
      </c>
      <c r="K2" s="63">
        <v>10</v>
      </c>
      <c r="O2" s="63" t="s">
        <v>292</v>
      </c>
      <c r="P2" s="63" t="s">
        <v>293</v>
      </c>
    </row>
    <row r="3" spans="1:16" x14ac:dyDescent="0.2">
      <c r="A3" s="63" t="s">
        <v>1</v>
      </c>
      <c r="B3" s="63" t="s">
        <v>86</v>
      </c>
      <c r="C3" s="63" t="s">
        <v>95</v>
      </c>
      <c r="D3" s="63" t="s">
        <v>96</v>
      </c>
      <c r="E3" s="63" t="s">
        <v>97</v>
      </c>
      <c r="F3" s="63" t="s">
        <v>98</v>
      </c>
      <c r="G3" s="63" t="s">
        <v>99</v>
      </c>
      <c r="H3" s="63" t="s">
        <v>100</v>
      </c>
      <c r="I3" s="63" t="s">
        <v>101</v>
      </c>
      <c r="J3" s="63" t="s">
        <v>102</v>
      </c>
      <c r="K3" s="63" t="s">
        <v>103</v>
      </c>
      <c r="O3" s="63" t="s">
        <v>181</v>
      </c>
      <c r="P3" s="63" t="s">
        <v>148</v>
      </c>
    </row>
    <row r="4" spans="1:16" x14ac:dyDescent="0.2">
      <c r="B4" s="63">
        <v>1</v>
      </c>
      <c r="C4" s="63">
        <v>2</v>
      </c>
      <c r="D4" s="63">
        <v>3</v>
      </c>
      <c r="E4" s="63">
        <v>4</v>
      </c>
      <c r="F4" s="63">
        <v>5</v>
      </c>
      <c r="G4" s="63">
        <v>6</v>
      </c>
      <c r="H4" s="63">
        <v>7</v>
      </c>
      <c r="I4" s="63">
        <v>8</v>
      </c>
      <c r="J4" s="63">
        <v>9</v>
      </c>
      <c r="O4" s="63" t="s">
        <v>182</v>
      </c>
      <c r="P4" s="63" t="s">
        <v>148</v>
      </c>
    </row>
    <row r="5" spans="1:16" x14ac:dyDescent="0.2">
      <c r="D5" s="63" t="s">
        <v>104</v>
      </c>
      <c r="E5" s="63" t="s">
        <v>105</v>
      </c>
      <c r="F5" s="63" t="s">
        <v>106</v>
      </c>
      <c r="O5" s="63" t="s">
        <v>183</v>
      </c>
      <c r="P5" s="63" t="s">
        <v>148</v>
      </c>
    </row>
    <row r="6" spans="1:16" x14ac:dyDescent="0.2">
      <c r="A6" s="63">
        <v>1</v>
      </c>
      <c r="B6" s="63" t="s">
        <v>107</v>
      </c>
      <c r="C6" s="63">
        <v>20</v>
      </c>
      <c r="D6" s="51">
        <v>16.543152168668435</v>
      </c>
      <c r="E6" s="51">
        <v>19.508378654264426</v>
      </c>
      <c r="F6" s="51">
        <v>35.370447619781672</v>
      </c>
      <c r="G6" s="63" t="s">
        <v>108</v>
      </c>
      <c r="H6" s="52">
        <v>239875.70644569231</v>
      </c>
      <c r="I6" s="52">
        <v>282871.4904868342</v>
      </c>
      <c r="J6" s="52">
        <v>512871.49048683426</v>
      </c>
      <c r="K6" s="53">
        <v>275000</v>
      </c>
      <c r="M6" s="63">
        <v>200</v>
      </c>
      <c r="O6" s="63" t="s">
        <v>232</v>
      </c>
      <c r="P6" s="63" t="s">
        <v>148</v>
      </c>
    </row>
    <row r="7" spans="1:16" x14ac:dyDescent="0.2">
      <c r="A7" s="63">
        <v>2</v>
      </c>
      <c r="B7" s="63" t="s">
        <v>109</v>
      </c>
      <c r="C7" s="63">
        <v>22</v>
      </c>
      <c r="D7" s="54">
        <v>23.225358812897611</v>
      </c>
      <c r="E7" s="54">
        <v>26.190585298493609</v>
      </c>
      <c r="F7" s="54">
        <v>43.638861160562577</v>
      </c>
      <c r="G7" s="63" t="s">
        <v>108</v>
      </c>
      <c r="H7" s="52">
        <v>336767.70278701535</v>
      </c>
      <c r="I7" s="52">
        <v>379763.48682815733</v>
      </c>
      <c r="J7" s="52">
        <v>632763.48682815733</v>
      </c>
      <c r="K7" s="53">
        <v>275000</v>
      </c>
      <c r="M7" s="63">
        <v>200</v>
      </c>
      <c r="O7" s="63" t="s">
        <v>240</v>
      </c>
      <c r="P7" s="63" t="s">
        <v>111</v>
      </c>
    </row>
    <row r="8" spans="1:16" x14ac:dyDescent="0.2">
      <c r="A8" s="63">
        <v>3</v>
      </c>
      <c r="B8" s="63" t="s">
        <v>110</v>
      </c>
      <c r="C8" s="63">
        <v>30</v>
      </c>
      <c r="D8" s="51">
        <v>41.215220187976122</v>
      </c>
      <c r="E8" s="51">
        <v>44.180446673572121</v>
      </c>
      <c r="F8" s="51">
        <v>69.559757018399708</v>
      </c>
      <c r="G8" s="63" t="s">
        <v>108</v>
      </c>
      <c r="H8" s="52">
        <v>597620.69272565376</v>
      </c>
      <c r="I8" s="52">
        <v>640616.47676679573</v>
      </c>
      <c r="J8" s="52">
        <v>1008616.4767667957</v>
      </c>
      <c r="K8" s="53">
        <v>400000</v>
      </c>
      <c r="M8" s="63">
        <v>300</v>
      </c>
      <c r="O8" s="63" t="s">
        <v>266</v>
      </c>
      <c r="P8" s="63" t="s">
        <v>111</v>
      </c>
    </row>
    <row r="9" spans="1:16" x14ac:dyDescent="0.2">
      <c r="A9" s="63">
        <v>4</v>
      </c>
      <c r="B9" s="63" t="s">
        <v>111</v>
      </c>
      <c r="C9" s="63">
        <v>38</v>
      </c>
      <c r="D9" s="55">
        <v>58.29</v>
      </c>
      <c r="E9" s="55">
        <v>61.6</v>
      </c>
      <c r="F9" s="55">
        <v>87.81</v>
      </c>
      <c r="G9" s="63" t="s">
        <v>108</v>
      </c>
      <c r="H9" s="52">
        <v>845205</v>
      </c>
      <c r="I9" s="52">
        <v>893200</v>
      </c>
      <c r="J9" s="52">
        <v>1273245</v>
      </c>
      <c r="K9" s="52">
        <v>950000</v>
      </c>
      <c r="M9" s="63">
        <v>400</v>
      </c>
      <c r="O9" s="63" t="s">
        <v>233</v>
      </c>
      <c r="P9" s="63" t="s">
        <v>111</v>
      </c>
    </row>
    <row r="10" spans="1:16" x14ac:dyDescent="0.2">
      <c r="A10" s="63">
        <v>5</v>
      </c>
      <c r="B10" s="64" t="s">
        <v>148</v>
      </c>
      <c r="C10" s="64">
        <v>45</v>
      </c>
      <c r="D10" s="65">
        <v>63.54</v>
      </c>
      <c r="E10" s="65">
        <v>66.849999999999994</v>
      </c>
      <c r="F10" s="65">
        <v>98.05</v>
      </c>
      <c r="G10" s="64" t="s">
        <v>108</v>
      </c>
      <c r="H10" s="52">
        <v>921330</v>
      </c>
      <c r="I10" s="52">
        <v>969324.99999999988</v>
      </c>
      <c r="J10" s="52">
        <v>1421725</v>
      </c>
      <c r="K10" s="66">
        <v>1000000</v>
      </c>
      <c r="O10" s="63" t="s">
        <v>184</v>
      </c>
      <c r="P10" s="63" t="s">
        <v>111</v>
      </c>
    </row>
    <row r="11" spans="1:16" x14ac:dyDescent="0.2">
      <c r="A11" s="63">
        <v>6</v>
      </c>
      <c r="B11" s="63" t="s">
        <v>112</v>
      </c>
      <c r="C11" s="63">
        <v>20</v>
      </c>
      <c r="D11" s="55">
        <v>17.650196458586205</v>
      </c>
      <c r="E11" s="55">
        <v>20.6154229441822</v>
      </c>
      <c r="F11" s="55">
        <v>36.477491909699445</v>
      </c>
      <c r="G11" s="63" t="s">
        <v>108</v>
      </c>
      <c r="H11" s="52">
        <v>255927.84864949997</v>
      </c>
      <c r="I11" s="52">
        <v>298923.63269064191</v>
      </c>
      <c r="J11" s="52">
        <v>528923.63269064191</v>
      </c>
      <c r="K11" s="53">
        <v>275000</v>
      </c>
      <c r="M11" s="63">
        <v>200</v>
      </c>
      <c r="O11" s="63" t="s">
        <v>241</v>
      </c>
      <c r="P11" s="63" t="s">
        <v>111</v>
      </c>
    </row>
    <row r="12" spans="1:16" x14ac:dyDescent="0.2">
      <c r="A12" s="63">
        <v>7</v>
      </c>
      <c r="B12" s="63" t="s">
        <v>113</v>
      </c>
      <c r="C12" s="63">
        <v>28</v>
      </c>
      <c r="D12" s="55">
        <v>34.235023413986731</v>
      </c>
      <c r="E12" s="55">
        <v>37.20024989958273</v>
      </c>
      <c r="F12" s="55">
        <v>59.407146451306865</v>
      </c>
      <c r="G12" s="63" t="s">
        <v>108</v>
      </c>
      <c r="H12" s="52">
        <v>496407.83950280759</v>
      </c>
      <c r="I12" s="52">
        <v>539403.62354394956</v>
      </c>
      <c r="J12" s="52">
        <v>861403.62354394956</v>
      </c>
      <c r="K12" s="53">
        <v>400000</v>
      </c>
      <c r="O12" s="63" t="s">
        <v>185</v>
      </c>
      <c r="P12" s="63" t="s">
        <v>110</v>
      </c>
    </row>
    <row r="13" spans="1:16" x14ac:dyDescent="0.2">
      <c r="A13" s="63">
        <v>8</v>
      </c>
      <c r="B13" s="63" t="s">
        <v>114</v>
      </c>
      <c r="C13" s="63">
        <v>30</v>
      </c>
      <c r="D13" s="55">
        <v>98.227887364718683</v>
      </c>
      <c r="E13" s="55">
        <v>101.53794143652156</v>
      </c>
      <c r="F13" s="55">
        <v>127.71035522962501</v>
      </c>
      <c r="G13" s="63" t="s">
        <v>115</v>
      </c>
      <c r="H13" s="52">
        <v>1424304.3667884208</v>
      </c>
      <c r="I13" s="52">
        <v>1472300.1508295627</v>
      </c>
      <c r="J13" s="52">
        <v>1851800.1508295627</v>
      </c>
      <c r="K13" s="52">
        <v>1424304.3667884208</v>
      </c>
      <c r="O13" s="63" t="s">
        <v>288</v>
      </c>
      <c r="P13" s="63" t="s">
        <v>110</v>
      </c>
    </row>
    <row r="14" spans="1:16" x14ac:dyDescent="0.2">
      <c r="A14" s="63">
        <v>9</v>
      </c>
      <c r="B14" s="63" t="s">
        <v>116</v>
      </c>
      <c r="C14" s="63">
        <v>30</v>
      </c>
      <c r="D14" s="55">
        <v>42.330991099155035</v>
      </c>
      <c r="E14" s="55">
        <v>45.296217584751034</v>
      </c>
      <c r="F14" s="55">
        <v>69.089321033026891</v>
      </c>
      <c r="G14" s="63" t="s">
        <v>117</v>
      </c>
      <c r="H14" s="52">
        <v>613799.370937748</v>
      </c>
      <c r="I14" s="52">
        <v>656795.15497888997</v>
      </c>
      <c r="J14" s="52">
        <v>1001795.15497889</v>
      </c>
      <c r="K14" s="53">
        <v>425000</v>
      </c>
      <c r="O14" s="63" t="s">
        <v>255</v>
      </c>
      <c r="P14" s="63" t="s">
        <v>110</v>
      </c>
    </row>
    <row r="15" spans="1:16" x14ac:dyDescent="0.2">
      <c r="A15" s="63">
        <v>10</v>
      </c>
      <c r="B15" s="63" t="s">
        <v>118</v>
      </c>
      <c r="C15" s="63">
        <v>33</v>
      </c>
      <c r="D15" s="55">
        <v>42.779234898714847</v>
      </c>
      <c r="E15" s="55">
        <v>45.744461384310853</v>
      </c>
      <c r="F15" s="55">
        <v>71.916875177414298</v>
      </c>
      <c r="G15" s="63" t="s">
        <v>117</v>
      </c>
      <c r="H15" s="52">
        <v>620298.90603136527</v>
      </c>
      <c r="I15" s="52">
        <v>663294.69007250736</v>
      </c>
      <c r="J15" s="52">
        <v>1042794.6900725074</v>
      </c>
      <c r="K15" s="53">
        <v>425000</v>
      </c>
      <c r="O15" s="63" t="s">
        <v>242</v>
      </c>
      <c r="P15" s="63" t="s">
        <v>110</v>
      </c>
    </row>
    <row r="16" spans="1:16" x14ac:dyDescent="0.2">
      <c r="A16" s="63">
        <v>11</v>
      </c>
      <c r="B16" s="63" t="s">
        <v>119</v>
      </c>
      <c r="C16" s="63">
        <v>15</v>
      </c>
      <c r="D16" s="55">
        <v>32.851040611188708</v>
      </c>
      <c r="E16" s="55">
        <v>35.816267096784706</v>
      </c>
      <c r="F16" s="55">
        <v>47.712818820922635</v>
      </c>
      <c r="G16" s="63" t="s">
        <v>120</v>
      </c>
      <c r="H16" s="52">
        <v>476340.08886223624</v>
      </c>
      <c r="I16" s="52">
        <v>519335.87290337821</v>
      </c>
      <c r="J16" s="52">
        <v>691835.87290337821</v>
      </c>
      <c r="K16" s="53">
        <v>350000</v>
      </c>
      <c r="O16" s="63" t="s">
        <v>256</v>
      </c>
      <c r="P16" s="63" t="s">
        <v>110</v>
      </c>
    </row>
    <row r="17" spans="1:16" x14ac:dyDescent="0.2">
      <c r="A17" s="63">
        <v>12</v>
      </c>
      <c r="B17" s="63" t="s">
        <v>121</v>
      </c>
      <c r="C17" s="63">
        <v>11</v>
      </c>
      <c r="D17" s="55">
        <v>13.198075497496305</v>
      </c>
      <c r="E17" s="55">
        <v>16.1633019830923</v>
      </c>
      <c r="F17" s="55">
        <v>24.094336465850922</v>
      </c>
      <c r="G17" s="63" t="s">
        <v>122</v>
      </c>
      <c r="H17" s="52">
        <v>191372.09471369642</v>
      </c>
      <c r="I17" s="52">
        <v>234367.87875483834</v>
      </c>
      <c r="J17" s="52">
        <v>349367.87875483837</v>
      </c>
      <c r="K17" s="53">
        <v>220000</v>
      </c>
      <c r="O17" s="63" t="s">
        <v>257</v>
      </c>
      <c r="P17" s="63" t="s">
        <v>110</v>
      </c>
    </row>
    <row r="18" spans="1:16" x14ac:dyDescent="0.2">
      <c r="A18" s="63">
        <v>13</v>
      </c>
      <c r="B18" s="63" t="s">
        <v>123</v>
      </c>
      <c r="C18" s="63">
        <v>11</v>
      </c>
      <c r="D18" s="55">
        <v>9.9396573133956743</v>
      </c>
      <c r="E18" s="55">
        <v>12.904883798991671</v>
      </c>
      <c r="F18" s="55">
        <v>20.835918281750292</v>
      </c>
      <c r="G18" s="63" t="s">
        <v>122</v>
      </c>
      <c r="H18" s="52">
        <v>144125.03104423729</v>
      </c>
      <c r="I18" s="52">
        <v>187120.81508537923</v>
      </c>
      <c r="J18" s="52">
        <v>302120.81508537923</v>
      </c>
      <c r="K18" s="53">
        <v>220000</v>
      </c>
      <c r="O18" s="63" t="s">
        <v>267</v>
      </c>
      <c r="P18" s="63" t="s">
        <v>110</v>
      </c>
    </row>
    <row r="19" spans="1:16" x14ac:dyDescent="0.2">
      <c r="A19" s="63">
        <v>14</v>
      </c>
      <c r="B19" s="63" t="s">
        <v>124</v>
      </c>
      <c r="C19" s="63">
        <v>11</v>
      </c>
      <c r="D19" s="55">
        <v>8.6243115698869737</v>
      </c>
      <c r="E19" s="55">
        <v>11.58953805548297</v>
      </c>
      <c r="F19" s="55">
        <v>19.520572538241591</v>
      </c>
      <c r="G19" s="63" t="s">
        <v>122</v>
      </c>
      <c r="H19" s="52">
        <v>125052.51776336112</v>
      </c>
      <c r="I19" s="52">
        <v>168048.30180450308</v>
      </c>
      <c r="J19" s="52">
        <v>283048.30180450308</v>
      </c>
      <c r="O19" s="63" t="s">
        <v>186</v>
      </c>
      <c r="P19" s="63" t="s">
        <v>113</v>
      </c>
    </row>
    <row r="20" spans="1:16" x14ac:dyDescent="0.2">
      <c r="A20" s="63">
        <v>15</v>
      </c>
      <c r="B20" s="63" t="s">
        <v>125</v>
      </c>
      <c r="C20" s="63">
        <v>20</v>
      </c>
      <c r="D20" s="55">
        <v>12.869935559578513</v>
      </c>
      <c r="E20" s="55">
        <v>15.835162045174506</v>
      </c>
      <c r="F20" s="55">
        <v>31.697231010691752</v>
      </c>
      <c r="G20" s="63" t="s">
        <v>126</v>
      </c>
      <c r="H20" s="52">
        <v>186614.06561388844</v>
      </c>
      <c r="I20" s="52">
        <v>229609.84965503035</v>
      </c>
      <c r="J20" s="52">
        <v>459609.84965503041</v>
      </c>
      <c r="O20" s="63" t="s">
        <v>187</v>
      </c>
      <c r="P20" s="63" t="s">
        <v>113</v>
      </c>
    </row>
    <row r="21" spans="1:16" x14ac:dyDescent="0.2">
      <c r="A21" s="63">
        <v>16</v>
      </c>
      <c r="B21" s="63" t="s">
        <v>127</v>
      </c>
      <c r="C21" s="63">
        <v>20</v>
      </c>
      <c r="D21" s="55">
        <v>34.014481497007949</v>
      </c>
      <c r="E21" s="55">
        <v>36.979707982603948</v>
      </c>
      <c r="F21" s="55">
        <v>52.841776948121193</v>
      </c>
      <c r="G21" s="63" t="s">
        <v>126</v>
      </c>
      <c r="H21" s="52">
        <v>493209.98170661525</v>
      </c>
      <c r="I21" s="52">
        <v>536205.76574775728</v>
      </c>
      <c r="J21" s="52">
        <v>766205.76574775728</v>
      </c>
      <c r="O21" s="63" t="s">
        <v>258</v>
      </c>
      <c r="P21" s="63" t="s">
        <v>109</v>
      </c>
    </row>
    <row r="22" spans="1:16" x14ac:dyDescent="0.2">
      <c r="A22" s="63">
        <v>17</v>
      </c>
      <c r="B22" s="63" t="s">
        <v>128</v>
      </c>
      <c r="C22" s="63">
        <v>15</v>
      </c>
      <c r="D22" s="55">
        <v>17.340346563348103</v>
      </c>
      <c r="E22" s="55">
        <v>18.94828557481604</v>
      </c>
      <c r="F22" s="55">
        <v>30.051733850678108</v>
      </c>
      <c r="G22" s="63" t="s">
        <v>129</v>
      </c>
      <c r="H22" s="52">
        <v>251435.02516854749</v>
      </c>
      <c r="I22" s="52">
        <v>274750.14083483256</v>
      </c>
      <c r="J22" s="52">
        <v>435750.14083483256</v>
      </c>
      <c r="K22" s="53">
        <v>210000</v>
      </c>
      <c r="O22" s="63" t="s">
        <v>259</v>
      </c>
      <c r="P22" s="63" t="s">
        <v>109</v>
      </c>
    </row>
    <row r="23" spans="1:16" x14ac:dyDescent="0.2">
      <c r="A23" s="63">
        <v>18</v>
      </c>
      <c r="B23" s="63" t="s">
        <v>130</v>
      </c>
      <c r="C23" s="63">
        <v>20</v>
      </c>
      <c r="D23" s="55">
        <v>31.171772542920422</v>
      </c>
      <c r="E23" s="55">
        <v>32.952125347491801</v>
      </c>
      <c r="F23" s="55">
        <v>48.814194313009047</v>
      </c>
      <c r="G23" s="63" t="s">
        <v>129</v>
      </c>
      <c r="H23" s="52">
        <v>451990.70187234611</v>
      </c>
      <c r="I23" s="52">
        <v>477805.81753863109</v>
      </c>
      <c r="J23" s="52">
        <v>707805.81753863115</v>
      </c>
      <c r="K23" s="53">
        <v>460000</v>
      </c>
      <c r="O23" s="63" t="s">
        <v>260</v>
      </c>
      <c r="P23" s="63" t="s">
        <v>109</v>
      </c>
    </row>
    <row r="24" spans="1:16" x14ac:dyDescent="0.2">
      <c r="A24" s="63">
        <v>19</v>
      </c>
      <c r="B24" s="64" t="s">
        <v>149</v>
      </c>
      <c r="C24" s="64">
        <v>28</v>
      </c>
      <c r="D24" s="65">
        <v>32.42</v>
      </c>
      <c r="E24" s="65">
        <v>34.21</v>
      </c>
      <c r="F24" s="65">
        <v>53.52</v>
      </c>
      <c r="G24" s="64" t="s">
        <v>129</v>
      </c>
      <c r="H24" s="52">
        <v>470090</v>
      </c>
      <c r="I24" s="52">
        <v>496045</v>
      </c>
      <c r="J24" s="52">
        <v>776040</v>
      </c>
      <c r="K24" s="67">
        <v>500000</v>
      </c>
      <c r="O24" s="63" t="s">
        <v>261</v>
      </c>
      <c r="P24" s="63" t="s">
        <v>109</v>
      </c>
    </row>
    <row r="25" spans="1:16" x14ac:dyDescent="0.2">
      <c r="A25" s="63">
        <v>20</v>
      </c>
      <c r="B25" s="63" t="s">
        <v>328</v>
      </c>
      <c r="C25" s="168">
        <v>28</v>
      </c>
      <c r="D25" s="65">
        <v>32.42</v>
      </c>
      <c r="E25" s="65">
        <v>34.21</v>
      </c>
      <c r="F25" s="65">
        <v>53.52</v>
      </c>
      <c r="G25" s="64" t="s">
        <v>129</v>
      </c>
      <c r="H25" s="52">
        <v>470090</v>
      </c>
      <c r="I25" s="52">
        <v>496045</v>
      </c>
      <c r="J25" s="52">
        <v>776040</v>
      </c>
      <c r="K25" s="67">
        <v>500000</v>
      </c>
    </row>
    <row r="26" spans="1:16" x14ac:dyDescent="0.2">
      <c r="A26" s="63">
        <v>21</v>
      </c>
      <c r="B26" s="63" t="s">
        <v>38</v>
      </c>
      <c r="C26" s="63">
        <v>10</v>
      </c>
      <c r="D26" s="56"/>
      <c r="E26" s="56"/>
      <c r="F26" s="56"/>
      <c r="H26" s="52">
        <v>8000000</v>
      </c>
      <c r="I26" s="52"/>
      <c r="J26" s="52"/>
      <c r="K26" s="52">
        <v>8000000</v>
      </c>
      <c r="O26" s="63" t="s">
        <v>262</v>
      </c>
      <c r="P26" s="63" t="s">
        <v>109</v>
      </c>
    </row>
    <row r="27" spans="1:16" x14ac:dyDescent="0.2">
      <c r="A27" s="63">
        <v>22</v>
      </c>
      <c r="B27" s="63" t="s">
        <v>131</v>
      </c>
      <c r="C27" s="63">
        <v>4</v>
      </c>
      <c r="D27" s="56"/>
      <c r="E27" s="56"/>
      <c r="F27" s="56"/>
      <c r="H27" s="52">
        <v>3000000</v>
      </c>
      <c r="I27" s="52"/>
      <c r="J27" s="52"/>
      <c r="K27" s="52">
        <v>3000000</v>
      </c>
      <c r="O27" s="63" t="s">
        <v>188</v>
      </c>
      <c r="P27" s="63" t="s">
        <v>109</v>
      </c>
    </row>
    <row r="28" spans="1:16" x14ac:dyDescent="0.2">
      <c r="A28" s="63">
        <v>23</v>
      </c>
      <c r="B28" s="63" t="s">
        <v>150</v>
      </c>
      <c r="C28" s="64">
        <v>10</v>
      </c>
      <c r="D28" s="64"/>
      <c r="E28" s="64"/>
      <c r="F28" s="64"/>
      <c r="G28" s="64"/>
      <c r="H28" s="52">
        <v>12000000</v>
      </c>
      <c r="K28" s="52">
        <f>Table2[[#This Row],[Column4]]</f>
        <v>12000000</v>
      </c>
      <c r="O28" s="63" t="s">
        <v>189</v>
      </c>
      <c r="P28" s="63" t="s">
        <v>109</v>
      </c>
    </row>
    <row r="29" spans="1:16" x14ac:dyDescent="0.2">
      <c r="A29" s="202" t="s">
        <v>132</v>
      </c>
      <c r="B29" s="202"/>
      <c r="C29" s="202"/>
      <c r="O29" s="63" t="s">
        <v>298</v>
      </c>
      <c r="P29" s="63" t="s">
        <v>109</v>
      </c>
    </row>
    <row r="30" spans="1:16" x14ac:dyDescent="0.2">
      <c r="J30" s="139" t="s">
        <v>296</v>
      </c>
      <c r="O30" s="63" t="s">
        <v>299</v>
      </c>
      <c r="P30" s="63" t="s">
        <v>109</v>
      </c>
    </row>
    <row r="31" spans="1:16" ht="15" thickBot="1" x14ac:dyDescent="0.25">
      <c r="A31" s="57" t="s">
        <v>1</v>
      </c>
      <c r="B31" s="58" t="s">
        <v>86</v>
      </c>
      <c r="C31" s="58" t="s">
        <v>133</v>
      </c>
      <c r="O31" s="63" t="s">
        <v>289</v>
      </c>
      <c r="P31" s="63" t="s">
        <v>109</v>
      </c>
    </row>
    <row r="32" spans="1:16" ht="15" thickTop="1" x14ac:dyDescent="0.2">
      <c r="A32" s="63">
        <v>1</v>
      </c>
      <c r="B32" s="63" t="s">
        <v>134</v>
      </c>
      <c r="C32" s="59">
        <v>24</v>
      </c>
      <c r="O32" s="63" t="s">
        <v>190</v>
      </c>
      <c r="P32" s="63" t="s">
        <v>107</v>
      </c>
    </row>
    <row r="33" spans="1:16" x14ac:dyDescent="0.2">
      <c r="A33" s="63">
        <v>2</v>
      </c>
      <c r="B33" s="63" t="s">
        <v>135</v>
      </c>
      <c r="C33" s="59">
        <v>16</v>
      </c>
      <c r="O33" s="63" t="s">
        <v>191</v>
      </c>
      <c r="P33" s="63" t="s">
        <v>112</v>
      </c>
    </row>
    <row r="34" spans="1:16" x14ac:dyDescent="0.2">
      <c r="A34" s="63">
        <v>3</v>
      </c>
      <c r="B34" s="60" t="s">
        <v>136</v>
      </c>
      <c r="C34" s="59">
        <v>8</v>
      </c>
      <c r="O34" s="63" t="s">
        <v>243</v>
      </c>
      <c r="P34" s="63" t="s">
        <v>112</v>
      </c>
    </row>
    <row r="35" spans="1:16" x14ac:dyDescent="0.2">
      <c r="A35" s="63">
        <v>4</v>
      </c>
      <c r="B35" s="63" t="s">
        <v>137</v>
      </c>
      <c r="C35" s="59">
        <v>16</v>
      </c>
      <c r="O35" s="63" t="s">
        <v>192</v>
      </c>
      <c r="P35" s="63" t="s">
        <v>112</v>
      </c>
    </row>
    <row r="36" spans="1:16" x14ac:dyDescent="0.2">
      <c r="A36" s="63">
        <v>5</v>
      </c>
      <c r="B36" s="63" t="s">
        <v>138</v>
      </c>
      <c r="C36" s="59">
        <v>8</v>
      </c>
      <c r="O36" s="63" t="s">
        <v>193</v>
      </c>
      <c r="P36" s="63" t="s">
        <v>112</v>
      </c>
    </row>
    <row r="37" spans="1:16" x14ac:dyDescent="0.2">
      <c r="O37" s="63" t="s">
        <v>194</v>
      </c>
      <c r="P37" s="63" t="s">
        <v>112</v>
      </c>
    </row>
    <row r="38" spans="1:16" x14ac:dyDescent="0.2">
      <c r="O38" s="63" t="s">
        <v>195</v>
      </c>
      <c r="P38" s="63" t="s">
        <v>112</v>
      </c>
    </row>
    <row r="39" spans="1:16" x14ac:dyDescent="0.2">
      <c r="B39" s="63">
        <v>14652.34</v>
      </c>
      <c r="O39" s="63" t="s">
        <v>196</v>
      </c>
      <c r="P39" s="63" t="s">
        <v>112</v>
      </c>
    </row>
    <row r="40" spans="1:16" x14ac:dyDescent="0.2">
      <c r="O40" s="63" t="s">
        <v>197</v>
      </c>
      <c r="P40" s="63" t="s">
        <v>112</v>
      </c>
    </row>
    <row r="41" spans="1:16" x14ac:dyDescent="0.2">
      <c r="O41" s="63" t="s">
        <v>198</v>
      </c>
      <c r="P41" s="63" t="s">
        <v>112</v>
      </c>
    </row>
    <row r="42" spans="1:16" x14ac:dyDescent="0.2">
      <c r="O42" s="63" t="s">
        <v>199</v>
      </c>
      <c r="P42" s="63" t="s">
        <v>112</v>
      </c>
    </row>
    <row r="43" spans="1:16" x14ac:dyDescent="0.2">
      <c r="O43" s="63" t="s">
        <v>253</v>
      </c>
      <c r="P43" s="63" t="s">
        <v>114</v>
      </c>
    </row>
    <row r="44" spans="1:16" x14ac:dyDescent="0.2">
      <c r="O44" s="63" t="s">
        <v>271</v>
      </c>
      <c r="P44" s="63" t="s">
        <v>114</v>
      </c>
    </row>
    <row r="45" spans="1:16" x14ac:dyDescent="0.2">
      <c r="O45" s="63" t="s">
        <v>244</v>
      </c>
      <c r="P45" s="63" t="s">
        <v>114</v>
      </c>
    </row>
    <row r="46" spans="1:16" x14ac:dyDescent="0.2">
      <c r="O46" s="63" t="s">
        <v>254</v>
      </c>
      <c r="P46" s="63" t="s">
        <v>114</v>
      </c>
    </row>
    <row r="47" spans="1:16" x14ac:dyDescent="0.2">
      <c r="O47" s="63" t="s">
        <v>245</v>
      </c>
      <c r="P47" s="63" t="s">
        <v>114</v>
      </c>
    </row>
    <row r="48" spans="1:16" x14ac:dyDescent="0.2">
      <c r="O48" s="63" t="s">
        <v>246</v>
      </c>
      <c r="P48" s="63" t="s">
        <v>114</v>
      </c>
    </row>
    <row r="49" spans="15:16" x14ac:dyDescent="0.2">
      <c r="O49" s="63" t="s">
        <v>247</v>
      </c>
      <c r="P49" s="63" t="s">
        <v>114</v>
      </c>
    </row>
    <row r="50" spans="15:16" x14ac:dyDescent="0.2">
      <c r="O50" s="63" t="s">
        <v>200</v>
      </c>
      <c r="P50" s="63" t="s">
        <v>114</v>
      </c>
    </row>
    <row r="51" spans="15:16" x14ac:dyDescent="0.2">
      <c r="O51" s="63" t="s">
        <v>201</v>
      </c>
      <c r="P51" s="63" t="s">
        <v>114</v>
      </c>
    </row>
    <row r="52" spans="15:16" x14ac:dyDescent="0.2">
      <c r="O52" s="63" t="s">
        <v>202</v>
      </c>
      <c r="P52" s="63" t="s">
        <v>114</v>
      </c>
    </row>
    <row r="53" spans="15:16" x14ac:dyDescent="0.2">
      <c r="O53" s="63" t="s">
        <v>203</v>
      </c>
      <c r="P53" s="63" t="s">
        <v>114</v>
      </c>
    </row>
    <row r="54" spans="15:16" x14ac:dyDescent="0.2">
      <c r="O54" s="63" t="s">
        <v>204</v>
      </c>
      <c r="P54" s="63" t="s">
        <v>114</v>
      </c>
    </row>
    <row r="55" spans="15:16" x14ac:dyDescent="0.2">
      <c r="O55" s="63" t="s">
        <v>205</v>
      </c>
      <c r="P55" s="63" t="s">
        <v>114</v>
      </c>
    </row>
    <row r="56" spans="15:16" x14ac:dyDescent="0.2">
      <c r="O56" s="63" t="s">
        <v>206</v>
      </c>
      <c r="P56" s="63" t="s">
        <v>114</v>
      </c>
    </row>
    <row r="57" spans="15:16" x14ac:dyDescent="0.2">
      <c r="O57" s="63" t="s">
        <v>207</v>
      </c>
      <c r="P57" s="63" t="s">
        <v>114</v>
      </c>
    </row>
    <row r="58" spans="15:16" x14ac:dyDescent="0.2">
      <c r="O58" s="63" t="s">
        <v>208</v>
      </c>
      <c r="P58" s="63" t="s">
        <v>114</v>
      </c>
    </row>
    <row r="59" spans="15:16" x14ac:dyDescent="0.2">
      <c r="O59" s="63" t="s">
        <v>209</v>
      </c>
      <c r="P59" s="63" t="s">
        <v>114</v>
      </c>
    </row>
    <row r="60" spans="15:16" x14ac:dyDescent="0.2">
      <c r="O60" s="63" t="s">
        <v>210</v>
      </c>
      <c r="P60" s="63" t="s">
        <v>114</v>
      </c>
    </row>
    <row r="61" spans="15:16" x14ac:dyDescent="0.2">
      <c r="O61" s="63" t="s">
        <v>211</v>
      </c>
      <c r="P61" s="63" t="s">
        <v>114</v>
      </c>
    </row>
    <row r="62" spans="15:16" x14ac:dyDescent="0.2">
      <c r="O62" s="63" t="s">
        <v>212</v>
      </c>
      <c r="P62" s="63" t="s">
        <v>114</v>
      </c>
    </row>
    <row r="63" spans="15:16" x14ac:dyDescent="0.2">
      <c r="O63" s="63" t="s">
        <v>213</v>
      </c>
      <c r="P63" s="63" t="s">
        <v>114</v>
      </c>
    </row>
    <row r="64" spans="15:16" x14ac:dyDescent="0.2">
      <c r="O64" s="63" t="s">
        <v>234</v>
      </c>
      <c r="P64" s="63" t="s">
        <v>114</v>
      </c>
    </row>
    <row r="65" spans="15:16" x14ac:dyDescent="0.2">
      <c r="O65" s="63" t="s">
        <v>235</v>
      </c>
      <c r="P65" s="63" t="s">
        <v>114</v>
      </c>
    </row>
    <row r="66" spans="15:16" x14ac:dyDescent="0.2">
      <c r="O66" s="63" t="s">
        <v>236</v>
      </c>
      <c r="P66" s="63" t="s">
        <v>114</v>
      </c>
    </row>
    <row r="67" spans="15:16" x14ac:dyDescent="0.2">
      <c r="O67" s="63" t="s">
        <v>278</v>
      </c>
      <c r="P67" s="63" t="s">
        <v>118</v>
      </c>
    </row>
    <row r="68" spans="15:16" x14ac:dyDescent="0.2">
      <c r="O68" s="63" t="s">
        <v>248</v>
      </c>
      <c r="P68" s="63" t="s">
        <v>118</v>
      </c>
    </row>
    <row r="69" spans="15:16" x14ac:dyDescent="0.2">
      <c r="O69" s="63" t="s">
        <v>249</v>
      </c>
      <c r="P69" s="63" t="s">
        <v>118</v>
      </c>
    </row>
    <row r="70" spans="15:16" x14ac:dyDescent="0.2">
      <c r="O70" s="63" t="s">
        <v>214</v>
      </c>
      <c r="P70" s="63" t="s">
        <v>118</v>
      </c>
    </row>
    <row r="71" spans="15:16" x14ac:dyDescent="0.2">
      <c r="O71" s="63" t="s">
        <v>215</v>
      </c>
      <c r="P71" s="63" t="s">
        <v>118</v>
      </c>
    </row>
    <row r="72" spans="15:16" x14ac:dyDescent="0.2">
      <c r="O72" s="63" t="s">
        <v>216</v>
      </c>
      <c r="P72" s="63" t="s">
        <v>118</v>
      </c>
    </row>
    <row r="73" spans="15:16" x14ac:dyDescent="0.2">
      <c r="O73" s="63" t="s">
        <v>217</v>
      </c>
      <c r="P73" s="63" t="s">
        <v>118</v>
      </c>
    </row>
    <row r="74" spans="15:16" x14ac:dyDescent="0.2">
      <c r="O74" s="63" t="s">
        <v>237</v>
      </c>
      <c r="P74" s="63" t="s">
        <v>118</v>
      </c>
    </row>
    <row r="75" spans="15:16" x14ac:dyDescent="0.2">
      <c r="O75" s="63" t="s">
        <v>263</v>
      </c>
      <c r="P75" s="63" t="s">
        <v>116</v>
      </c>
    </row>
    <row r="76" spans="15:16" x14ac:dyDescent="0.2">
      <c r="O76" s="63" t="s">
        <v>218</v>
      </c>
      <c r="P76" s="63" t="s">
        <v>116</v>
      </c>
    </row>
    <row r="77" spans="15:16" x14ac:dyDescent="0.2">
      <c r="O77" s="63" t="s">
        <v>250</v>
      </c>
      <c r="P77" s="63" t="s">
        <v>116</v>
      </c>
    </row>
    <row r="78" spans="15:16" x14ac:dyDescent="0.2">
      <c r="O78" s="63" t="s">
        <v>219</v>
      </c>
      <c r="P78" s="63" t="s">
        <v>116</v>
      </c>
    </row>
    <row r="79" spans="15:16" x14ac:dyDescent="0.2">
      <c r="O79" s="63" t="s">
        <v>238</v>
      </c>
      <c r="P79" s="63" t="s">
        <v>116</v>
      </c>
    </row>
    <row r="80" spans="15:16" x14ac:dyDescent="0.2">
      <c r="O80" s="63" t="s">
        <v>220</v>
      </c>
      <c r="P80" s="63" t="s">
        <v>119</v>
      </c>
    </row>
    <row r="81" spans="15:16" x14ac:dyDescent="0.2">
      <c r="O81" s="63" t="s">
        <v>268</v>
      </c>
      <c r="P81" s="63" t="s">
        <v>127</v>
      </c>
    </row>
    <row r="82" spans="15:16" x14ac:dyDescent="0.2">
      <c r="O82" s="63" t="s">
        <v>305</v>
      </c>
      <c r="P82" s="63" t="s">
        <v>121</v>
      </c>
    </row>
    <row r="83" spans="15:16" x14ac:dyDescent="0.2">
      <c r="O83" s="63" t="s">
        <v>269</v>
      </c>
      <c r="P83" s="63" t="s">
        <v>121</v>
      </c>
    </row>
    <row r="84" spans="15:16" x14ac:dyDescent="0.2">
      <c r="O84" s="63" t="s">
        <v>279</v>
      </c>
      <c r="P84" s="63" t="s">
        <v>121</v>
      </c>
    </row>
    <row r="85" spans="15:16" x14ac:dyDescent="0.2">
      <c r="O85" s="63" t="s">
        <v>221</v>
      </c>
      <c r="P85" s="63" t="s">
        <v>121</v>
      </c>
    </row>
    <row r="86" spans="15:16" x14ac:dyDescent="0.2">
      <c r="O86" s="63" t="s">
        <v>283</v>
      </c>
      <c r="P86" s="63" t="s">
        <v>38</v>
      </c>
    </row>
    <row r="87" spans="15:16" x14ac:dyDescent="0.2">
      <c r="O87" s="63" t="s">
        <v>224</v>
      </c>
      <c r="P87" s="63" t="s">
        <v>38</v>
      </c>
    </row>
    <row r="88" spans="15:16" x14ac:dyDescent="0.2">
      <c r="O88" s="63" t="s">
        <v>225</v>
      </c>
      <c r="P88" s="63" t="s">
        <v>38</v>
      </c>
    </row>
    <row r="89" spans="15:16" x14ac:dyDescent="0.2">
      <c r="O89" s="63" t="s">
        <v>226</v>
      </c>
      <c r="P89" s="63" t="s">
        <v>38</v>
      </c>
    </row>
    <row r="90" spans="15:16" x14ac:dyDescent="0.2">
      <c r="O90" s="63" t="s">
        <v>239</v>
      </c>
      <c r="P90" s="63" t="s">
        <v>38</v>
      </c>
    </row>
    <row r="91" spans="15:16" x14ac:dyDescent="0.2">
      <c r="O91" s="63" t="s">
        <v>284</v>
      </c>
      <c r="P91" s="63" t="s">
        <v>38</v>
      </c>
    </row>
    <row r="92" spans="15:16" x14ac:dyDescent="0.2">
      <c r="O92" s="63" t="s">
        <v>222</v>
      </c>
      <c r="P92" s="63" t="s">
        <v>38</v>
      </c>
    </row>
    <row r="93" spans="15:16" x14ac:dyDescent="0.2">
      <c r="O93" s="63" t="s">
        <v>265</v>
      </c>
      <c r="P93" s="63" t="s">
        <v>38</v>
      </c>
    </row>
    <row r="94" spans="15:16" x14ac:dyDescent="0.2">
      <c r="O94" s="63" t="s">
        <v>272</v>
      </c>
      <c r="P94" s="63" t="s">
        <v>38</v>
      </c>
    </row>
    <row r="95" spans="15:16" x14ac:dyDescent="0.2">
      <c r="O95" s="63" t="s">
        <v>290</v>
      </c>
      <c r="P95" s="63" t="s">
        <v>38</v>
      </c>
    </row>
    <row r="96" spans="15:16" x14ac:dyDescent="0.2">
      <c r="O96" s="63" t="s">
        <v>273</v>
      </c>
      <c r="P96" s="63" t="s">
        <v>38</v>
      </c>
    </row>
    <row r="97" spans="15:16" x14ac:dyDescent="0.2">
      <c r="O97" s="63" t="s">
        <v>274</v>
      </c>
      <c r="P97" s="63" t="s">
        <v>38</v>
      </c>
    </row>
    <row r="98" spans="15:16" x14ac:dyDescent="0.2">
      <c r="O98" s="63" t="s">
        <v>275</v>
      </c>
      <c r="P98" s="63" t="s">
        <v>38</v>
      </c>
    </row>
    <row r="99" spans="15:16" x14ac:dyDescent="0.2">
      <c r="O99" s="63" t="s">
        <v>295</v>
      </c>
      <c r="P99" s="63" t="s">
        <v>38</v>
      </c>
    </row>
    <row r="100" spans="15:16" x14ac:dyDescent="0.2">
      <c r="O100" s="63" t="s">
        <v>223</v>
      </c>
      <c r="P100" s="63" t="s">
        <v>38</v>
      </c>
    </row>
    <row r="101" spans="15:16" x14ac:dyDescent="0.2">
      <c r="O101" s="63" t="s">
        <v>276</v>
      </c>
      <c r="P101" s="63" t="s">
        <v>38</v>
      </c>
    </row>
    <row r="102" spans="15:16" x14ac:dyDescent="0.2">
      <c r="O102" s="63" t="s">
        <v>291</v>
      </c>
      <c r="P102" s="63" t="s">
        <v>38</v>
      </c>
    </row>
    <row r="103" spans="15:16" x14ac:dyDescent="0.2">
      <c r="O103" s="63" t="s">
        <v>251</v>
      </c>
      <c r="P103" s="63" t="s">
        <v>38</v>
      </c>
    </row>
    <row r="104" spans="15:16" x14ac:dyDescent="0.2">
      <c r="O104" s="63" t="s">
        <v>264</v>
      </c>
      <c r="P104" s="63" t="s">
        <v>38</v>
      </c>
    </row>
    <row r="105" spans="15:16" x14ac:dyDescent="0.2">
      <c r="O105" s="63" t="s">
        <v>277</v>
      </c>
      <c r="P105" s="63" t="s">
        <v>38</v>
      </c>
    </row>
    <row r="106" spans="15:16" x14ac:dyDescent="0.2">
      <c r="O106" s="63" t="s">
        <v>227</v>
      </c>
      <c r="P106" s="63" t="s">
        <v>128</v>
      </c>
    </row>
    <row r="107" spans="15:16" x14ac:dyDescent="0.2">
      <c r="O107" s="63" t="s">
        <v>280</v>
      </c>
      <c r="P107" s="63" t="s">
        <v>150</v>
      </c>
    </row>
    <row r="108" spans="15:16" x14ac:dyDescent="0.2">
      <c r="O108" s="63" t="s">
        <v>304</v>
      </c>
      <c r="P108" s="63" t="s">
        <v>128</v>
      </c>
    </row>
    <row r="109" spans="15:16" x14ac:dyDescent="0.2">
      <c r="O109" s="63" t="s">
        <v>228</v>
      </c>
      <c r="P109" s="63" t="s">
        <v>128</v>
      </c>
    </row>
    <row r="110" spans="15:16" x14ac:dyDescent="0.2">
      <c r="O110" s="63" t="s">
        <v>229</v>
      </c>
      <c r="P110" s="63" t="s">
        <v>128</v>
      </c>
    </row>
    <row r="111" spans="15:16" x14ac:dyDescent="0.2">
      <c r="O111" s="63" t="s">
        <v>294</v>
      </c>
      <c r="P111" s="63" t="s">
        <v>128</v>
      </c>
    </row>
    <row r="112" spans="15:16" x14ac:dyDescent="0.2">
      <c r="O112" s="63" t="s">
        <v>285</v>
      </c>
      <c r="P112" s="63" t="s">
        <v>150</v>
      </c>
    </row>
    <row r="113" spans="15:16" x14ac:dyDescent="0.2">
      <c r="O113" s="63" t="s">
        <v>230</v>
      </c>
      <c r="P113" s="63" t="s">
        <v>150</v>
      </c>
    </row>
    <row r="114" spans="15:16" x14ac:dyDescent="0.2">
      <c r="O114" s="63" t="s">
        <v>231</v>
      </c>
      <c r="P114" s="63" t="s">
        <v>150</v>
      </c>
    </row>
    <row r="115" spans="15:16" x14ac:dyDescent="0.2">
      <c r="O115" s="63" t="s">
        <v>281</v>
      </c>
      <c r="P115" s="63" t="s">
        <v>150</v>
      </c>
    </row>
    <row r="116" spans="15:16" x14ac:dyDescent="0.2">
      <c r="O116" s="63" t="s">
        <v>287</v>
      </c>
    </row>
    <row r="117" spans="15:16" x14ac:dyDescent="0.2">
      <c r="O117" s="63" t="s">
        <v>300</v>
      </c>
      <c r="P117" s="63" t="s">
        <v>38</v>
      </c>
    </row>
    <row r="118" spans="15:16" x14ac:dyDescent="0.2">
      <c r="O118" s="63" t="s">
        <v>301</v>
      </c>
      <c r="P118" s="63" t="s">
        <v>150</v>
      </c>
    </row>
    <row r="119" spans="15:16" x14ac:dyDescent="0.2">
      <c r="O119" s="63" t="s">
        <v>302</v>
      </c>
      <c r="P119" s="63" t="s">
        <v>150</v>
      </c>
    </row>
    <row r="120" spans="15:16" x14ac:dyDescent="0.2">
      <c r="O120" s="63" t="s">
        <v>322</v>
      </c>
      <c r="P120" s="63" t="s">
        <v>38</v>
      </c>
    </row>
    <row r="121" spans="15:16" x14ac:dyDescent="0.2">
      <c r="O121" s="63" t="s">
        <v>327</v>
      </c>
      <c r="P121" s="63" t="s">
        <v>111</v>
      </c>
    </row>
    <row r="122" spans="15:16" x14ac:dyDescent="0.2">
      <c r="O122" s="63" t="s">
        <v>329</v>
      </c>
      <c r="P122" s="63" t="s">
        <v>109</v>
      </c>
    </row>
  </sheetData>
  <mergeCells count="1">
    <mergeCell ref="A29:C29"/>
  </mergeCells>
  <dataValidations count="1">
    <dataValidation type="list" allowBlank="1" showInputMessage="1" showErrorMessage="1" sqref="P1:P1048576" xr:uid="{36C518E1-E374-4D0C-9CAA-E2513EA46D10}">
      <formula1>$B$6:$B$28</formula1>
    </dataValidation>
  </dataValidations>
  <pageMargins left="0.7" right="0.7" top="0.75" bottom="0.75" header="0.3" footer="0.3"/>
  <pageSetup orientation="portrait" horizontalDpi="360" verticalDpi="36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77A5-1DAD-40F8-A348-3CF98908B2B6}">
  <sheetPr>
    <tabColor rgb="FF00B0F0"/>
  </sheetPr>
  <dimension ref="A1:R43"/>
  <sheetViews>
    <sheetView zoomScale="90" zoomScaleNormal="90" workbookViewId="0">
      <pane xSplit="1" ySplit="2" topLeftCell="B3" activePane="bottomRight" state="frozenSplit"/>
      <selection pane="topRight" activeCell="B1" sqref="B1"/>
      <selection pane="bottomLeft" activeCell="A4" sqref="A4"/>
      <selection pane="bottomRight" activeCell="E11" sqref="E11"/>
    </sheetView>
  </sheetViews>
  <sheetFormatPr baseColWidth="10" defaultColWidth="8.83203125" defaultRowHeight="12" x14ac:dyDescent="0.2"/>
  <cols>
    <col min="1" max="1" width="26" style="68" customWidth="1"/>
    <col min="2" max="3" width="17.83203125" style="68" customWidth="1"/>
    <col min="4" max="10" width="15.83203125" style="73" customWidth="1"/>
    <col min="11" max="11" width="17" style="73" bestFit="1" customWidth="1"/>
    <col min="12" max="12" width="15.83203125" style="73" customWidth="1"/>
    <col min="13" max="15" width="17" style="73" bestFit="1" customWidth="1"/>
    <col min="16" max="16" width="17.83203125" style="73" customWidth="1"/>
    <col min="17" max="16384" width="8.83203125" style="73"/>
  </cols>
  <sheetData>
    <row r="1" spans="1:18" x14ac:dyDescent="0.2">
      <c r="D1" s="73">
        <v>1</v>
      </c>
      <c r="E1" s="73">
        <v>2</v>
      </c>
      <c r="F1" s="73">
        <v>3</v>
      </c>
      <c r="G1" s="73">
        <v>4</v>
      </c>
      <c r="H1" s="73">
        <v>5</v>
      </c>
      <c r="I1" s="73">
        <v>6</v>
      </c>
      <c r="J1" s="73">
        <v>7</v>
      </c>
      <c r="K1" s="73">
        <v>8</v>
      </c>
      <c r="L1" s="73">
        <v>9</v>
      </c>
      <c r="M1" s="73">
        <v>10</v>
      </c>
      <c r="N1" s="73">
        <v>11</v>
      </c>
      <c r="O1" s="73">
        <v>12</v>
      </c>
    </row>
    <row r="2" spans="1:18" s="68" customFormat="1" x14ac:dyDescent="0.2">
      <c r="B2" s="69">
        <v>2022</v>
      </c>
      <c r="C2" s="69" t="s">
        <v>352</v>
      </c>
      <c r="D2" s="69" t="s">
        <v>151</v>
      </c>
      <c r="E2" s="69" t="s">
        <v>152</v>
      </c>
      <c r="F2" s="69" t="s">
        <v>153</v>
      </c>
      <c r="G2" s="69" t="s">
        <v>154</v>
      </c>
      <c r="H2" s="69" t="s">
        <v>155</v>
      </c>
      <c r="I2" s="69" t="s">
        <v>156</v>
      </c>
      <c r="J2" s="69" t="s">
        <v>157</v>
      </c>
      <c r="K2" s="69" t="s">
        <v>158</v>
      </c>
      <c r="L2" s="69" t="s">
        <v>159</v>
      </c>
      <c r="M2" s="69" t="s">
        <v>160</v>
      </c>
      <c r="N2" s="69" t="s">
        <v>161</v>
      </c>
      <c r="O2" s="69" t="s">
        <v>162</v>
      </c>
      <c r="P2" s="70" t="s">
        <v>353</v>
      </c>
    </row>
    <row r="3" spans="1:18" x14ac:dyDescent="0.2">
      <c r="A3" s="71" t="s">
        <v>309</v>
      </c>
      <c r="B3" s="90">
        <v>25551.1</v>
      </c>
      <c r="C3" s="90">
        <v>234846.15</v>
      </c>
      <c r="D3" s="72">
        <f>SUMMARY!$E10</f>
        <v>20512</v>
      </c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90">
        <f>SUM(D3:O3)</f>
        <v>20512</v>
      </c>
    </row>
    <row r="4" spans="1:18" x14ac:dyDescent="0.2">
      <c r="A4" s="74" t="s">
        <v>75</v>
      </c>
      <c r="B4" s="91">
        <v>125448.88</v>
      </c>
      <c r="C4" s="91">
        <v>897600.33</v>
      </c>
      <c r="D4" s="75">
        <f>SUMMARY!$E11</f>
        <v>78826.199999999983</v>
      </c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91">
        <f>SUM(D4:O4)</f>
        <v>78826.199999999983</v>
      </c>
    </row>
    <row r="5" spans="1:18" x14ac:dyDescent="0.2">
      <c r="A5" s="100" t="s">
        <v>180</v>
      </c>
      <c r="B5" s="102">
        <v>12871.52</v>
      </c>
      <c r="C5" s="102">
        <v>49755.05999999999</v>
      </c>
      <c r="D5" s="101">
        <f>SUMMARY!$E12</f>
        <v>4197</v>
      </c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2">
        <f>SUM(D5:O5)</f>
        <v>4197</v>
      </c>
    </row>
    <row r="6" spans="1:18" x14ac:dyDescent="0.2">
      <c r="A6" s="76" t="s">
        <v>77</v>
      </c>
      <c r="B6" s="92">
        <v>0.2036773863584912</v>
      </c>
      <c r="C6" s="92">
        <v>0.2616377714567017</v>
      </c>
      <c r="D6" s="77">
        <f>SUMMARY!$E13</f>
        <v>0.26021804932877651</v>
      </c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92">
        <f>P3/P4</f>
        <v>0.26021804932877651</v>
      </c>
    </row>
    <row r="7" spans="1:18" x14ac:dyDescent="0.2">
      <c r="A7" s="68" t="s">
        <v>318</v>
      </c>
      <c r="B7" s="93"/>
      <c r="C7" s="93">
        <v>0.48055605799732221</v>
      </c>
      <c r="D7" s="142">
        <f>SUMMARY!$F10</f>
        <v>1.1016869043629207</v>
      </c>
      <c r="E7" s="142"/>
      <c r="F7" s="142"/>
      <c r="G7" s="142"/>
      <c r="H7" s="165"/>
      <c r="I7" s="165"/>
      <c r="J7" s="165"/>
      <c r="K7" s="165"/>
      <c r="L7" s="78"/>
      <c r="M7" s="78"/>
      <c r="N7" s="78"/>
      <c r="O7" s="78"/>
      <c r="P7" s="97">
        <f>AVERAGE(D7:O7)</f>
        <v>1.1016869043629207</v>
      </c>
    </row>
    <row r="8" spans="1:18" x14ac:dyDescent="0.2">
      <c r="A8" s="68" t="s">
        <v>317</v>
      </c>
      <c r="B8" s="93"/>
      <c r="C8" s="93">
        <v>0.92485313234829303</v>
      </c>
      <c r="D8" s="142">
        <f>SUMMARY!$F11</f>
        <v>1.260908391125221</v>
      </c>
      <c r="E8" s="142"/>
      <c r="F8" s="142"/>
      <c r="G8" s="142"/>
      <c r="H8" s="165"/>
      <c r="I8" s="165"/>
      <c r="J8" s="165"/>
      <c r="K8" s="165"/>
      <c r="L8" s="78"/>
      <c r="M8" s="78"/>
      <c r="N8" s="78"/>
      <c r="O8" s="78"/>
      <c r="P8" s="97">
        <f>AVERAGE(D8:O8)</f>
        <v>1.260908391125221</v>
      </c>
    </row>
    <row r="9" spans="1:18" x14ac:dyDescent="0.2">
      <c r="A9" s="68" t="s">
        <v>319</v>
      </c>
      <c r="B9" s="93"/>
      <c r="C9" s="93">
        <v>0.70853266334069032</v>
      </c>
      <c r="D9" s="142">
        <f>SUMMARY!$F12</f>
        <v>1.8784857390841045</v>
      </c>
      <c r="E9" s="142"/>
      <c r="F9" s="142"/>
      <c r="G9" s="142"/>
      <c r="H9" s="165"/>
      <c r="I9" s="165"/>
      <c r="J9" s="165"/>
      <c r="K9" s="165"/>
      <c r="L9" s="78"/>
      <c r="M9" s="78"/>
      <c r="N9" s="78"/>
      <c r="O9" s="78"/>
      <c r="P9" s="97">
        <f>AVERAGE(D9:O9)</f>
        <v>1.8784857390841045</v>
      </c>
    </row>
    <row r="10" spans="1:18" x14ac:dyDescent="0.2">
      <c r="A10" s="68" t="s">
        <v>324</v>
      </c>
      <c r="B10" s="93">
        <v>249.91699783903579</v>
      </c>
      <c r="C10" s="93">
        <v>137.3074211513935</v>
      </c>
      <c r="D10" s="78">
        <f>SUMMARY!$D18</f>
        <v>63.199999999999996</v>
      </c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93">
        <f>AVERAGE(D10:O10)</f>
        <v>63.199999999999996</v>
      </c>
    </row>
    <row r="11" spans="1:18" x14ac:dyDescent="0.2">
      <c r="A11" s="93" t="str">
        <f>SUMMARY!C22</f>
        <v>COST OB REMOVAL</v>
      </c>
      <c r="B11" s="94">
        <v>980772683.17614365</v>
      </c>
      <c r="C11" s="94">
        <v>10524898835.250507</v>
      </c>
      <c r="D11" s="79">
        <f>SUMMARY!$D22</f>
        <v>769281224.44529259</v>
      </c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94">
        <f t="shared" ref="P11:P30" si="0">SUM(D11:O11)</f>
        <v>769281224.44529259</v>
      </c>
      <c r="R11" s="106"/>
    </row>
    <row r="12" spans="1:18" x14ac:dyDescent="0.2">
      <c r="A12" s="93" t="str">
        <f>SUMMARY!C23</f>
        <v>COST QUARRY HAULING</v>
      </c>
      <c r="B12" s="94">
        <v>747900000</v>
      </c>
      <c r="C12" s="94">
        <v>2903850000</v>
      </c>
      <c r="D12" s="79">
        <f>SUMMARY!$D23</f>
        <v>304000000</v>
      </c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94">
        <f t="shared" si="0"/>
        <v>304000000</v>
      </c>
      <c r="R12" s="106"/>
    </row>
    <row r="13" spans="1:18" x14ac:dyDescent="0.2">
      <c r="A13" s="93" t="str">
        <f>SUMMARY!C24</f>
        <v>COST DEVELOP ACT.</v>
      </c>
      <c r="B13" s="94">
        <v>0</v>
      </c>
      <c r="C13" s="94">
        <v>0</v>
      </c>
      <c r="D13" s="79">
        <f>SUMMARY!$D24</f>
        <v>0</v>
      </c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94">
        <f t="shared" si="0"/>
        <v>0</v>
      </c>
      <c r="R13" s="106"/>
    </row>
    <row r="14" spans="1:18" x14ac:dyDescent="0.2">
      <c r="A14" s="93" t="str">
        <f>SUMMARY!C25</f>
        <v>COST ORE GETTING</v>
      </c>
      <c r="B14" s="94">
        <v>1089025000</v>
      </c>
      <c r="C14" s="94">
        <v>7233067500</v>
      </c>
      <c r="D14" s="79">
        <f>SUMMARY!$D25</f>
        <v>493455000</v>
      </c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94">
        <f t="shared" si="0"/>
        <v>493455000</v>
      </c>
      <c r="R14" s="106"/>
    </row>
    <row r="15" spans="1:18" x14ac:dyDescent="0.2">
      <c r="A15" s="93" t="str">
        <f>SUMMARY!C26</f>
        <v>COST ORE HAULING</v>
      </c>
      <c r="B15" s="94">
        <v>4733400000</v>
      </c>
      <c r="C15" s="94">
        <v>32604600000</v>
      </c>
      <c r="D15" s="79">
        <f>SUMMARY!$D26</f>
        <v>2436000000</v>
      </c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94">
        <f t="shared" si="0"/>
        <v>2436000000</v>
      </c>
      <c r="R15" s="106"/>
    </row>
    <row r="16" spans="1:18" x14ac:dyDescent="0.2">
      <c r="A16" s="93" t="str">
        <f>SUMMARY!C27</f>
        <v>COST UNIT SUPPORT</v>
      </c>
      <c r="B16" s="94">
        <v>80210000</v>
      </c>
      <c r="C16" s="94">
        <v>494520000</v>
      </c>
      <c r="D16" s="79">
        <f>SUMMARY!$D27</f>
        <v>210000</v>
      </c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94">
        <f t="shared" si="0"/>
        <v>210000</v>
      </c>
      <c r="R16" s="106"/>
    </row>
    <row r="17" spans="1:16" x14ac:dyDescent="0.2">
      <c r="A17" s="68" t="s">
        <v>46</v>
      </c>
      <c r="B17" s="94">
        <v>7631307683.1761436</v>
      </c>
      <c r="C17" s="94">
        <v>53760936335.250511</v>
      </c>
      <c r="D17" s="79">
        <f>SUMMARY!$D30</f>
        <v>4002946224.4452925</v>
      </c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94">
        <f t="shared" si="0"/>
        <v>4002946224.4452925</v>
      </c>
    </row>
    <row r="18" spans="1:16" x14ac:dyDescent="0.2">
      <c r="A18" s="68" t="s">
        <v>49</v>
      </c>
      <c r="B18" s="94">
        <v>19557982187.519997</v>
      </c>
      <c r="C18" s="94">
        <v>104910966005.76001</v>
      </c>
      <c r="D18" s="79">
        <f>SUMMARY!$D31</f>
        <v>9363291340.7999973</v>
      </c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94">
        <f t="shared" si="0"/>
        <v>9363291340.7999973</v>
      </c>
    </row>
    <row r="19" spans="1:16" x14ac:dyDescent="0.2">
      <c r="A19" s="70" t="s">
        <v>163</v>
      </c>
      <c r="B19" s="95">
        <v>11926674504.343855</v>
      </c>
      <c r="C19" s="95">
        <v>51150029670.509506</v>
      </c>
      <c r="D19" s="80">
        <f>D18-D17</f>
        <v>5360345116.3547049</v>
      </c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95">
        <f t="shared" si="0"/>
        <v>5360345116.3547049</v>
      </c>
    </row>
    <row r="20" spans="1:16" x14ac:dyDescent="0.2">
      <c r="A20" s="85" t="s">
        <v>286</v>
      </c>
      <c r="B20" s="87">
        <v>0.39018890650415372</v>
      </c>
      <c r="C20" s="87">
        <v>0.51244344020527688</v>
      </c>
      <c r="D20" s="86">
        <f t="shared" ref="D20" si="1">D17/D18</f>
        <v>0.42751486403105787</v>
      </c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>
        <f t="shared" ref="P20" si="2">P17/P18</f>
        <v>0.42751486403105787</v>
      </c>
    </row>
    <row r="21" spans="1:16" x14ac:dyDescent="0.2">
      <c r="A21" s="85" t="s">
        <v>164</v>
      </c>
      <c r="B21" s="87">
        <v>0.60981109349584639</v>
      </c>
      <c r="C21" s="87">
        <v>0.48755655979472323</v>
      </c>
      <c r="D21" s="86">
        <f t="shared" ref="D21" si="3">IFERROR(D19/D18,"")</f>
        <v>0.57248513596894213</v>
      </c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7">
        <f t="shared" ref="P21" si="4">P19/P18</f>
        <v>0.57248513596894213</v>
      </c>
    </row>
    <row r="22" spans="1:16" x14ac:dyDescent="0.2">
      <c r="A22" s="88" t="s">
        <v>270</v>
      </c>
      <c r="B22" s="96">
        <v>1.8718349497565931</v>
      </c>
      <c r="C22" s="96">
        <v>1.9220070263942246</v>
      </c>
      <c r="D22" s="89">
        <f>SUMMARY!$E14</f>
        <v>1.7809662874518235</v>
      </c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96">
        <f>IFERROR(P27/P4,0)</f>
        <v>1.7809662874518235</v>
      </c>
    </row>
    <row r="23" spans="1:16" x14ac:dyDescent="0.2">
      <c r="A23" s="88" t="s">
        <v>320</v>
      </c>
      <c r="B23" s="96"/>
      <c r="C23" s="96">
        <v>1.0266449575157954</v>
      </c>
      <c r="D23" s="140">
        <f>SUMMARY!$F14</f>
        <v>1.0344584547404849</v>
      </c>
      <c r="E23" s="140"/>
      <c r="F23" s="140"/>
      <c r="G23" s="140"/>
      <c r="H23" s="140"/>
      <c r="I23" s="169"/>
      <c r="J23" s="169"/>
      <c r="K23" s="169"/>
      <c r="L23" s="169"/>
      <c r="M23" s="169"/>
      <c r="N23" s="169"/>
      <c r="O23" s="169"/>
      <c r="P23" s="141">
        <f>AVERAGE(D23:O23)</f>
        <v>1.0344584547404849</v>
      </c>
    </row>
    <row r="24" spans="1:16" x14ac:dyDescent="0.2">
      <c r="A24" s="68" t="s">
        <v>73</v>
      </c>
      <c r="B24" s="68">
        <v>61</v>
      </c>
      <c r="C24" s="68">
        <v>365</v>
      </c>
      <c r="D24" s="73">
        <f>SUMMARY!$J9</f>
        <v>31</v>
      </c>
      <c r="P24" s="68">
        <f t="shared" si="0"/>
        <v>31</v>
      </c>
    </row>
    <row r="25" spans="1:16" x14ac:dyDescent="0.2">
      <c r="A25" s="68" t="s">
        <v>74</v>
      </c>
      <c r="B25" s="68">
        <v>549</v>
      </c>
      <c r="C25" s="68">
        <v>3276</v>
      </c>
      <c r="D25" s="73">
        <f>SUMMARY!$J10</f>
        <v>279</v>
      </c>
      <c r="P25" s="68">
        <f t="shared" si="0"/>
        <v>279</v>
      </c>
    </row>
    <row r="26" spans="1:16" x14ac:dyDescent="0.2">
      <c r="A26" s="68" t="s">
        <v>76</v>
      </c>
      <c r="B26" s="97">
        <v>0.85</v>
      </c>
      <c r="C26" s="97">
        <v>0.88750000000000018</v>
      </c>
      <c r="D26" s="81">
        <f>SUMMARY!$J11</f>
        <v>0.9</v>
      </c>
      <c r="E26" s="81"/>
      <c r="F26" s="81"/>
      <c r="G26" s="81"/>
      <c r="H26" s="166"/>
      <c r="I26" s="81"/>
      <c r="J26" s="81"/>
      <c r="K26" s="81"/>
      <c r="L26" s="81"/>
      <c r="M26" s="81"/>
      <c r="N26" s="81"/>
      <c r="O26" s="81"/>
      <c r="P26" s="97">
        <f>AVERAGE(D26:O26)</f>
        <v>0.9</v>
      </c>
    </row>
    <row r="27" spans="1:16" x14ac:dyDescent="0.2">
      <c r="A27" s="68" t="s">
        <v>139</v>
      </c>
      <c r="B27" s="98">
        <v>234819.59799182089</v>
      </c>
      <c r="C27" s="98">
        <v>1725194.1411537747</v>
      </c>
      <c r="D27" s="82">
        <f>SUMMARY!$J18</f>
        <v>140386.8047679349</v>
      </c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98">
        <f t="shared" si="0"/>
        <v>140386.8047679349</v>
      </c>
    </row>
    <row r="28" spans="1:16" x14ac:dyDescent="0.2">
      <c r="A28" s="68" t="s">
        <v>321</v>
      </c>
      <c r="B28" s="98"/>
      <c r="C28" s="98">
        <v>1.1231839812850251</v>
      </c>
      <c r="D28" s="106">
        <f>SUMMARY!$J19</f>
        <v>0.82040730478234458</v>
      </c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37">
        <f>AVERAGE(D28:O28)</f>
        <v>0.82040730478234458</v>
      </c>
    </row>
    <row r="29" spans="1:16" s="104" customFormat="1" x14ac:dyDescent="0.2">
      <c r="A29" s="103" t="s">
        <v>93</v>
      </c>
      <c r="B29" s="103">
        <v>121718.57625684212</v>
      </c>
      <c r="C29" s="103">
        <v>747837.84439954197</v>
      </c>
      <c r="D29" s="84">
        <f>SUMMARY!$J30</f>
        <v>50781.925609065176</v>
      </c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103">
        <f t="shared" si="0"/>
        <v>50781.925609065176</v>
      </c>
    </row>
    <row r="30" spans="1:16" x14ac:dyDescent="0.2">
      <c r="A30" s="83" t="str">
        <f>[1]SUMMARY!G21</f>
        <v>( USD / Ton )</v>
      </c>
      <c r="B30" s="99">
        <v>8.197641181091198</v>
      </c>
      <c r="C30" s="99">
        <v>50.366234132512247</v>
      </c>
      <c r="D30" s="84">
        <f>SUMMARY!$J31</f>
        <v>3.420118912248463</v>
      </c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99">
        <f t="shared" si="0"/>
        <v>3.420118912248463</v>
      </c>
    </row>
    <row r="31" spans="1:16" x14ac:dyDescent="0.2">
      <c r="J31" s="78"/>
      <c r="K31" s="81"/>
    </row>
    <row r="41" spans="1:3" x14ac:dyDescent="0.2">
      <c r="A41" s="137"/>
      <c r="B41" s="137"/>
      <c r="C41" s="137"/>
    </row>
    <row r="43" spans="1:3" x14ac:dyDescent="0.2">
      <c r="A43" s="138"/>
      <c r="B43" s="138"/>
      <c r="C43" s="138"/>
    </row>
  </sheetData>
  <pageMargins left="0.45" right="0.45" top="0.5" bottom="0.5" header="0.3" footer="0.3"/>
  <pageSetup paperSize="8" scale="7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B2:O26"/>
  <sheetViews>
    <sheetView zoomScaleNormal="100" workbookViewId="0">
      <pane xSplit="3" ySplit="7" topLeftCell="D8" activePane="bottomRight" state="frozenSplit"/>
      <selection activeCell="B47" sqref="B47"/>
      <selection pane="topRight" activeCell="B47" sqref="B47"/>
      <selection pane="bottomLeft" activeCell="B47" sqref="B47"/>
      <selection pane="bottomRight" activeCell="C1" sqref="C1:C1048576"/>
    </sheetView>
  </sheetViews>
  <sheetFormatPr baseColWidth="10" defaultColWidth="9.1640625" defaultRowHeight="14" x14ac:dyDescent="0.2"/>
  <cols>
    <col min="1" max="1" width="9.1640625" style="15"/>
    <col min="2" max="2" width="11.5" style="15" customWidth="1"/>
    <col min="3" max="3" width="26.1640625" style="15" bestFit="1" customWidth="1"/>
    <col min="4" max="4" width="12.6640625" style="15" customWidth="1"/>
    <col min="5" max="5" width="15.33203125" style="27" bestFit="1" customWidth="1"/>
    <col min="6" max="6" width="21.164062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83203125" style="15" customWidth="1"/>
    <col min="11" max="11" width="11" style="15" customWidth="1"/>
    <col min="12" max="12" width="18.5" style="15" customWidth="1"/>
    <col min="13" max="13" width="12.5" style="15" bestFit="1" customWidth="1"/>
    <col min="14" max="14" width="26.1640625" style="15" bestFit="1" customWidth="1"/>
    <col min="15" max="16384" width="9.1640625" style="15"/>
  </cols>
  <sheetData>
    <row r="2" spans="2:15" ht="13.75" customHeight="1" x14ac:dyDescent="0.2">
      <c r="B2" s="195" t="s">
        <v>165</v>
      </c>
      <c r="C2" s="195"/>
      <c r="D2" s="37"/>
      <c r="E2" s="37"/>
      <c r="F2" s="37"/>
      <c r="G2" s="37"/>
      <c r="H2" s="37"/>
      <c r="I2" s="37"/>
      <c r="J2" s="37"/>
    </row>
    <row r="3" spans="2:15" ht="13.75" customHeight="1" x14ac:dyDescent="0.2">
      <c r="B3" s="195"/>
      <c r="C3" s="195"/>
      <c r="D3" s="37"/>
      <c r="E3" s="37"/>
      <c r="F3" s="37"/>
      <c r="G3" s="37"/>
      <c r="H3" s="37"/>
      <c r="I3" s="37"/>
      <c r="J3" s="37"/>
    </row>
    <row r="4" spans="2:15" x14ac:dyDescent="0.2">
      <c r="D4" s="30"/>
    </row>
    <row r="5" spans="2:15" ht="15" customHeight="1" x14ac:dyDescent="0.2">
      <c r="B5" s="194" t="s">
        <v>1</v>
      </c>
      <c r="C5" s="194" t="s">
        <v>86</v>
      </c>
      <c r="D5" s="197" t="s">
        <v>36</v>
      </c>
      <c r="E5" s="197"/>
      <c r="F5" s="197"/>
      <c r="G5" s="198" t="s">
        <v>37</v>
      </c>
      <c r="H5" s="198"/>
      <c r="I5" s="194" t="s">
        <v>54</v>
      </c>
      <c r="J5" s="196" t="s">
        <v>80</v>
      </c>
      <c r="K5" s="31"/>
      <c r="L5" s="194" t="s">
        <v>47</v>
      </c>
      <c r="M5" s="194" t="s">
        <v>87</v>
      </c>
      <c r="N5" s="194"/>
    </row>
    <row r="6" spans="2:15" ht="15" customHeight="1" x14ac:dyDescent="0.2">
      <c r="B6" s="194"/>
      <c r="C6" s="194"/>
      <c r="D6" s="38" t="s">
        <v>26</v>
      </c>
      <c r="E6" s="39" t="s">
        <v>31</v>
      </c>
      <c r="F6" s="194" t="s">
        <v>28</v>
      </c>
      <c r="G6" s="38" t="s">
        <v>27</v>
      </c>
      <c r="H6" s="194" t="s">
        <v>28</v>
      </c>
      <c r="I6" s="194"/>
      <c r="J6" s="196"/>
      <c r="K6" s="31"/>
      <c r="L6" s="194"/>
      <c r="M6" s="194"/>
      <c r="N6" s="194"/>
    </row>
    <row r="7" spans="2:15" ht="15" customHeight="1" x14ac:dyDescent="0.2">
      <c r="B7" s="194"/>
      <c r="C7" s="194"/>
      <c r="D7" s="38" t="s">
        <v>29</v>
      </c>
      <c r="E7" s="39" t="s">
        <v>30</v>
      </c>
      <c r="F7" s="194"/>
      <c r="G7" s="38" t="s">
        <v>32</v>
      </c>
      <c r="H7" s="194"/>
      <c r="I7" s="38" t="s">
        <v>33</v>
      </c>
      <c r="J7" s="196"/>
      <c r="K7" s="31"/>
      <c r="L7" s="194"/>
      <c r="M7" s="194"/>
      <c r="N7" s="194"/>
    </row>
    <row r="8" spans="2:15" x14ac:dyDescent="0.2">
      <c r="B8" s="40">
        <f>ROW(B8)-7</f>
        <v>1</v>
      </c>
      <c r="C8" s="40" t="s">
        <v>266</v>
      </c>
      <c r="D8" s="41">
        <v>4</v>
      </c>
      <c r="E8" s="61">
        <f>IF(O8="K",VLOOKUP(M8,Table2[[#All],[UNIT]:[Column7]],10,FALSE),0)</f>
        <v>950000</v>
      </c>
      <c r="F8" s="42">
        <f>D8*E8</f>
        <v>3800000</v>
      </c>
      <c r="G8" s="41">
        <v>80.777777777777771</v>
      </c>
      <c r="H8" s="43">
        <f t="shared" ref="H8:H19" si="0">G8*$C$24</f>
        <v>0</v>
      </c>
      <c r="I8" s="41">
        <f t="shared" ref="I8:I21" si="1">IFERROR(G8/D8,0)</f>
        <v>20.194444444444443</v>
      </c>
      <c r="J8" s="44">
        <f>F8+H8</f>
        <v>3800000</v>
      </c>
      <c r="K8" s="35"/>
      <c r="L8" s="40" t="s">
        <v>325</v>
      </c>
      <c r="M8" s="40" t="str">
        <f>VLOOKUP(N8,'list rate unit'!O:P,2,FALSE)</f>
        <v>PC 400 LC SE-8</v>
      </c>
      <c r="N8" s="40" t="str">
        <f>C8</f>
        <v>KOMATSU PC 400 - 03</v>
      </c>
      <c r="O8" s="15" t="s">
        <v>56</v>
      </c>
    </row>
    <row r="9" spans="2:15" x14ac:dyDescent="0.2">
      <c r="B9" s="40">
        <f t="shared" ref="B9:B19" si="2">ROW(B9)-7</f>
        <v>2</v>
      </c>
      <c r="C9" s="40" t="s">
        <v>327</v>
      </c>
      <c r="D9" s="41">
        <v>129</v>
      </c>
      <c r="E9" s="61">
        <f>IF(O9="K",VLOOKUP(M9,Table2[[#All],[UNIT]:[Column7]],10,FALSE),0)</f>
        <v>950000</v>
      </c>
      <c r="F9" s="42">
        <f t="shared" ref="F9" si="3">D9*E9</f>
        <v>122550000</v>
      </c>
      <c r="G9" s="41">
        <v>3877.2530120481929</v>
      </c>
      <c r="H9" s="43">
        <f t="shared" si="0"/>
        <v>0</v>
      </c>
      <c r="I9" s="41">
        <f t="shared" ref="I9" si="4">IFERROR(G9/D9,0)</f>
        <v>30.056224899598394</v>
      </c>
      <c r="J9" s="44">
        <f t="shared" ref="J9" si="5">F9+H9</f>
        <v>122550000</v>
      </c>
      <c r="K9" s="35"/>
      <c r="L9" s="40" t="s">
        <v>325</v>
      </c>
      <c r="M9" s="40" t="str">
        <f>VLOOKUP(N9,'list rate unit'!O:P,2,FALSE)</f>
        <v>PC 400 LC SE-8</v>
      </c>
      <c r="N9" s="40" t="str">
        <f t="shared" ref="N9" si="6">C9</f>
        <v>KOMATSU PC 400 - 07</v>
      </c>
      <c r="O9" s="15" t="s">
        <v>56</v>
      </c>
    </row>
    <row r="10" spans="2:15" x14ac:dyDescent="0.2">
      <c r="B10" s="40">
        <f t="shared" si="2"/>
        <v>3</v>
      </c>
      <c r="C10" s="40" t="s">
        <v>267</v>
      </c>
      <c r="D10" s="41">
        <v>43</v>
      </c>
      <c r="E10" s="61">
        <f>IF(O10="K",VLOOKUP(M10,Table2[[#All],[UNIT]:[Column7]],10,FALSE),0)</f>
        <v>400000</v>
      </c>
      <c r="F10" s="42">
        <f t="shared" ref="F10:F19" si="7">D10*E10</f>
        <v>17200000</v>
      </c>
      <c r="G10" s="41">
        <v>1170.0777777777778</v>
      </c>
      <c r="H10" s="43">
        <f t="shared" si="0"/>
        <v>0</v>
      </c>
      <c r="I10" s="41">
        <f t="shared" ref="I10:I19" si="8">IFERROR(G10/D10,0)</f>
        <v>27.211111111111112</v>
      </c>
      <c r="J10" s="44">
        <f t="shared" ref="J10:J19" si="9">F10+H10</f>
        <v>17200000</v>
      </c>
      <c r="K10" s="35"/>
      <c r="L10" s="40" t="s">
        <v>325</v>
      </c>
      <c r="M10" s="40" t="str">
        <f>VLOOKUP(N10,'list rate unit'!O:P,2,FALSE)</f>
        <v>PC 300 SE-8</v>
      </c>
      <c r="N10" s="40" t="str">
        <f t="shared" ref="N10:N19" si="10">C10</f>
        <v>KOMATSU PC 300 - 17</v>
      </c>
      <c r="O10" s="15" t="s">
        <v>56</v>
      </c>
    </row>
    <row r="11" spans="2:15" x14ac:dyDescent="0.2">
      <c r="B11" s="40">
        <f t="shared" si="2"/>
        <v>4</v>
      </c>
      <c r="C11" s="40" t="s">
        <v>258</v>
      </c>
      <c r="D11" s="41">
        <v>26</v>
      </c>
      <c r="E11" s="61">
        <f>IF(O11="K",VLOOKUP(M11,Table2[[#All],[UNIT]:[Column7]],10,FALSE),0)</f>
        <v>275000</v>
      </c>
      <c r="F11" s="42">
        <f t="shared" si="7"/>
        <v>7150000</v>
      </c>
      <c r="G11" s="41">
        <v>399.34131736526945</v>
      </c>
      <c r="H11" s="43">
        <f t="shared" si="0"/>
        <v>0</v>
      </c>
      <c r="I11" s="41">
        <f t="shared" si="8"/>
        <v>15.359281437125748</v>
      </c>
      <c r="J11" s="44">
        <f t="shared" si="9"/>
        <v>7150000</v>
      </c>
      <c r="K11" s="35"/>
      <c r="L11" s="40" t="s">
        <v>325</v>
      </c>
      <c r="M11" s="40" t="str">
        <f>VLOOKUP(N11,'list rate unit'!O:P,2,FALSE)</f>
        <v>PC 200-8 MO</v>
      </c>
      <c r="N11" s="40" t="str">
        <f t="shared" si="10"/>
        <v>KOMATSU PC 200 - 11</v>
      </c>
      <c r="O11" s="15" t="s">
        <v>56</v>
      </c>
    </row>
    <row r="12" spans="2:15" x14ac:dyDescent="0.2">
      <c r="B12" s="40">
        <f t="shared" si="2"/>
        <v>5</v>
      </c>
      <c r="C12" s="40" t="s">
        <v>245</v>
      </c>
      <c r="D12" s="41">
        <v>73</v>
      </c>
      <c r="E12" s="61">
        <f>IF(O12="K",VLOOKUP(M12,Table2[[#All],[UNIT]:[Column7]],10,FALSE),0)</f>
        <v>1424304.3667884208</v>
      </c>
      <c r="F12" s="42">
        <f t="shared" si="7"/>
        <v>103974218.77555472</v>
      </c>
      <c r="G12" s="41">
        <v>1253.8823529411764</v>
      </c>
      <c r="H12" s="43">
        <f t="shared" si="0"/>
        <v>0</v>
      </c>
      <c r="I12" s="41">
        <f t="shared" si="8"/>
        <v>17.176470588235293</v>
      </c>
      <c r="J12" s="44">
        <f t="shared" si="9"/>
        <v>103974218.77555472</v>
      </c>
      <c r="K12" s="35"/>
      <c r="L12" s="40" t="s">
        <v>325</v>
      </c>
      <c r="M12" s="40" t="str">
        <f>VLOOKUP(N12,'list rate unit'!O:P,2,FALSE)</f>
        <v>HM 400-3R</v>
      </c>
      <c r="N12" s="40" t="str">
        <f t="shared" si="10"/>
        <v>KOMATSU HM 400 - 06</v>
      </c>
      <c r="O12" s="15" t="s">
        <v>56</v>
      </c>
    </row>
    <row r="13" spans="2:15" x14ac:dyDescent="0.2">
      <c r="B13" s="40">
        <f t="shared" si="2"/>
        <v>6</v>
      </c>
      <c r="C13" s="40" t="s">
        <v>246</v>
      </c>
      <c r="D13" s="41">
        <v>48</v>
      </c>
      <c r="E13" s="61">
        <f>IF(O13="K",VLOOKUP(M13,Table2[[#All],[UNIT]:[Column7]],10,FALSE),0)</f>
        <v>1424304.3667884208</v>
      </c>
      <c r="F13" s="42">
        <f t="shared" si="7"/>
        <v>68366609.6058442</v>
      </c>
      <c r="G13" s="41">
        <v>784</v>
      </c>
      <c r="H13" s="43">
        <f t="shared" si="0"/>
        <v>0</v>
      </c>
      <c r="I13" s="41">
        <f t="shared" si="8"/>
        <v>16.333333333333332</v>
      </c>
      <c r="J13" s="44">
        <f t="shared" si="9"/>
        <v>68366609.6058442</v>
      </c>
      <c r="K13" s="35"/>
      <c r="L13" s="40" t="s">
        <v>325</v>
      </c>
      <c r="M13" s="40" t="str">
        <f>VLOOKUP(N13,'list rate unit'!O:P,2,FALSE)</f>
        <v>HM 400-3R</v>
      </c>
      <c r="N13" s="40" t="str">
        <f t="shared" si="10"/>
        <v>KOMATSU HM 400 - 07</v>
      </c>
      <c r="O13" s="15" t="s">
        <v>56</v>
      </c>
    </row>
    <row r="14" spans="2:15" x14ac:dyDescent="0.2">
      <c r="B14" s="40">
        <f t="shared" si="2"/>
        <v>7</v>
      </c>
      <c r="C14" s="40" t="s">
        <v>247</v>
      </c>
      <c r="D14" s="41">
        <v>76</v>
      </c>
      <c r="E14" s="61">
        <f>IF(O14="K",VLOOKUP(M14,Table2[[#All],[UNIT]:[Column7]],10,FALSE),0)</f>
        <v>1424304.3667884208</v>
      </c>
      <c r="F14" s="42">
        <f t="shared" si="7"/>
        <v>108247131.87591998</v>
      </c>
      <c r="G14" s="41">
        <v>1259.8965517241379</v>
      </c>
      <c r="H14" s="43">
        <f t="shared" si="0"/>
        <v>0</v>
      </c>
      <c r="I14" s="41">
        <f t="shared" si="8"/>
        <v>16.577586206896552</v>
      </c>
      <c r="J14" s="44">
        <f t="shared" si="9"/>
        <v>108247131.87591998</v>
      </c>
      <c r="K14" s="35"/>
      <c r="L14" s="40" t="s">
        <v>325</v>
      </c>
      <c r="M14" s="40" t="str">
        <f>VLOOKUP(N14,'list rate unit'!O:P,2,FALSE)</f>
        <v>HM 400-3R</v>
      </c>
      <c r="N14" s="40" t="str">
        <f t="shared" si="10"/>
        <v>KOMATSU HM 400 - 08</v>
      </c>
      <c r="O14" s="15" t="s">
        <v>56</v>
      </c>
    </row>
    <row r="15" spans="2:15" x14ac:dyDescent="0.2">
      <c r="B15" s="40">
        <f t="shared" si="2"/>
        <v>8</v>
      </c>
      <c r="C15" s="40" t="s">
        <v>200</v>
      </c>
      <c r="D15" s="41">
        <v>62</v>
      </c>
      <c r="E15" s="61">
        <f>IF(O15="K",VLOOKUP(M15,Table2[[#All],[UNIT]:[Column7]],10,FALSE),0)</f>
        <v>1424304.3667884208</v>
      </c>
      <c r="F15" s="42">
        <f t="shared" si="7"/>
        <v>88306870.740882099</v>
      </c>
      <c r="G15" s="41">
        <v>1174.7021276595744</v>
      </c>
      <c r="H15" s="43">
        <f t="shared" si="0"/>
        <v>0</v>
      </c>
      <c r="I15" s="41">
        <f t="shared" si="8"/>
        <v>18.946808510638299</v>
      </c>
      <c r="J15" s="44">
        <f t="shared" si="9"/>
        <v>88306870.740882099</v>
      </c>
      <c r="K15" s="35"/>
      <c r="L15" s="40" t="s">
        <v>325</v>
      </c>
      <c r="M15" s="40" t="str">
        <f>VLOOKUP(N15,'list rate unit'!O:P,2,FALSE)</f>
        <v>HM 400-3R</v>
      </c>
      <c r="N15" s="40" t="str">
        <f t="shared" si="10"/>
        <v>KOMATSU HM 400 - 09</v>
      </c>
      <c r="O15" s="15" t="s">
        <v>56</v>
      </c>
    </row>
    <row r="16" spans="2:15" x14ac:dyDescent="0.2">
      <c r="B16" s="40">
        <f t="shared" si="2"/>
        <v>9</v>
      </c>
      <c r="C16" s="40" t="s">
        <v>201</v>
      </c>
      <c r="D16" s="41">
        <v>113</v>
      </c>
      <c r="E16" s="61">
        <f>IF(O16="K",VLOOKUP(M16,Table2[[#All],[UNIT]:[Column7]],10,FALSE),0)</f>
        <v>1424304.3667884208</v>
      </c>
      <c r="F16" s="42">
        <f t="shared" si="7"/>
        <v>160946393.44709155</v>
      </c>
      <c r="G16" s="41">
        <v>1792.5028571428572</v>
      </c>
      <c r="H16" s="43">
        <f t="shared" si="0"/>
        <v>0</v>
      </c>
      <c r="I16" s="41">
        <f t="shared" si="8"/>
        <v>15.862857142857143</v>
      </c>
      <c r="J16" s="44">
        <f t="shared" si="9"/>
        <v>160946393.44709155</v>
      </c>
      <c r="K16" s="35"/>
      <c r="L16" s="40" t="s">
        <v>325</v>
      </c>
      <c r="M16" s="40" t="str">
        <f>VLOOKUP(N16,'list rate unit'!O:P,2,FALSE)</f>
        <v>HM 400-3R</v>
      </c>
      <c r="N16" s="40" t="str">
        <f t="shared" si="10"/>
        <v>KOMATSU HM 400 - 10</v>
      </c>
      <c r="O16" s="15" t="s">
        <v>56</v>
      </c>
    </row>
    <row r="17" spans="2:15" x14ac:dyDescent="0.2">
      <c r="B17" s="40">
        <f t="shared" si="2"/>
        <v>10</v>
      </c>
      <c r="C17" s="40" t="s">
        <v>214</v>
      </c>
      <c r="D17" s="41">
        <v>118</v>
      </c>
      <c r="E17" s="61">
        <f>IF(O17="K",VLOOKUP(M17,Table2[[#All],[UNIT]:[Column7]],10,FALSE),0)</f>
        <v>425000</v>
      </c>
      <c r="F17" s="42">
        <f t="shared" si="7"/>
        <v>50150000</v>
      </c>
      <c r="G17" s="41">
        <v>2284.4512195121952</v>
      </c>
      <c r="H17" s="43">
        <f t="shared" si="0"/>
        <v>0</v>
      </c>
      <c r="I17" s="41">
        <f t="shared" si="8"/>
        <v>19.359756097560975</v>
      </c>
      <c r="J17" s="44">
        <f t="shared" si="9"/>
        <v>50150000</v>
      </c>
      <c r="K17" s="35"/>
      <c r="L17" s="40" t="s">
        <v>325</v>
      </c>
      <c r="M17" s="40" t="str">
        <f>VLOOKUP(N17,'list rate unit'!O:P,2,FALSE)</f>
        <v>D 65 P-12</v>
      </c>
      <c r="N17" s="40" t="str">
        <f t="shared" si="10"/>
        <v>KOMATSU DOZER D65 - 12</v>
      </c>
      <c r="O17" s="15" t="s">
        <v>56</v>
      </c>
    </row>
    <row r="18" spans="2:15" x14ac:dyDescent="0.2">
      <c r="B18" s="40">
        <f t="shared" si="2"/>
        <v>11</v>
      </c>
      <c r="C18" s="40" t="s">
        <v>263</v>
      </c>
      <c r="D18" s="41">
        <v>82</v>
      </c>
      <c r="E18" s="61">
        <f>IF(O18="K",VLOOKUP(M18,Table2[[#All],[UNIT]:[Column7]],10,FALSE),0)</f>
        <v>425000</v>
      </c>
      <c r="F18" s="42">
        <f t="shared" si="7"/>
        <v>34850000</v>
      </c>
      <c r="G18" s="41">
        <v>1266.9369369369369</v>
      </c>
      <c r="H18" s="43">
        <f t="shared" si="0"/>
        <v>0</v>
      </c>
      <c r="I18" s="41">
        <f t="shared" si="8"/>
        <v>15.45045045045045</v>
      </c>
      <c r="J18" s="44">
        <f t="shared" si="9"/>
        <v>34850000</v>
      </c>
      <c r="K18" s="35"/>
      <c r="L18" s="40" t="s">
        <v>325</v>
      </c>
      <c r="M18" s="40" t="str">
        <f>VLOOKUP(N18,'list rate unit'!O:P,2,FALSE)</f>
        <v>D 85 ESS-2</v>
      </c>
      <c r="N18" s="40" t="str">
        <f t="shared" si="10"/>
        <v>KOMATSU DOZER D85SS - 11</v>
      </c>
      <c r="O18" s="15" t="s">
        <v>56</v>
      </c>
    </row>
    <row r="19" spans="2:15" x14ac:dyDescent="0.2">
      <c r="B19" s="40">
        <f t="shared" si="2"/>
        <v>12</v>
      </c>
      <c r="C19" s="40" t="s">
        <v>305</v>
      </c>
      <c r="D19" s="41">
        <v>17</v>
      </c>
      <c r="E19" s="61">
        <f>IF(O19="K",VLOOKUP(M19,Table2[[#All],[UNIT]:[Column7]],10,FALSE),0)</f>
        <v>220000</v>
      </c>
      <c r="F19" s="42">
        <f t="shared" si="7"/>
        <v>3740000</v>
      </c>
      <c r="G19" s="41">
        <v>75.069306930693074</v>
      </c>
      <c r="H19" s="43">
        <f t="shared" si="0"/>
        <v>0</v>
      </c>
      <c r="I19" s="41">
        <f t="shared" si="8"/>
        <v>4.4158415841584162</v>
      </c>
      <c r="J19" s="44">
        <f t="shared" si="9"/>
        <v>3740000</v>
      </c>
      <c r="K19" s="35"/>
      <c r="L19" s="40" t="s">
        <v>325</v>
      </c>
      <c r="M19" s="40" t="str">
        <f>VLOOKUP(N19,'list rate unit'!O:P,2,FALSE)</f>
        <v>SV 525 D</v>
      </c>
      <c r="N19" s="40" t="str">
        <f t="shared" si="10"/>
        <v>SAKAI - 01</v>
      </c>
      <c r="O19" s="15" t="s">
        <v>56</v>
      </c>
    </row>
    <row r="20" spans="2:15" x14ac:dyDescent="0.2">
      <c r="D20" s="18"/>
      <c r="E20" s="171"/>
      <c r="F20" s="172"/>
      <c r="G20" s="18"/>
      <c r="H20" s="173"/>
      <c r="I20" s="35"/>
      <c r="J20" s="174"/>
      <c r="K20" s="35"/>
      <c r="L20" s="175"/>
      <c r="M20" s="175"/>
      <c r="N20" s="175"/>
    </row>
    <row r="21" spans="2:15" s="1" customFormat="1" ht="15.75" customHeight="1" x14ac:dyDescent="0.2">
      <c r="B21" s="193" t="s">
        <v>21</v>
      </c>
      <c r="C21" s="193"/>
      <c r="D21" s="45">
        <f>SUM(D8:D20)</f>
        <v>791</v>
      </c>
      <c r="E21" s="62">
        <f>AVERAGE(E8:E20)</f>
        <v>897210.15282850864</v>
      </c>
      <c r="F21" s="46">
        <f>SUM(F8:F20)</f>
        <v>769281224.44529259</v>
      </c>
      <c r="G21" s="45">
        <f>SUM(G8:G20)</f>
        <v>15418.89123781659</v>
      </c>
      <c r="H21" s="46">
        <f>SUM(H8:H20)</f>
        <v>0</v>
      </c>
      <c r="I21" s="45">
        <f t="shared" si="1"/>
        <v>19.492909276632858</v>
      </c>
      <c r="J21" s="47">
        <f>SUM(J8:J20)</f>
        <v>769281224.44529259</v>
      </c>
      <c r="K21" s="36"/>
    </row>
    <row r="23" spans="2:15" x14ac:dyDescent="0.2">
      <c r="B23" s="170" t="s">
        <v>34</v>
      </c>
      <c r="C23" s="29">
        <f>SUMMARY!J32</f>
        <v>14848</v>
      </c>
    </row>
    <row r="24" spans="2:15" x14ac:dyDescent="0.2">
      <c r="B24" s="170" t="s">
        <v>35</v>
      </c>
      <c r="C24" s="29">
        <f>SUMMARY!$J$13</f>
        <v>0</v>
      </c>
      <c r="F24" s="30"/>
      <c r="G24" s="18"/>
    </row>
    <row r="26" spans="2:15" x14ac:dyDescent="0.2">
      <c r="F26" s="18"/>
    </row>
  </sheetData>
  <autoFilter ref="B7:O21" xr:uid="{00000000-0009-0000-0000-000003000000}"/>
  <mergeCells count="13">
    <mergeCell ref="B2:C3"/>
    <mergeCell ref="M5:M7"/>
    <mergeCell ref="N5:N7"/>
    <mergeCell ref="I5:I6"/>
    <mergeCell ref="L5:L7"/>
    <mergeCell ref="J5:J7"/>
    <mergeCell ref="D5:F5"/>
    <mergeCell ref="G5:H5"/>
    <mergeCell ref="F6:F7"/>
    <mergeCell ref="H6:H7"/>
    <mergeCell ref="B21:C21"/>
    <mergeCell ref="C5:C7"/>
    <mergeCell ref="B5:B7"/>
  </mergeCells>
  <phoneticPr fontId="1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AF33128B-9CB6-41BB-A6F2-5A1244E7F40E}">
          <x14:formula1>
            <xm:f>'list rate unit'!$B$6:$B$27</xm:f>
          </x14:formula1>
          <xm:sqref>M1:M1048576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72BFF-0320-4202-A883-1F84807D84F4}">
  <sheetPr>
    <tabColor theme="1"/>
  </sheetPr>
  <dimension ref="B2:O25"/>
  <sheetViews>
    <sheetView zoomScaleNormal="100" workbookViewId="0">
      <pane xSplit="3" ySplit="7" topLeftCell="D8" activePane="bottomRight" state="frozenSplit"/>
      <selection activeCell="B47" sqref="B47"/>
      <selection pane="topRight" activeCell="B47" sqref="B47"/>
      <selection pane="bottomLeft" activeCell="B47" sqref="B47"/>
      <selection pane="bottomRight" activeCell="C1" sqref="C1:C1048576"/>
    </sheetView>
  </sheetViews>
  <sheetFormatPr baseColWidth="10" defaultColWidth="9.1640625" defaultRowHeight="14" x14ac:dyDescent="0.2"/>
  <cols>
    <col min="1" max="1" width="9.1640625" style="15"/>
    <col min="2" max="2" width="11.5" style="15" customWidth="1"/>
    <col min="3" max="3" width="26.1640625" style="15" bestFit="1" customWidth="1"/>
    <col min="4" max="4" width="12.6640625" style="15" customWidth="1"/>
    <col min="5" max="5" width="15.33203125" style="27" bestFit="1" customWidth="1"/>
    <col min="6" max="6" width="21.164062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83203125" style="15" customWidth="1"/>
    <col min="11" max="11" width="11" style="15" customWidth="1"/>
    <col min="12" max="12" width="18.5" style="15" customWidth="1"/>
    <col min="13" max="13" width="12.5" style="15" bestFit="1" customWidth="1"/>
    <col min="14" max="14" width="26.1640625" style="15" bestFit="1" customWidth="1"/>
    <col min="15" max="16384" width="9.1640625" style="15"/>
  </cols>
  <sheetData>
    <row r="2" spans="2:15" ht="13.75" customHeight="1" x14ac:dyDescent="0.2">
      <c r="B2" s="195" t="s">
        <v>166</v>
      </c>
      <c r="C2" s="195"/>
      <c r="D2" s="37"/>
      <c r="E2" s="37"/>
      <c r="F2" s="37"/>
      <c r="G2" s="37"/>
      <c r="H2" s="37"/>
      <c r="I2" s="37"/>
      <c r="J2" s="37"/>
    </row>
    <row r="3" spans="2:15" ht="13.75" customHeight="1" x14ac:dyDescent="0.2">
      <c r="B3" s="195"/>
      <c r="C3" s="195"/>
      <c r="D3" s="37"/>
      <c r="E3" s="37"/>
      <c r="F3" s="37"/>
      <c r="G3" s="37"/>
      <c r="H3" s="37"/>
      <c r="I3" s="37"/>
      <c r="J3" s="37"/>
    </row>
    <row r="4" spans="2:15" x14ac:dyDescent="0.2">
      <c r="D4" s="30"/>
    </row>
    <row r="5" spans="2:15" ht="15" customHeight="1" x14ac:dyDescent="0.2">
      <c r="B5" s="194" t="s">
        <v>1</v>
      </c>
      <c r="C5" s="194" t="s">
        <v>86</v>
      </c>
      <c r="D5" s="197" t="s">
        <v>36</v>
      </c>
      <c r="E5" s="197"/>
      <c r="F5" s="197"/>
      <c r="G5" s="198" t="s">
        <v>37</v>
      </c>
      <c r="H5" s="198"/>
      <c r="I5" s="194" t="s">
        <v>54</v>
      </c>
      <c r="J5" s="196" t="s">
        <v>80</v>
      </c>
      <c r="K5" s="31"/>
      <c r="L5" s="194" t="s">
        <v>47</v>
      </c>
      <c r="M5" s="194" t="s">
        <v>87</v>
      </c>
      <c r="N5" s="194"/>
    </row>
    <row r="6" spans="2:15" ht="15" customHeight="1" x14ac:dyDescent="0.2">
      <c r="B6" s="194"/>
      <c r="C6" s="194"/>
      <c r="D6" s="38" t="s">
        <v>26</v>
      </c>
      <c r="E6" s="39" t="s">
        <v>31</v>
      </c>
      <c r="F6" s="194" t="s">
        <v>28</v>
      </c>
      <c r="G6" s="38" t="s">
        <v>27</v>
      </c>
      <c r="H6" s="194" t="s">
        <v>28</v>
      </c>
      <c r="I6" s="194"/>
      <c r="J6" s="196"/>
      <c r="K6" s="31"/>
      <c r="L6" s="194"/>
      <c r="M6" s="194"/>
      <c r="N6" s="194"/>
    </row>
    <row r="7" spans="2:15" ht="15" customHeight="1" x14ac:dyDescent="0.2">
      <c r="B7" s="194"/>
      <c r="C7" s="194"/>
      <c r="D7" s="38" t="s">
        <v>29</v>
      </c>
      <c r="E7" s="39" t="s">
        <v>30</v>
      </c>
      <c r="F7" s="194"/>
      <c r="G7" s="38" t="s">
        <v>32</v>
      </c>
      <c r="H7" s="194"/>
      <c r="I7" s="38" t="s">
        <v>33</v>
      </c>
      <c r="J7" s="196"/>
      <c r="K7" s="31"/>
      <c r="L7" s="194"/>
      <c r="M7" s="194"/>
      <c r="N7" s="194"/>
    </row>
    <row r="8" spans="2:15" x14ac:dyDescent="0.2">
      <c r="B8" s="40">
        <f>ROW(B8)-7</f>
        <v>1</v>
      </c>
      <c r="C8" s="40" t="s">
        <v>266</v>
      </c>
      <c r="D8" s="41">
        <v>30</v>
      </c>
      <c r="E8" s="61">
        <f>IF(O8="K",VLOOKUP(M8,Table2[[#All],[UNIT]:[Column7]],10,FALSE),0)</f>
        <v>1000000</v>
      </c>
      <c r="F8" s="42">
        <f>D8*E8</f>
        <v>30000000</v>
      </c>
      <c r="G8" s="41">
        <v>605.83333333333326</v>
      </c>
      <c r="H8" s="43">
        <f>G8*$C$23</f>
        <v>0</v>
      </c>
      <c r="I8" s="41">
        <f t="shared" ref="I8:I9" si="0">IFERROR(G8/D8,0)</f>
        <v>20.194444444444443</v>
      </c>
      <c r="J8" s="44">
        <f>F8+H8</f>
        <v>30000000</v>
      </c>
      <c r="K8" s="35"/>
      <c r="L8" s="40" t="s">
        <v>325</v>
      </c>
      <c r="M8" s="40" t="s">
        <v>148</v>
      </c>
      <c r="N8" s="40" t="str">
        <f>C8</f>
        <v>KOMATSU PC 400 - 03</v>
      </c>
      <c r="O8" s="15" t="s">
        <v>56</v>
      </c>
    </row>
    <row r="9" spans="2:15" x14ac:dyDescent="0.2">
      <c r="B9" s="40">
        <f t="shared" ref="B9:B18" si="1">ROW(B9)-7</f>
        <v>2</v>
      </c>
      <c r="C9" s="40" t="s">
        <v>327</v>
      </c>
      <c r="D9" s="41">
        <v>24</v>
      </c>
      <c r="E9" s="61">
        <f>IF(O9="K",VLOOKUP(M9,Table2[[#All],[UNIT]:[Column7]],10,FALSE),0)</f>
        <v>1000000</v>
      </c>
      <c r="F9" s="42">
        <f t="shared" ref="F9" si="2">D9*E9</f>
        <v>24000000</v>
      </c>
      <c r="G9" s="41">
        <v>721.34939759036149</v>
      </c>
      <c r="H9" s="43">
        <f>G9*$C$23</f>
        <v>0</v>
      </c>
      <c r="I9" s="41">
        <f t="shared" si="0"/>
        <v>30.056224899598394</v>
      </c>
      <c r="J9" s="44">
        <f t="shared" ref="J9" si="3">F9+H9</f>
        <v>24000000</v>
      </c>
      <c r="K9" s="35"/>
      <c r="L9" s="40" t="s">
        <v>325</v>
      </c>
      <c r="M9" s="40" t="s">
        <v>148</v>
      </c>
      <c r="N9" s="40" t="str">
        <f t="shared" ref="N9" si="4">C9</f>
        <v>KOMATSU PC 400 - 07</v>
      </c>
      <c r="O9" s="15" t="s">
        <v>56</v>
      </c>
    </row>
    <row r="10" spans="2:15" x14ac:dyDescent="0.2">
      <c r="B10" s="40">
        <f t="shared" si="1"/>
        <v>3</v>
      </c>
      <c r="C10" s="40" t="s">
        <v>267</v>
      </c>
      <c r="D10" s="41">
        <v>30</v>
      </c>
      <c r="E10" s="61">
        <f>IF(O10="K",VLOOKUP(M10,Table2[[#All],[UNIT]:[Column7]],10,FALSE),0)</f>
        <v>1000000</v>
      </c>
      <c r="F10" s="42">
        <f t="shared" ref="F10:F18" si="5">D10*E10</f>
        <v>30000000</v>
      </c>
      <c r="G10" s="41">
        <v>816.33333333333337</v>
      </c>
      <c r="H10" s="43">
        <f t="shared" ref="H10:H18" si="6">G10*$C$23</f>
        <v>0</v>
      </c>
      <c r="I10" s="41">
        <f t="shared" ref="I10:I18" si="7">IFERROR(G10/D10,0)</f>
        <v>27.211111111111112</v>
      </c>
      <c r="J10" s="44">
        <f t="shared" ref="J10:J18" si="8">F10+H10</f>
        <v>30000000</v>
      </c>
      <c r="K10" s="35"/>
      <c r="L10" s="40" t="s">
        <v>325</v>
      </c>
      <c r="M10" s="40" t="s">
        <v>148</v>
      </c>
      <c r="N10" s="40" t="str">
        <f t="shared" ref="N10:N18" si="9">C10</f>
        <v>KOMATSU PC 300 - 17</v>
      </c>
      <c r="O10" s="15" t="s">
        <v>56</v>
      </c>
    </row>
    <row r="11" spans="2:15" x14ac:dyDescent="0.2">
      <c r="B11" s="40">
        <f t="shared" si="1"/>
        <v>4</v>
      </c>
      <c r="C11" s="40" t="s">
        <v>189</v>
      </c>
      <c r="D11" s="41">
        <v>6</v>
      </c>
      <c r="E11" s="61">
        <f>IF(O11="K",VLOOKUP(M11,Table2[[#All],[UNIT]:[Column7]],10,FALSE),0)</f>
        <v>1000000</v>
      </c>
      <c r="F11" s="42">
        <f t="shared" si="5"/>
        <v>6000000</v>
      </c>
      <c r="G11" s="41">
        <v>75.740890688259114</v>
      </c>
      <c r="H11" s="43">
        <f t="shared" si="6"/>
        <v>0</v>
      </c>
      <c r="I11" s="41">
        <f t="shared" si="7"/>
        <v>12.623481781376519</v>
      </c>
      <c r="J11" s="44">
        <f t="shared" si="8"/>
        <v>6000000</v>
      </c>
      <c r="K11" s="35"/>
      <c r="L11" s="40" t="s">
        <v>325</v>
      </c>
      <c r="M11" s="40" t="s">
        <v>148</v>
      </c>
      <c r="N11" s="40" t="str">
        <f t="shared" si="9"/>
        <v>KOMATSU PC 200 - 23</v>
      </c>
      <c r="O11" s="15" t="s">
        <v>56</v>
      </c>
    </row>
    <row r="12" spans="2:15" x14ac:dyDescent="0.2">
      <c r="B12" s="40">
        <f t="shared" si="1"/>
        <v>5</v>
      </c>
      <c r="C12" s="40" t="s">
        <v>245</v>
      </c>
      <c r="D12" s="41">
        <v>73</v>
      </c>
      <c r="E12" s="61">
        <f>IF(O12="K",VLOOKUP(M12,Table2[[#All],[UNIT]:[Column7]],10,FALSE),0)</f>
        <v>1000000</v>
      </c>
      <c r="F12" s="42">
        <f t="shared" si="5"/>
        <v>73000000</v>
      </c>
      <c r="G12" s="41">
        <v>1253.8823529411764</v>
      </c>
      <c r="H12" s="43">
        <f t="shared" si="6"/>
        <v>0</v>
      </c>
      <c r="I12" s="41">
        <f t="shared" si="7"/>
        <v>17.176470588235293</v>
      </c>
      <c r="J12" s="44">
        <f t="shared" si="8"/>
        <v>73000000</v>
      </c>
      <c r="K12" s="35"/>
      <c r="L12" s="40" t="s">
        <v>325</v>
      </c>
      <c r="M12" s="40" t="s">
        <v>148</v>
      </c>
      <c r="N12" s="40" t="str">
        <f t="shared" si="9"/>
        <v>KOMATSU HM 400 - 06</v>
      </c>
      <c r="O12" s="15" t="s">
        <v>56</v>
      </c>
    </row>
    <row r="13" spans="2:15" x14ac:dyDescent="0.2">
      <c r="B13" s="40">
        <f t="shared" si="1"/>
        <v>6</v>
      </c>
      <c r="C13" s="40" t="s">
        <v>246</v>
      </c>
      <c r="D13" s="41">
        <v>11</v>
      </c>
      <c r="E13" s="61">
        <f>IF(O13="K",VLOOKUP(M13,Table2[[#All],[UNIT]:[Column7]],10,FALSE),0)</f>
        <v>1000000</v>
      </c>
      <c r="F13" s="42">
        <f t="shared" si="5"/>
        <v>11000000</v>
      </c>
      <c r="G13" s="41">
        <v>179.66666666666666</v>
      </c>
      <c r="H13" s="43">
        <f t="shared" si="6"/>
        <v>0</v>
      </c>
      <c r="I13" s="41">
        <f t="shared" si="7"/>
        <v>16.333333333333332</v>
      </c>
      <c r="J13" s="44">
        <f t="shared" si="8"/>
        <v>11000000</v>
      </c>
      <c r="K13" s="35"/>
      <c r="L13" s="40" t="s">
        <v>325</v>
      </c>
      <c r="M13" s="40" t="s">
        <v>148</v>
      </c>
      <c r="N13" s="40" t="str">
        <f t="shared" si="9"/>
        <v>KOMATSU HM 400 - 07</v>
      </c>
      <c r="O13" s="15" t="s">
        <v>56</v>
      </c>
    </row>
    <row r="14" spans="2:15" x14ac:dyDescent="0.2">
      <c r="B14" s="40">
        <f t="shared" si="1"/>
        <v>7</v>
      </c>
      <c r="C14" s="40" t="s">
        <v>247</v>
      </c>
      <c r="D14" s="41">
        <v>40</v>
      </c>
      <c r="E14" s="61">
        <f>IF(O14="K",VLOOKUP(M14,Table2[[#All],[UNIT]:[Column7]],10,FALSE),0)</f>
        <v>1000000</v>
      </c>
      <c r="F14" s="42">
        <f t="shared" si="5"/>
        <v>40000000</v>
      </c>
      <c r="G14" s="41">
        <v>663.10344827586209</v>
      </c>
      <c r="H14" s="43">
        <f t="shared" si="6"/>
        <v>0</v>
      </c>
      <c r="I14" s="41">
        <f t="shared" si="7"/>
        <v>16.577586206896552</v>
      </c>
      <c r="J14" s="44">
        <f t="shared" si="8"/>
        <v>40000000</v>
      </c>
      <c r="K14" s="35"/>
      <c r="L14" s="40" t="s">
        <v>325</v>
      </c>
      <c r="M14" s="40" t="s">
        <v>148</v>
      </c>
      <c r="N14" s="40" t="str">
        <f t="shared" si="9"/>
        <v>KOMATSU HM 400 - 08</v>
      </c>
      <c r="O14" s="15" t="s">
        <v>56</v>
      </c>
    </row>
    <row r="15" spans="2:15" x14ac:dyDescent="0.2">
      <c r="B15" s="40">
        <f t="shared" si="1"/>
        <v>8</v>
      </c>
      <c r="C15" s="40" t="s">
        <v>200</v>
      </c>
      <c r="D15" s="41">
        <v>11</v>
      </c>
      <c r="E15" s="61">
        <f>IF(O15="K",VLOOKUP(M15,Table2[[#All],[UNIT]:[Column7]],10,FALSE),0)</f>
        <v>1000000</v>
      </c>
      <c r="F15" s="42">
        <f t="shared" si="5"/>
        <v>11000000</v>
      </c>
      <c r="G15" s="41">
        <v>208.41489361702128</v>
      </c>
      <c r="H15" s="43">
        <f t="shared" si="6"/>
        <v>0</v>
      </c>
      <c r="I15" s="41">
        <f t="shared" si="7"/>
        <v>18.946808510638299</v>
      </c>
      <c r="J15" s="44">
        <f t="shared" si="8"/>
        <v>11000000</v>
      </c>
      <c r="K15" s="35"/>
      <c r="L15" s="40" t="s">
        <v>325</v>
      </c>
      <c r="M15" s="40" t="s">
        <v>148</v>
      </c>
      <c r="N15" s="40" t="str">
        <f t="shared" si="9"/>
        <v>KOMATSU HM 400 - 09</v>
      </c>
      <c r="O15" s="15" t="s">
        <v>56</v>
      </c>
    </row>
    <row r="16" spans="2:15" x14ac:dyDescent="0.2">
      <c r="B16" s="40">
        <f t="shared" si="1"/>
        <v>9</v>
      </c>
      <c r="C16" s="40" t="s">
        <v>201</v>
      </c>
      <c r="D16" s="41">
        <v>51</v>
      </c>
      <c r="E16" s="61">
        <f>IF(O16="K",VLOOKUP(M16,Table2[[#All],[UNIT]:[Column7]],10,FALSE),0)</f>
        <v>1000000</v>
      </c>
      <c r="F16" s="42">
        <f t="shared" si="5"/>
        <v>51000000</v>
      </c>
      <c r="G16" s="41">
        <v>809.00571428571425</v>
      </c>
      <c r="H16" s="43">
        <f t="shared" si="6"/>
        <v>0</v>
      </c>
      <c r="I16" s="41">
        <f t="shared" si="7"/>
        <v>15.862857142857143</v>
      </c>
      <c r="J16" s="44">
        <f t="shared" si="8"/>
        <v>51000000</v>
      </c>
      <c r="K16" s="35"/>
      <c r="L16" s="40" t="s">
        <v>325</v>
      </c>
      <c r="M16" s="40" t="s">
        <v>148</v>
      </c>
      <c r="N16" s="40" t="str">
        <f t="shared" si="9"/>
        <v>KOMATSU HM 400 - 10</v>
      </c>
      <c r="O16" s="15" t="s">
        <v>56</v>
      </c>
    </row>
    <row r="17" spans="2:15" x14ac:dyDescent="0.2">
      <c r="B17" s="40">
        <f t="shared" si="1"/>
        <v>10</v>
      </c>
      <c r="C17" s="40" t="s">
        <v>214</v>
      </c>
      <c r="D17" s="41">
        <v>15</v>
      </c>
      <c r="E17" s="61">
        <f>IF(O17="K",VLOOKUP(M17,Table2[[#All],[UNIT]:[Column7]],10,FALSE),0)</f>
        <v>1000000</v>
      </c>
      <c r="F17" s="42">
        <f t="shared" si="5"/>
        <v>15000000</v>
      </c>
      <c r="G17" s="41"/>
      <c r="H17" s="43">
        <f t="shared" si="6"/>
        <v>0</v>
      </c>
      <c r="I17" s="41">
        <f t="shared" si="7"/>
        <v>0</v>
      </c>
      <c r="J17" s="44">
        <f t="shared" si="8"/>
        <v>15000000</v>
      </c>
      <c r="K17" s="35"/>
      <c r="L17" s="40" t="s">
        <v>325</v>
      </c>
      <c r="M17" s="40" t="s">
        <v>148</v>
      </c>
      <c r="N17" s="40" t="str">
        <f t="shared" si="9"/>
        <v>KOMATSU DOZER D65 - 12</v>
      </c>
      <c r="O17" s="15" t="s">
        <v>56</v>
      </c>
    </row>
    <row r="18" spans="2:15" x14ac:dyDescent="0.2">
      <c r="B18" s="40">
        <f t="shared" si="1"/>
        <v>11</v>
      </c>
      <c r="C18" s="40" t="s">
        <v>263</v>
      </c>
      <c r="D18" s="41">
        <v>13</v>
      </c>
      <c r="E18" s="61">
        <f>IF(O18="K",VLOOKUP(M18,Table2[[#All],[UNIT]:[Column7]],10,FALSE),0)</f>
        <v>1000000</v>
      </c>
      <c r="F18" s="42">
        <f t="shared" si="5"/>
        <v>13000000</v>
      </c>
      <c r="G18" s="41"/>
      <c r="H18" s="43">
        <f t="shared" si="6"/>
        <v>0</v>
      </c>
      <c r="I18" s="41">
        <f t="shared" si="7"/>
        <v>0</v>
      </c>
      <c r="J18" s="44">
        <f t="shared" si="8"/>
        <v>13000000</v>
      </c>
      <c r="K18" s="35"/>
      <c r="L18" s="40" t="s">
        <v>325</v>
      </c>
      <c r="M18" s="40" t="s">
        <v>148</v>
      </c>
      <c r="N18" s="40" t="str">
        <f t="shared" si="9"/>
        <v>KOMATSU DOZER D85SS - 11</v>
      </c>
      <c r="O18" s="15" t="s">
        <v>56</v>
      </c>
    </row>
    <row r="19" spans="2:15" x14ac:dyDescent="0.2">
      <c r="D19" s="18"/>
      <c r="F19" s="32"/>
      <c r="G19" s="18"/>
      <c r="H19" s="30"/>
      <c r="I19" s="18"/>
      <c r="J19" s="33"/>
      <c r="K19" s="18"/>
    </row>
    <row r="20" spans="2:15" s="1" customFormat="1" ht="15.75" customHeight="1" x14ac:dyDescent="0.2">
      <c r="B20" s="193" t="s">
        <v>21</v>
      </c>
      <c r="C20" s="193"/>
      <c r="D20" s="45">
        <f>SUM(D8:D19)</f>
        <v>304</v>
      </c>
      <c r="E20" s="62">
        <f>AVERAGE(E8:E19)</f>
        <v>1000000</v>
      </c>
      <c r="F20" s="46">
        <f>SUM(F8:F19)</f>
        <v>304000000</v>
      </c>
      <c r="G20" s="45">
        <f>SUM(G8:G19)</f>
        <v>5333.3300307317277</v>
      </c>
      <c r="H20" s="46">
        <f>SUM(H8:H19)</f>
        <v>0</v>
      </c>
      <c r="I20" s="45">
        <f t="shared" ref="I20" si="10">IFERROR(G20/D20,0)</f>
        <v>17.543848785301737</v>
      </c>
      <c r="J20" s="47">
        <f>SUM(J8:J19)</f>
        <v>304000000</v>
      </c>
      <c r="K20" s="36"/>
    </row>
    <row r="22" spans="2:15" x14ac:dyDescent="0.2">
      <c r="B22" s="170" t="s">
        <v>34</v>
      </c>
      <c r="C22" s="29">
        <f>SUMMARY!J32</f>
        <v>14848</v>
      </c>
    </row>
    <row r="23" spans="2:15" x14ac:dyDescent="0.2">
      <c r="B23" s="170" t="s">
        <v>35</v>
      </c>
      <c r="C23" s="29">
        <f>SUMMARY!$J$13</f>
        <v>0</v>
      </c>
      <c r="F23" s="30"/>
      <c r="G23" s="18"/>
    </row>
    <row r="25" spans="2:15" x14ac:dyDescent="0.2">
      <c r="F25" s="18"/>
    </row>
  </sheetData>
  <autoFilter ref="B7:O18" xr:uid="{00000000-0009-0000-0000-000003000000}"/>
  <mergeCells count="13">
    <mergeCell ref="N5:N7"/>
    <mergeCell ref="H6:H7"/>
    <mergeCell ref="I5:I6"/>
    <mergeCell ref="B20:C20"/>
    <mergeCell ref="G5:H5"/>
    <mergeCell ref="J5:J7"/>
    <mergeCell ref="L5:L7"/>
    <mergeCell ref="M5:M7"/>
    <mergeCell ref="B2:C3"/>
    <mergeCell ref="B5:B7"/>
    <mergeCell ref="C5:C7"/>
    <mergeCell ref="D5:F5"/>
    <mergeCell ref="F6:F7"/>
  </mergeCells>
  <phoneticPr fontId="1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385A75-3452-4E3E-8D5E-19E9DB95BB07}">
          <x14:formula1>
            <xm:f>'list rate unit'!$B$6:$B$27</xm:f>
          </x14:formula1>
          <xm:sqref>M1:M1048576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D64C-F22A-4796-9BF3-FD8F4E602400}">
  <sheetPr>
    <tabColor theme="1"/>
  </sheetPr>
  <dimension ref="B2:O17"/>
  <sheetViews>
    <sheetView zoomScaleNormal="100" workbookViewId="0">
      <pane xSplit="3" ySplit="7" topLeftCell="D8" activePane="bottomRight" state="frozenSplit"/>
      <selection activeCell="B47" sqref="B47"/>
      <selection pane="topRight" activeCell="B47" sqref="B47"/>
      <selection pane="bottomLeft" activeCell="B47" sqref="B47"/>
      <selection pane="bottomRight" activeCell="C1" sqref="C1:C1048576"/>
    </sheetView>
  </sheetViews>
  <sheetFormatPr baseColWidth="10" defaultColWidth="9.1640625" defaultRowHeight="14" x14ac:dyDescent="0.2"/>
  <cols>
    <col min="1" max="1" width="9.1640625" style="15"/>
    <col min="2" max="2" width="11.5" style="15" customWidth="1"/>
    <col min="3" max="3" width="26.1640625" style="15" bestFit="1" customWidth="1"/>
    <col min="4" max="4" width="12.6640625" style="15" customWidth="1"/>
    <col min="5" max="5" width="15.33203125" style="27" bestFit="1" customWidth="1"/>
    <col min="6" max="6" width="21.164062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83203125" style="15" customWidth="1"/>
    <col min="11" max="11" width="11" style="15" customWidth="1"/>
    <col min="12" max="12" width="18.5" style="15" customWidth="1"/>
    <col min="13" max="13" width="12.5" style="15" bestFit="1" customWidth="1"/>
    <col min="14" max="14" width="26.1640625" style="15" bestFit="1" customWidth="1"/>
    <col min="15" max="16384" width="9.1640625" style="15"/>
  </cols>
  <sheetData>
    <row r="2" spans="2:15" ht="13.75" customHeight="1" x14ac:dyDescent="0.2">
      <c r="B2" s="195" t="s">
        <v>282</v>
      </c>
      <c r="C2" s="195"/>
      <c r="D2" s="37"/>
      <c r="E2" s="37"/>
      <c r="F2" s="37"/>
      <c r="G2" s="37"/>
      <c r="H2" s="37"/>
      <c r="I2" s="37"/>
      <c r="J2" s="37"/>
    </row>
    <row r="3" spans="2:15" ht="13.75" customHeight="1" x14ac:dyDescent="0.2">
      <c r="B3" s="195"/>
      <c r="C3" s="195"/>
      <c r="D3" s="37"/>
      <c r="E3" s="37"/>
      <c r="F3" s="37"/>
      <c r="G3" s="37"/>
      <c r="H3" s="37"/>
      <c r="I3" s="37"/>
      <c r="J3" s="37"/>
    </row>
    <row r="4" spans="2:15" x14ac:dyDescent="0.2">
      <c r="D4" s="30"/>
    </row>
    <row r="5" spans="2:15" ht="15" customHeight="1" x14ac:dyDescent="0.2">
      <c r="B5" s="194" t="s">
        <v>1</v>
      </c>
      <c r="C5" s="194" t="s">
        <v>86</v>
      </c>
      <c r="D5" s="197" t="s">
        <v>36</v>
      </c>
      <c r="E5" s="197"/>
      <c r="F5" s="197"/>
      <c r="G5" s="198" t="s">
        <v>37</v>
      </c>
      <c r="H5" s="198"/>
      <c r="I5" s="194" t="s">
        <v>54</v>
      </c>
      <c r="J5" s="196" t="s">
        <v>80</v>
      </c>
      <c r="K5" s="31"/>
      <c r="L5" s="194" t="s">
        <v>47</v>
      </c>
      <c r="M5" s="194" t="s">
        <v>87</v>
      </c>
      <c r="N5" s="194"/>
    </row>
    <row r="6" spans="2:15" ht="15" customHeight="1" x14ac:dyDescent="0.2">
      <c r="B6" s="194"/>
      <c r="C6" s="194"/>
      <c r="D6" s="38" t="s">
        <v>26</v>
      </c>
      <c r="E6" s="39" t="s">
        <v>31</v>
      </c>
      <c r="F6" s="194" t="s">
        <v>28</v>
      </c>
      <c r="G6" s="38" t="s">
        <v>27</v>
      </c>
      <c r="H6" s="194" t="s">
        <v>28</v>
      </c>
      <c r="I6" s="194"/>
      <c r="J6" s="196"/>
      <c r="K6" s="31"/>
      <c r="L6" s="194"/>
      <c r="M6" s="194"/>
      <c r="N6" s="194"/>
    </row>
    <row r="7" spans="2:15" ht="15" customHeight="1" x14ac:dyDescent="0.2">
      <c r="B7" s="194"/>
      <c r="C7" s="194"/>
      <c r="D7" s="38" t="s">
        <v>29</v>
      </c>
      <c r="E7" s="39" t="s">
        <v>30</v>
      </c>
      <c r="F7" s="194"/>
      <c r="G7" s="38" t="s">
        <v>32</v>
      </c>
      <c r="H7" s="194"/>
      <c r="I7" s="38" t="s">
        <v>33</v>
      </c>
      <c r="J7" s="196"/>
      <c r="K7" s="31"/>
      <c r="L7" s="194"/>
      <c r="M7" s="194"/>
      <c r="N7" s="194"/>
    </row>
    <row r="8" spans="2:15" x14ac:dyDescent="0.2">
      <c r="B8" s="40">
        <f>ROW(B8)-7</f>
        <v>1</v>
      </c>
      <c r="C8" s="40" t="s">
        <v>220</v>
      </c>
      <c r="D8" s="41"/>
      <c r="E8" s="61">
        <f>IF(O8="K",VLOOKUP(M8,Table2[[#All],[UNIT]:[Column7]],10,FALSE),0)</f>
        <v>350000</v>
      </c>
      <c r="F8" s="42">
        <f>D8*E8</f>
        <v>0</v>
      </c>
      <c r="G8" s="41"/>
      <c r="H8" s="43">
        <f>G8*$C$15</f>
        <v>0</v>
      </c>
      <c r="I8" s="41">
        <f t="shared" ref="I8:I10" si="0">IFERROR(G8/D8,0)</f>
        <v>0</v>
      </c>
      <c r="J8" s="44">
        <f>F8+H8</f>
        <v>0</v>
      </c>
      <c r="K8" s="35"/>
      <c r="L8" s="40" t="s">
        <v>252</v>
      </c>
      <c r="M8" s="40" t="str">
        <f>VLOOKUP(N8,'list rate unit'!O:P,2,FALSE)</f>
        <v>GD 511 A-1</v>
      </c>
      <c r="N8" s="40" t="str">
        <f>C8</f>
        <v>GRADER GD535 - 03</v>
      </c>
      <c r="O8" s="15" t="s">
        <v>56</v>
      </c>
    </row>
    <row r="9" spans="2:15" x14ac:dyDescent="0.2">
      <c r="B9" s="40">
        <f t="shared" ref="B9:B10" si="1">ROW(B9)-7</f>
        <v>2</v>
      </c>
      <c r="C9" s="40" t="s">
        <v>279</v>
      </c>
      <c r="D9" s="41"/>
      <c r="E9" s="61">
        <f>IF(O9="K",VLOOKUP(M9,Table2[[#All],[UNIT]:[Column7]],10,FALSE),0)</f>
        <v>220000</v>
      </c>
      <c r="F9" s="42">
        <f>D9*E9</f>
        <v>0</v>
      </c>
      <c r="G9" s="41"/>
      <c r="H9" s="43">
        <f>G9*$C$15</f>
        <v>0</v>
      </c>
      <c r="I9" s="41">
        <f t="shared" si="0"/>
        <v>0</v>
      </c>
      <c r="J9" s="44">
        <f>F9+H9</f>
        <v>0</v>
      </c>
      <c r="K9" s="35"/>
      <c r="L9" s="40" t="s">
        <v>252</v>
      </c>
      <c r="M9" s="40" t="str">
        <f>VLOOKUP(N9,'list rate unit'!O:P,2,FALSE)</f>
        <v>SV 525 D</v>
      </c>
      <c r="N9" s="40" t="str">
        <f>C9</f>
        <v>SAKAI - 03</v>
      </c>
      <c r="O9" s="15" t="s">
        <v>56</v>
      </c>
    </row>
    <row r="10" spans="2:15" x14ac:dyDescent="0.2">
      <c r="B10" s="40">
        <f t="shared" si="1"/>
        <v>3</v>
      </c>
      <c r="C10" s="40" t="s">
        <v>221</v>
      </c>
      <c r="D10" s="41"/>
      <c r="E10" s="61">
        <f>IF(O10="K",VLOOKUP(M10,Table2[[#All],[UNIT]:[Column7]],10,FALSE),0)</f>
        <v>220000</v>
      </c>
      <c r="F10" s="42">
        <f t="shared" ref="F10" si="2">D10*E10</f>
        <v>0</v>
      </c>
      <c r="G10" s="41"/>
      <c r="H10" s="43">
        <f>G10*$C$15</f>
        <v>0</v>
      </c>
      <c r="I10" s="41">
        <f t="shared" si="0"/>
        <v>0</v>
      </c>
      <c r="J10" s="44">
        <f t="shared" ref="J10" si="3">F10+H10</f>
        <v>0</v>
      </c>
      <c r="K10" s="35"/>
      <c r="L10" s="40" t="s">
        <v>252</v>
      </c>
      <c r="M10" s="40" t="str">
        <f>VLOOKUP(N10,'list rate unit'!O:P,2,FALSE)</f>
        <v>SV 525 D</v>
      </c>
      <c r="N10" s="40" t="str">
        <f t="shared" ref="N10" si="4">C10</f>
        <v>SAKAI - 07</v>
      </c>
      <c r="O10" s="15" t="s">
        <v>56</v>
      </c>
    </row>
    <row r="11" spans="2:15" x14ac:dyDescent="0.2">
      <c r="D11" s="18"/>
      <c r="F11" s="32"/>
      <c r="G11" s="18"/>
      <c r="H11" s="30"/>
      <c r="I11" s="18"/>
      <c r="J11" s="33"/>
      <c r="K11" s="18"/>
    </row>
    <row r="12" spans="2:15" s="1" customFormat="1" ht="15.75" customHeight="1" x14ac:dyDescent="0.2">
      <c r="B12" s="193" t="s">
        <v>21</v>
      </c>
      <c r="C12" s="193"/>
      <c r="D12" s="45">
        <f>SUM(D8:D10)</f>
        <v>0</v>
      </c>
      <c r="E12" s="62">
        <f>AVERAGE(E8:E10)</f>
        <v>263333.33333333331</v>
      </c>
      <c r="F12" s="46">
        <f>SUM(F8:F10)</f>
        <v>0</v>
      </c>
      <c r="G12" s="45">
        <f>SUM(G8:G10)</f>
        <v>0</v>
      </c>
      <c r="H12" s="46">
        <f>SUM(H8:H10)</f>
        <v>0</v>
      </c>
      <c r="I12" s="45">
        <f t="shared" ref="I12" si="5">IFERROR(G12/D12,0)</f>
        <v>0</v>
      </c>
      <c r="J12" s="47">
        <f>SUM(J8:J10)</f>
        <v>0</v>
      </c>
      <c r="K12" s="36"/>
    </row>
    <row r="14" spans="2:15" x14ac:dyDescent="0.2">
      <c r="B14" s="170" t="s">
        <v>34</v>
      </c>
      <c r="C14" s="29">
        <f>SUMMARY!J32</f>
        <v>14848</v>
      </c>
    </row>
    <row r="15" spans="2:15" x14ac:dyDescent="0.2">
      <c r="B15" s="170" t="s">
        <v>35</v>
      </c>
      <c r="C15" s="29">
        <f>SUMMARY!$J$13</f>
        <v>0</v>
      </c>
      <c r="F15" s="30"/>
      <c r="G15" s="18"/>
    </row>
    <row r="17" spans="6:6" x14ac:dyDescent="0.2">
      <c r="F17" s="18"/>
    </row>
  </sheetData>
  <autoFilter ref="B7:O10" xr:uid="{00000000-0009-0000-0000-000003000000}"/>
  <mergeCells count="13">
    <mergeCell ref="N5:N7"/>
    <mergeCell ref="H6:H7"/>
    <mergeCell ref="I5:I6"/>
    <mergeCell ref="B12:C12"/>
    <mergeCell ref="G5:H5"/>
    <mergeCell ref="J5:J7"/>
    <mergeCell ref="L5:L7"/>
    <mergeCell ref="M5:M7"/>
    <mergeCell ref="B2:C3"/>
    <mergeCell ref="B5:B7"/>
    <mergeCell ref="C5:C7"/>
    <mergeCell ref="D5:F5"/>
    <mergeCell ref="F6:F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916AFC-3CA9-44A1-94DE-37E3739FB86F}">
          <x14:formula1>
            <xm:f>'list rate unit'!$B$6:$B$27</xm:f>
          </x14:formula1>
          <xm:sqref>M1:M1048576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7C3D-195C-4538-855B-044EB64E9AF5}">
  <sheetPr>
    <tabColor theme="1"/>
  </sheetPr>
  <dimension ref="B2:O26"/>
  <sheetViews>
    <sheetView zoomScaleNormal="100" workbookViewId="0">
      <pane xSplit="3" ySplit="7" topLeftCell="D8" activePane="bottomRight" state="frozenSplit"/>
      <selection activeCell="B47" sqref="B47"/>
      <selection pane="topRight" activeCell="B47" sqref="B47"/>
      <selection pane="bottomLeft" activeCell="B47" sqref="B47"/>
      <selection pane="bottomRight" activeCell="E23" sqref="E23"/>
    </sheetView>
  </sheetViews>
  <sheetFormatPr baseColWidth="10" defaultColWidth="9.1640625" defaultRowHeight="14" x14ac:dyDescent="0.2"/>
  <cols>
    <col min="1" max="1" width="9.1640625" style="15"/>
    <col min="2" max="2" width="11.5" style="15" customWidth="1"/>
    <col min="3" max="3" width="26.1640625" style="15" bestFit="1" customWidth="1"/>
    <col min="4" max="4" width="12.6640625" style="15" customWidth="1"/>
    <col min="5" max="5" width="15.33203125" style="27" bestFit="1" customWidth="1"/>
    <col min="6" max="6" width="21.164062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83203125" style="15" customWidth="1"/>
    <col min="11" max="11" width="11" style="15" customWidth="1"/>
    <col min="12" max="12" width="18.5" style="15" customWidth="1"/>
    <col min="13" max="13" width="12.5" style="15" bestFit="1" customWidth="1"/>
    <col min="14" max="14" width="26.1640625" style="15" bestFit="1" customWidth="1"/>
    <col min="15" max="16384" width="9.1640625" style="15"/>
  </cols>
  <sheetData>
    <row r="2" spans="2:15" ht="13.75" customHeight="1" x14ac:dyDescent="0.2">
      <c r="B2" s="195" t="s">
        <v>167</v>
      </c>
      <c r="C2" s="195"/>
      <c r="D2" s="37"/>
      <c r="E2" s="37"/>
      <c r="F2" s="37"/>
      <c r="G2" s="37"/>
      <c r="H2" s="37"/>
      <c r="I2" s="37"/>
      <c r="J2" s="37"/>
    </row>
    <row r="3" spans="2:15" ht="13.75" customHeight="1" x14ac:dyDescent="0.2">
      <c r="B3" s="195"/>
      <c r="C3" s="195"/>
      <c r="D3" s="37"/>
      <c r="E3" s="37"/>
      <c r="F3" s="37"/>
      <c r="G3" s="37"/>
      <c r="H3" s="37"/>
      <c r="I3" s="37"/>
      <c r="J3" s="37"/>
    </row>
    <row r="4" spans="2:15" x14ac:dyDescent="0.2">
      <c r="D4" s="30"/>
    </row>
    <row r="5" spans="2:15" ht="15" customHeight="1" x14ac:dyDescent="0.2">
      <c r="B5" s="194" t="s">
        <v>1</v>
      </c>
      <c r="C5" s="194" t="s">
        <v>86</v>
      </c>
      <c r="D5" s="197" t="s">
        <v>36</v>
      </c>
      <c r="E5" s="197"/>
      <c r="F5" s="197"/>
      <c r="G5" s="198" t="s">
        <v>37</v>
      </c>
      <c r="H5" s="198"/>
      <c r="I5" s="194" t="s">
        <v>54</v>
      </c>
      <c r="J5" s="196" t="s">
        <v>80</v>
      </c>
      <c r="K5" s="31"/>
      <c r="L5" s="194" t="s">
        <v>47</v>
      </c>
      <c r="M5" s="194" t="s">
        <v>87</v>
      </c>
      <c r="N5" s="194"/>
    </row>
    <row r="6" spans="2:15" ht="15" customHeight="1" x14ac:dyDescent="0.2">
      <c r="B6" s="194"/>
      <c r="C6" s="194"/>
      <c r="D6" s="38" t="s">
        <v>26</v>
      </c>
      <c r="E6" s="39" t="s">
        <v>31</v>
      </c>
      <c r="F6" s="194" t="s">
        <v>28</v>
      </c>
      <c r="G6" s="38" t="s">
        <v>27</v>
      </c>
      <c r="H6" s="194" t="s">
        <v>28</v>
      </c>
      <c r="I6" s="194"/>
      <c r="J6" s="196"/>
      <c r="K6" s="31"/>
      <c r="L6" s="194"/>
      <c r="M6" s="194"/>
      <c r="N6" s="194"/>
    </row>
    <row r="7" spans="2:15" ht="15" customHeight="1" x14ac:dyDescent="0.2">
      <c r="B7" s="194"/>
      <c r="C7" s="194"/>
      <c r="D7" s="38" t="s">
        <v>29</v>
      </c>
      <c r="E7" s="39" t="s">
        <v>30</v>
      </c>
      <c r="F7" s="194"/>
      <c r="G7" s="38" t="s">
        <v>32</v>
      </c>
      <c r="H7" s="194"/>
      <c r="I7" s="38" t="s">
        <v>33</v>
      </c>
      <c r="J7" s="196"/>
      <c r="K7" s="31"/>
      <c r="L7" s="194"/>
      <c r="M7" s="194"/>
      <c r="N7" s="194"/>
    </row>
    <row r="8" spans="2:15" x14ac:dyDescent="0.2">
      <c r="B8" s="40">
        <f>ROW(B8)-7</f>
        <v>1</v>
      </c>
      <c r="C8" s="40" t="s">
        <v>266</v>
      </c>
      <c r="D8" s="41">
        <v>2</v>
      </c>
      <c r="E8" s="61">
        <f>IF(O8="K",VLOOKUP(M8,Table2[[#All],[UNIT]:[Column7]],10,FALSE),0)</f>
        <v>950000</v>
      </c>
      <c r="F8" s="42">
        <f>D8*E8</f>
        <v>1900000</v>
      </c>
      <c r="G8" s="41">
        <v>40.388888888888886</v>
      </c>
      <c r="H8" s="43">
        <f t="shared" ref="H8:H19" si="0">G8*$C$24</f>
        <v>0</v>
      </c>
      <c r="I8" s="41">
        <f t="shared" ref="I8:I13" si="1">IFERROR(G8/D8,0)</f>
        <v>20.194444444444443</v>
      </c>
      <c r="J8" s="44">
        <f>F8+H8</f>
        <v>1900000</v>
      </c>
      <c r="K8" s="35"/>
      <c r="L8" s="40" t="s">
        <v>325</v>
      </c>
      <c r="M8" s="40" t="str">
        <f>VLOOKUP(N8,'list rate unit'!O:P,2,FALSE)</f>
        <v>PC 400 LC SE-8</v>
      </c>
      <c r="N8" s="40" t="str">
        <f>C8</f>
        <v>KOMATSU PC 400 - 03</v>
      </c>
      <c r="O8" s="15" t="s">
        <v>56</v>
      </c>
    </row>
    <row r="9" spans="2:15" x14ac:dyDescent="0.2">
      <c r="B9" s="40">
        <f t="shared" ref="B9:B19" si="2">ROW(B9)-7</f>
        <v>2</v>
      </c>
      <c r="C9" s="40" t="s">
        <v>327</v>
      </c>
      <c r="D9" s="41">
        <v>96</v>
      </c>
      <c r="E9" s="61">
        <f>IF(O9="K",VLOOKUP(M9,Table2[[#All],[UNIT]:[Column7]],10,FALSE),0)</f>
        <v>950000</v>
      </c>
      <c r="F9" s="42">
        <f t="shared" ref="F9:F13" si="3">D9*E9</f>
        <v>91200000</v>
      </c>
      <c r="G9" s="41">
        <v>2885.397590361446</v>
      </c>
      <c r="H9" s="43">
        <f t="shared" si="0"/>
        <v>0</v>
      </c>
      <c r="I9" s="41">
        <f t="shared" si="1"/>
        <v>30.056224899598394</v>
      </c>
      <c r="J9" s="44">
        <f t="shared" ref="J9:J13" si="4">F9+H9</f>
        <v>91200000</v>
      </c>
      <c r="K9" s="35"/>
      <c r="L9" s="40" t="s">
        <v>325</v>
      </c>
      <c r="M9" s="40" t="str">
        <f>VLOOKUP(N9,'list rate unit'!O:P,2,FALSE)</f>
        <v>PC 400 LC SE-8</v>
      </c>
      <c r="N9" s="40" t="str">
        <f t="shared" ref="N9:N13" si="5">C9</f>
        <v>KOMATSU PC 400 - 07</v>
      </c>
      <c r="O9" s="15" t="s">
        <v>56</v>
      </c>
    </row>
    <row r="10" spans="2:15" x14ac:dyDescent="0.2">
      <c r="B10" s="40">
        <f t="shared" si="2"/>
        <v>3</v>
      </c>
      <c r="C10" s="40" t="s">
        <v>255</v>
      </c>
      <c r="D10" s="41">
        <v>155</v>
      </c>
      <c r="E10" s="61">
        <f>IF(O10="K",VLOOKUP(M10,Table2[[#All],[UNIT]:[Column7]],10,FALSE),0)</f>
        <v>400000</v>
      </c>
      <c r="F10" s="42">
        <f t="shared" si="3"/>
        <v>62000000</v>
      </c>
      <c r="G10" s="41">
        <v>4336</v>
      </c>
      <c r="H10" s="43">
        <f t="shared" si="0"/>
        <v>0</v>
      </c>
      <c r="I10" s="41">
        <f t="shared" si="1"/>
        <v>27.974193548387095</v>
      </c>
      <c r="J10" s="44">
        <f t="shared" si="4"/>
        <v>62000000</v>
      </c>
      <c r="K10" s="35"/>
      <c r="L10" s="40" t="s">
        <v>325</v>
      </c>
      <c r="M10" s="40" t="str">
        <f>VLOOKUP(N10,'list rate unit'!O:P,2,FALSE)</f>
        <v>PC 300 SE-8</v>
      </c>
      <c r="N10" s="40" t="str">
        <f t="shared" si="5"/>
        <v>KOMATSU PC 300 - 12</v>
      </c>
      <c r="O10" s="15" t="s">
        <v>56</v>
      </c>
    </row>
    <row r="11" spans="2:15" x14ac:dyDescent="0.2">
      <c r="B11" s="40">
        <f t="shared" si="2"/>
        <v>4</v>
      </c>
      <c r="C11" s="40" t="s">
        <v>267</v>
      </c>
      <c r="D11" s="41">
        <v>197</v>
      </c>
      <c r="E11" s="61">
        <f>IF(O11="K",VLOOKUP(M11,Table2[[#All],[UNIT]:[Column7]],10,FALSE),0)</f>
        <v>400000</v>
      </c>
      <c r="F11" s="42">
        <f t="shared" si="3"/>
        <v>78800000</v>
      </c>
      <c r="G11" s="41">
        <v>5360.5888888888894</v>
      </c>
      <c r="H11" s="43">
        <f t="shared" si="0"/>
        <v>0</v>
      </c>
      <c r="I11" s="41">
        <f t="shared" si="1"/>
        <v>27.211111111111112</v>
      </c>
      <c r="J11" s="44">
        <f t="shared" si="4"/>
        <v>78800000</v>
      </c>
      <c r="K11" s="35"/>
      <c r="L11" s="40" t="s">
        <v>325</v>
      </c>
      <c r="M11" s="40" t="str">
        <f>VLOOKUP(N11,'list rate unit'!O:P,2,FALSE)</f>
        <v>PC 300 SE-8</v>
      </c>
      <c r="N11" s="40" t="str">
        <f t="shared" si="5"/>
        <v>KOMATSU PC 300 - 17</v>
      </c>
      <c r="O11" s="15" t="s">
        <v>56</v>
      </c>
    </row>
    <row r="12" spans="2:15" x14ac:dyDescent="0.2">
      <c r="B12" s="40">
        <f t="shared" si="2"/>
        <v>5</v>
      </c>
      <c r="C12" s="40" t="s">
        <v>258</v>
      </c>
      <c r="D12" s="41">
        <v>141</v>
      </c>
      <c r="E12" s="61">
        <f>IF(O12="K",VLOOKUP(M12,Table2[[#All],[UNIT]:[Column7]],10,FALSE),0)</f>
        <v>275000</v>
      </c>
      <c r="F12" s="42">
        <f t="shared" si="3"/>
        <v>38775000</v>
      </c>
      <c r="G12" s="41">
        <v>2165.6586826347307</v>
      </c>
      <c r="H12" s="43">
        <f t="shared" si="0"/>
        <v>0</v>
      </c>
      <c r="I12" s="41">
        <f t="shared" si="1"/>
        <v>15.35928143712575</v>
      </c>
      <c r="J12" s="44">
        <f t="shared" si="4"/>
        <v>38775000</v>
      </c>
      <c r="K12" s="35"/>
      <c r="L12" s="40" t="s">
        <v>325</v>
      </c>
      <c r="M12" s="40" t="str">
        <f>VLOOKUP(N12,'list rate unit'!O:P,2,FALSE)</f>
        <v>PC 200-8 MO</v>
      </c>
      <c r="N12" s="40" t="str">
        <f t="shared" si="5"/>
        <v>KOMATSU PC 200 - 11</v>
      </c>
      <c r="O12" s="15" t="s">
        <v>56</v>
      </c>
    </row>
    <row r="13" spans="2:15" x14ac:dyDescent="0.2">
      <c r="B13" s="40">
        <f t="shared" si="2"/>
        <v>6</v>
      </c>
      <c r="C13" s="40" t="s">
        <v>261</v>
      </c>
      <c r="D13" s="41">
        <v>81</v>
      </c>
      <c r="E13" s="61">
        <f>IF(O13="K",VLOOKUP(M13,Table2[[#All],[UNIT]:[Column7]],10,FALSE),0)</f>
        <v>275000</v>
      </c>
      <c r="F13" s="42">
        <f t="shared" si="3"/>
        <v>22275000</v>
      </c>
      <c r="G13" s="41">
        <v>1157</v>
      </c>
      <c r="H13" s="43">
        <f t="shared" si="0"/>
        <v>0</v>
      </c>
      <c r="I13" s="41">
        <f t="shared" si="1"/>
        <v>14.283950617283951</v>
      </c>
      <c r="J13" s="44">
        <f t="shared" si="4"/>
        <v>22275000</v>
      </c>
      <c r="K13" s="35"/>
      <c r="L13" s="40" t="s">
        <v>325</v>
      </c>
      <c r="M13" s="40" t="str">
        <f>VLOOKUP(N13,'list rate unit'!O:P,2,FALSE)</f>
        <v>PC 200-8 MO</v>
      </c>
      <c r="N13" s="40" t="str">
        <f t="shared" si="5"/>
        <v>KOMATSU PC 200 - 15</v>
      </c>
      <c r="O13" s="15" t="s">
        <v>56</v>
      </c>
    </row>
    <row r="14" spans="2:15" x14ac:dyDescent="0.2">
      <c r="B14" s="40">
        <f t="shared" si="2"/>
        <v>7</v>
      </c>
      <c r="C14" s="40" t="s">
        <v>329</v>
      </c>
      <c r="D14" s="41">
        <v>261</v>
      </c>
      <c r="E14" s="61">
        <f>IF(O14="K",VLOOKUP(M14,Table2[[#All],[UNIT]:[Column7]],10,FALSE),0)</f>
        <v>275000</v>
      </c>
      <c r="F14" s="42">
        <f t="shared" ref="F14:F19" si="6">D14*E14</f>
        <v>71775000</v>
      </c>
      <c r="G14" s="41">
        <v>4212</v>
      </c>
      <c r="H14" s="43">
        <f t="shared" si="0"/>
        <v>0</v>
      </c>
      <c r="I14" s="41">
        <f t="shared" ref="I14:I19" si="7">IFERROR(G14/D14,0)</f>
        <v>16.137931034482758</v>
      </c>
      <c r="J14" s="44">
        <f t="shared" ref="J14:J19" si="8">F14+H14</f>
        <v>71775000</v>
      </c>
      <c r="K14" s="35"/>
      <c r="L14" s="40" t="s">
        <v>325</v>
      </c>
      <c r="M14" s="40" t="str">
        <f>VLOOKUP(N14,'list rate unit'!O:P,2,FALSE)</f>
        <v>PC 200-8 MO</v>
      </c>
      <c r="N14" s="40" t="str">
        <f t="shared" ref="N14:N19" si="9">C14</f>
        <v>KOMATSU PC 200 - 21</v>
      </c>
      <c r="O14" s="15" t="s">
        <v>56</v>
      </c>
    </row>
    <row r="15" spans="2:15" x14ac:dyDescent="0.2">
      <c r="B15" s="40">
        <f t="shared" si="2"/>
        <v>8</v>
      </c>
      <c r="C15" s="40" t="s">
        <v>189</v>
      </c>
      <c r="D15" s="41">
        <v>241</v>
      </c>
      <c r="E15" s="61">
        <f>IF(O15="K",VLOOKUP(M15,Table2[[#All],[UNIT]:[Column7]],10,FALSE),0)</f>
        <v>275000</v>
      </c>
      <c r="F15" s="42">
        <f t="shared" ref="F15:F16" si="10">D15*E15</f>
        <v>66275000</v>
      </c>
      <c r="G15" s="41">
        <v>3042.2591093117412</v>
      </c>
      <c r="H15" s="43">
        <f t="shared" ref="H15:H16" si="11">G15*$C$24</f>
        <v>0</v>
      </c>
      <c r="I15" s="41">
        <f t="shared" ref="I15:I16" si="12">IFERROR(G15/D15,0)</f>
        <v>12.623481781376519</v>
      </c>
      <c r="J15" s="44">
        <f t="shared" ref="J15:J16" si="13">F15+H15</f>
        <v>66275000</v>
      </c>
      <c r="K15" s="35"/>
      <c r="L15" s="40" t="s">
        <v>325</v>
      </c>
      <c r="M15" s="40" t="str">
        <f>VLOOKUP(N15,'list rate unit'!O:P,2,FALSE)</f>
        <v>PC 200-8 MO</v>
      </c>
      <c r="N15" s="40" t="str">
        <f t="shared" ref="N15:N16" si="14">C15</f>
        <v>KOMATSU PC 200 - 23</v>
      </c>
      <c r="O15" s="15" t="s">
        <v>56</v>
      </c>
    </row>
    <row r="16" spans="2:15" x14ac:dyDescent="0.2">
      <c r="B16" s="40">
        <f t="shared" si="2"/>
        <v>9</v>
      </c>
      <c r="C16" s="40" t="s">
        <v>298</v>
      </c>
      <c r="D16" s="41">
        <v>80</v>
      </c>
      <c r="E16" s="61">
        <f>IF(O16="K",VLOOKUP(M16,Table2[[#All],[UNIT]:[Column7]],10,FALSE),0)</f>
        <v>275000</v>
      </c>
      <c r="F16" s="42">
        <f t="shared" si="10"/>
        <v>22000000</v>
      </c>
      <c r="G16" s="41">
        <v>993</v>
      </c>
      <c r="H16" s="43">
        <f t="shared" si="11"/>
        <v>0</v>
      </c>
      <c r="I16" s="41">
        <f t="shared" si="12"/>
        <v>12.4125</v>
      </c>
      <c r="J16" s="44">
        <f t="shared" si="13"/>
        <v>22000000</v>
      </c>
      <c r="K16" s="35"/>
      <c r="L16" s="40" t="s">
        <v>325</v>
      </c>
      <c r="M16" s="40" t="str">
        <f>VLOOKUP(N16,'list rate unit'!O:P,2,FALSE)</f>
        <v>PC 200-8 MO</v>
      </c>
      <c r="N16" s="40" t="str">
        <f t="shared" si="14"/>
        <v>KOMATSU PC 200 - 24</v>
      </c>
      <c r="O16" s="15" t="s">
        <v>56</v>
      </c>
    </row>
    <row r="17" spans="2:15" x14ac:dyDescent="0.2">
      <c r="B17" s="40">
        <f t="shared" si="2"/>
        <v>10</v>
      </c>
      <c r="C17" s="40" t="s">
        <v>214</v>
      </c>
      <c r="D17" s="41">
        <v>31</v>
      </c>
      <c r="E17" s="61">
        <f>IF(O17="K",VLOOKUP(M17,Table2[[#All],[UNIT]:[Column7]],10,FALSE),0)</f>
        <v>425000</v>
      </c>
      <c r="F17" s="42">
        <f t="shared" ref="F17" si="15">D17*E17</f>
        <v>13175000</v>
      </c>
      <c r="G17" s="41">
        <v>600.15243902439022</v>
      </c>
      <c r="H17" s="43">
        <f t="shared" ref="H17" si="16">G17*$C$24</f>
        <v>0</v>
      </c>
      <c r="I17" s="41">
        <f t="shared" ref="I17" si="17">IFERROR(G17/D17,0)</f>
        <v>19.359756097560975</v>
      </c>
      <c r="J17" s="44">
        <f t="shared" ref="J17" si="18">F17+H17</f>
        <v>13175000</v>
      </c>
      <c r="K17" s="35"/>
      <c r="L17" s="40" t="s">
        <v>325</v>
      </c>
      <c r="M17" s="40" t="str">
        <f>VLOOKUP(N17,'list rate unit'!O:P,2,FALSE)</f>
        <v>D 65 P-12</v>
      </c>
      <c r="N17" s="40" t="str">
        <f t="shared" ref="N17" si="19">C17</f>
        <v>KOMATSU DOZER D65 - 12</v>
      </c>
      <c r="O17" s="15" t="s">
        <v>56</v>
      </c>
    </row>
    <row r="18" spans="2:15" x14ac:dyDescent="0.2">
      <c r="B18" s="40">
        <f t="shared" si="2"/>
        <v>11</v>
      </c>
      <c r="C18" s="40" t="s">
        <v>263</v>
      </c>
      <c r="D18" s="41">
        <v>16</v>
      </c>
      <c r="E18" s="61">
        <f>IF(O18="K",VLOOKUP(M18,Table2[[#All],[UNIT]:[Column7]],10,FALSE),0)</f>
        <v>425000</v>
      </c>
      <c r="F18" s="42">
        <f t="shared" si="6"/>
        <v>6800000</v>
      </c>
      <c r="G18" s="41">
        <v>247.2072072072072</v>
      </c>
      <c r="H18" s="43">
        <f t="shared" si="0"/>
        <v>0</v>
      </c>
      <c r="I18" s="41">
        <f t="shared" si="7"/>
        <v>15.45045045045045</v>
      </c>
      <c r="J18" s="44">
        <f t="shared" si="8"/>
        <v>6800000</v>
      </c>
      <c r="K18" s="35"/>
      <c r="L18" s="40" t="s">
        <v>325</v>
      </c>
      <c r="M18" s="40" t="str">
        <f>VLOOKUP(N18,'list rate unit'!O:P,2,FALSE)</f>
        <v>D 85 ESS-2</v>
      </c>
      <c r="N18" s="40" t="str">
        <f t="shared" si="9"/>
        <v>KOMATSU DOZER D85SS - 11</v>
      </c>
      <c r="O18" s="15" t="s">
        <v>56</v>
      </c>
    </row>
    <row r="19" spans="2:15" x14ac:dyDescent="0.2">
      <c r="B19" s="40">
        <f t="shared" si="2"/>
        <v>12</v>
      </c>
      <c r="C19" s="40" t="s">
        <v>305</v>
      </c>
      <c r="D19" s="41">
        <v>84</v>
      </c>
      <c r="E19" s="61">
        <f>IF(O19="K",VLOOKUP(M19,Table2[[#All],[UNIT]:[Column7]],10,FALSE),0)</f>
        <v>220000</v>
      </c>
      <c r="F19" s="42">
        <f t="shared" si="6"/>
        <v>18480000</v>
      </c>
      <c r="G19" s="41">
        <v>370.93069306930698</v>
      </c>
      <c r="H19" s="43">
        <f t="shared" si="0"/>
        <v>0</v>
      </c>
      <c r="I19" s="41">
        <f t="shared" si="7"/>
        <v>4.4158415841584162</v>
      </c>
      <c r="J19" s="44">
        <f t="shared" si="8"/>
        <v>18480000</v>
      </c>
      <c r="K19" s="35"/>
      <c r="L19" s="40" t="s">
        <v>325</v>
      </c>
      <c r="M19" s="40" t="str">
        <f>VLOOKUP(N19,'list rate unit'!O:P,2,FALSE)</f>
        <v>SV 525 D</v>
      </c>
      <c r="N19" s="40" t="str">
        <f t="shared" si="9"/>
        <v>SAKAI - 01</v>
      </c>
      <c r="O19" s="15" t="s">
        <v>56</v>
      </c>
    </row>
    <row r="20" spans="2:15" x14ac:dyDescent="0.2">
      <c r="D20" s="18"/>
      <c r="F20" s="32"/>
      <c r="G20" s="18"/>
      <c r="H20" s="30"/>
      <c r="I20" s="18"/>
      <c r="J20" s="33"/>
      <c r="K20" s="18"/>
    </row>
    <row r="21" spans="2:15" s="1" customFormat="1" ht="15.75" customHeight="1" x14ac:dyDescent="0.2">
      <c r="B21" s="193" t="s">
        <v>21</v>
      </c>
      <c r="C21" s="193"/>
      <c r="D21" s="45">
        <f>SUM(D8:D20)</f>
        <v>1385</v>
      </c>
      <c r="E21" s="62">
        <f>AVERAGE(E8:E20)</f>
        <v>428750</v>
      </c>
      <c r="F21" s="46">
        <f>SUM(F8:F20)</f>
        <v>493455000</v>
      </c>
      <c r="G21" s="45">
        <f>SUM(G8:G20)</f>
        <v>25410.583499386597</v>
      </c>
      <c r="H21" s="46">
        <f>SUM(H8:H20)</f>
        <v>0</v>
      </c>
      <c r="I21" s="45">
        <f t="shared" ref="I21" si="20">IFERROR(G21/D21,0)</f>
        <v>18.346991696308013</v>
      </c>
      <c r="J21" s="47">
        <f>SUM(J8:J20)</f>
        <v>493455000</v>
      </c>
      <c r="K21" s="36"/>
    </row>
    <row r="23" spans="2:15" x14ac:dyDescent="0.2">
      <c r="B23" s="170" t="s">
        <v>34</v>
      </c>
      <c r="C23" s="29">
        <f>SUMMARY!J32</f>
        <v>14848</v>
      </c>
    </row>
    <row r="24" spans="2:15" x14ac:dyDescent="0.2">
      <c r="B24" s="170" t="s">
        <v>35</v>
      </c>
      <c r="C24" s="29">
        <f>SUMMARY!$J$13</f>
        <v>0</v>
      </c>
      <c r="F24" s="30"/>
      <c r="G24" s="18"/>
    </row>
    <row r="26" spans="2:15" x14ac:dyDescent="0.2">
      <c r="F26" s="18"/>
    </row>
  </sheetData>
  <autoFilter ref="B7:O19" xr:uid="{00000000-0009-0000-0000-000003000000}"/>
  <mergeCells count="13">
    <mergeCell ref="N5:N7"/>
    <mergeCell ref="H6:H7"/>
    <mergeCell ref="I5:I6"/>
    <mergeCell ref="B21:C21"/>
    <mergeCell ref="G5:H5"/>
    <mergeCell ref="J5:J7"/>
    <mergeCell ref="L5:L7"/>
    <mergeCell ref="M5:M7"/>
    <mergeCell ref="B2:C3"/>
    <mergeCell ref="B5:B7"/>
    <mergeCell ref="C5:C7"/>
    <mergeCell ref="D5:F5"/>
    <mergeCell ref="F6:F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17A23AA3-D48A-4EB0-A2D2-E518DCD0789A}">
          <x14:formula1>
            <xm:f>'list rate unit'!$B$6:$B$27</xm:f>
          </x14:formula1>
          <xm:sqref>M1:M1048576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B2:Q125"/>
  <sheetViews>
    <sheetView workbookViewId="0">
      <pane xSplit="3" ySplit="7" topLeftCell="D8" activePane="bottomRight" state="frozenSplit"/>
      <selection pane="topRight" activeCell="C1" sqref="C1"/>
      <selection pane="bottomLeft" activeCell="A8" sqref="A8"/>
      <selection pane="bottomRight" activeCell="C1" sqref="C1:C1048576"/>
    </sheetView>
  </sheetViews>
  <sheetFormatPr baseColWidth="10" defaultColWidth="9.1640625" defaultRowHeight="14" x14ac:dyDescent="0.2"/>
  <cols>
    <col min="1" max="1" width="9.1640625" style="15"/>
    <col min="2" max="2" width="11.5" style="15" customWidth="1"/>
    <col min="3" max="3" width="19.5" style="15" bestFit="1" customWidth="1"/>
    <col min="4" max="5" width="12.6640625" style="15" customWidth="1"/>
    <col min="6" max="6" width="12" style="15" bestFit="1" customWidth="1"/>
    <col min="7" max="7" width="19.5" style="15" customWidth="1"/>
    <col min="8" max="8" width="12.6640625" style="15" customWidth="1"/>
    <col min="9" max="9" width="19.6640625" style="15" bestFit="1" customWidth="1"/>
    <col min="10" max="12" width="11" style="15" customWidth="1"/>
    <col min="13" max="13" width="20.83203125" style="15" customWidth="1"/>
    <col min="14" max="14" width="11" style="15" customWidth="1"/>
    <col min="15" max="15" width="18.6640625" style="15" bestFit="1" customWidth="1"/>
    <col min="16" max="16" width="12.1640625" style="15" bestFit="1" customWidth="1"/>
    <col min="17" max="17" width="16.6640625" style="15" customWidth="1"/>
    <col min="18" max="16384" width="9.1640625" style="15"/>
  </cols>
  <sheetData>
    <row r="2" spans="2:17" x14ac:dyDescent="0.2">
      <c r="B2" s="195" t="s">
        <v>82</v>
      </c>
      <c r="C2" s="195"/>
    </row>
    <row r="3" spans="2:17" x14ac:dyDescent="0.2">
      <c r="B3" s="195"/>
      <c r="C3" s="195"/>
    </row>
    <row r="4" spans="2:17" x14ac:dyDescent="0.2">
      <c r="D4" s="30"/>
      <c r="E4" s="30"/>
    </row>
    <row r="5" spans="2:17" ht="15" customHeight="1" x14ac:dyDescent="0.2">
      <c r="B5" s="194" t="s">
        <v>1</v>
      </c>
      <c r="C5" s="194" t="s">
        <v>86</v>
      </c>
      <c r="D5" s="197" t="s">
        <v>39</v>
      </c>
      <c r="E5" s="197"/>
      <c r="F5" s="198" t="s">
        <v>52</v>
      </c>
      <c r="G5" s="198"/>
      <c r="H5" s="198" t="s">
        <v>37</v>
      </c>
      <c r="I5" s="198"/>
      <c r="J5" s="194" t="s">
        <v>88</v>
      </c>
      <c r="K5" s="194"/>
      <c r="L5" s="194"/>
      <c r="M5" s="196" t="s">
        <v>80</v>
      </c>
      <c r="N5" s="31"/>
      <c r="O5" s="194" t="s">
        <v>47</v>
      </c>
      <c r="P5" s="194" t="s">
        <v>87</v>
      </c>
      <c r="Q5" s="194"/>
    </row>
    <row r="6" spans="2:17" ht="15" customHeight="1" x14ac:dyDescent="0.2">
      <c r="B6" s="194"/>
      <c r="C6" s="194"/>
      <c r="D6" s="194" t="s">
        <v>41</v>
      </c>
      <c r="E6" s="194"/>
      <c r="F6" s="38" t="s">
        <v>48</v>
      </c>
      <c r="G6" s="194" t="s">
        <v>28</v>
      </c>
      <c r="H6" s="38" t="s">
        <v>27</v>
      </c>
      <c r="I6" s="194" t="s">
        <v>28</v>
      </c>
      <c r="J6" s="194"/>
      <c r="K6" s="194"/>
      <c r="L6" s="194"/>
      <c r="M6" s="196"/>
      <c r="N6" s="31"/>
      <c r="O6" s="194"/>
      <c r="P6" s="194"/>
      <c r="Q6" s="194"/>
    </row>
    <row r="7" spans="2:17" ht="15" customHeight="1" x14ac:dyDescent="0.2">
      <c r="B7" s="194"/>
      <c r="C7" s="194"/>
      <c r="D7" s="38" t="s">
        <v>42</v>
      </c>
      <c r="E7" s="38" t="s">
        <v>43</v>
      </c>
      <c r="F7" s="38" t="s">
        <v>30</v>
      </c>
      <c r="G7" s="194"/>
      <c r="H7" s="38" t="s">
        <v>32</v>
      </c>
      <c r="I7" s="194"/>
      <c r="J7" s="38" t="s">
        <v>40</v>
      </c>
      <c r="K7" s="38" t="s">
        <v>44</v>
      </c>
      <c r="L7" s="38" t="s">
        <v>55</v>
      </c>
      <c r="M7" s="196"/>
      <c r="N7" s="31"/>
      <c r="O7" s="194"/>
      <c r="P7" s="194"/>
      <c r="Q7" s="194"/>
    </row>
    <row r="8" spans="2:17" x14ac:dyDescent="0.2">
      <c r="B8" s="40">
        <f>ROW(B8)-7</f>
        <v>1</v>
      </c>
      <c r="C8" s="40" t="s">
        <v>330</v>
      </c>
      <c r="D8" s="41">
        <v>2426.2300000000005</v>
      </c>
      <c r="E8" s="41">
        <v>67</v>
      </c>
      <c r="F8" s="48">
        <f>VLOOKUP(P8,'list rate unit'!$B$3:$K$41,10,FALSE)</f>
        <v>460000</v>
      </c>
      <c r="G8" s="43">
        <f t="shared" ref="G8:G31" si="0">IF(D8=0,0,F8*$C$38)</f>
        <v>96600000</v>
      </c>
      <c r="H8" s="41">
        <v>2920</v>
      </c>
      <c r="I8" s="43">
        <f t="shared" ref="I8:I31" si="1">H8*$C$37</f>
        <v>0</v>
      </c>
      <c r="J8" s="41">
        <f>IFERROR(H8/D8,0)</f>
        <v>1.2035132695581208</v>
      </c>
      <c r="K8" s="41">
        <f t="shared" ref="K8:K12" si="2">IFERROR(D8/E8,0)</f>
        <v>36.212388059701503</v>
      </c>
      <c r="L8" s="41">
        <f>H8/E8</f>
        <v>43.582089552238806</v>
      </c>
      <c r="M8" s="44">
        <f>G8+I8</f>
        <v>96600000</v>
      </c>
      <c r="N8" s="18"/>
      <c r="O8" s="40" t="s">
        <v>326</v>
      </c>
      <c r="P8" s="40" t="s">
        <v>130</v>
      </c>
      <c r="Q8" s="40" t="str">
        <f t="shared" ref="Q8:Q22" si="3">C8</f>
        <v>DT Hino 700 ZS 287</v>
      </c>
    </row>
    <row r="9" spans="2:17" x14ac:dyDescent="0.2">
      <c r="B9" s="40">
        <f t="shared" ref="B9:B31" si="4">ROW(B9)-7</f>
        <v>2</v>
      </c>
      <c r="C9" s="40" t="s">
        <v>331</v>
      </c>
      <c r="D9" s="41">
        <v>2461.9899999999998</v>
      </c>
      <c r="E9" s="41">
        <v>69</v>
      </c>
      <c r="F9" s="48">
        <f>VLOOKUP(P9,'list rate unit'!$B$3:$K$41,10,FALSE)</f>
        <v>460000</v>
      </c>
      <c r="G9" s="43">
        <f t="shared" si="0"/>
        <v>96600000</v>
      </c>
      <c r="H9" s="41">
        <v>3654</v>
      </c>
      <c r="I9" s="43">
        <f t="shared" si="1"/>
        <v>0</v>
      </c>
      <c r="J9" s="41">
        <f t="shared" ref="J9:J12" si="5">IFERROR(H9/D9,0)</f>
        <v>1.4841652484372398</v>
      </c>
      <c r="K9" s="41">
        <f t="shared" si="2"/>
        <v>35.681014492753619</v>
      </c>
      <c r="L9" s="41">
        <f t="shared" ref="L9:L12" si="6">H9/E9</f>
        <v>52.956521739130437</v>
      </c>
      <c r="M9" s="44">
        <f t="shared" ref="M9:M12" si="7">G9+I9</f>
        <v>96600000</v>
      </c>
      <c r="N9" s="18"/>
      <c r="O9" s="40" t="s">
        <v>326</v>
      </c>
      <c r="P9" s="40" t="s">
        <v>130</v>
      </c>
      <c r="Q9" s="40" t="str">
        <f t="shared" si="3"/>
        <v>DT Hino 700 ZS 292</v>
      </c>
    </row>
    <row r="10" spans="2:17" x14ac:dyDescent="0.2">
      <c r="B10" s="40">
        <f t="shared" si="4"/>
        <v>3</v>
      </c>
      <c r="C10" s="40" t="s">
        <v>332</v>
      </c>
      <c r="D10" s="41">
        <v>2472.62</v>
      </c>
      <c r="E10" s="41">
        <v>69</v>
      </c>
      <c r="F10" s="48">
        <f>VLOOKUP(P10,'list rate unit'!$B$3:$K$41,10,FALSE)</f>
        <v>460000</v>
      </c>
      <c r="G10" s="43">
        <f t="shared" si="0"/>
        <v>96600000</v>
      </c>
      <c r="H10" s="41">
        <v>3353</v>
      </c>
      <c r="I10" s="43">
        <f t="shared" si="1"/>
        <v>0</v>
      </c>
      <c r="J10" s="41">
        <f t="shared" si="5"/>
        <v>1.3560514757625515</v>
      </c>
      <c r="K10" s="41">
        <f t="shared" si="2"/>
        <v>35.835072463768114</v>
      </c>
      <c r="L10" s="41">
        <f t="shared" si="6"/>
        <v>48.594202898550726</v>
      </c>
      <c r="M10" s="44">
        <f t="shared" si="7"/>
        <v>96600000</v>
      </c>
      <c r="N10" s="18"/>
      <c r="O10" s="40" t="s">
        <v>326</v>
      </c>
      <c r="P10" s="40" t="s">
        <v>130</v>
      </c>
      <c r="Q10" s="40" t="str">
        <f t="shared" si="3"/>
        <v>DT Hino 700 ZS 293</v>
      </c>
    </row>
    <row r="11" spans="2:17" x14ac:dyDescent="0.2">
      <c r="B11" s="40">
        <f t="shared" si="4"/>
        <v>4</v>
      </c>
      <c r="C11" s="40" t="s">
        <v>333</v>
      </c>
      <c r="D11" s="41">
        <v>1947.48</v>
      </c>
      <c r="E11" s="41">
        <v>55</v>
      </c>
      <c r="F11" s="48">
        <f>VLOOKUP(P11,'list rate unit'!$B$3:$K$41,10,FALSE)</f>
        <v>460000</v>
      </c>
      <c r="G11" s="43">
        <f t="shared" si="0"/>
        <v>96600000</v>
      </c>
      <c r="H11" s="41">
        <v>2732</v>
      </c>
      <c r="I11" s="43">
        <f t="shared" si="1"/>
        <v>0</v>
      </c>
      <c r="J11" s="41">
        <f t="shared" si="5"/>
        <v>1.4028385400620289</v>
      </c>
      <c r="K11" s="41">
        <f t="shared" si="2"/>
        <v>35.408727272727276</v>
      </c>
      <c r="L11" s="41">
        <f t="shared" si="6"/>
        <v>49.672727272727272</v>
      </c>
      <c r="M11" s="44">
        <f t="shared" si="7"/>
        <v>96600000</v>
      </c>
      <c r="N11" s="18"/>
      <c r="O11" s="40" t="s">
        <v>326</v>
      </c>
      <c r="P11" s="40" t="s">
        <v>130</v>
      </c>
      <c r="Q11" s="40" t="str">
        <f t="shared" si="3"/>
        <v>DT Hino 700 ZS 294</v>
      </c>
    </row>
    <row r="12" spans="2:17" x14ac:dyDescent="0.2">
      <c r="B12" s="40">
        <f t="shared" si="4"/>
        <v>5</v>
      </c>
      <c r="C12" s="40" t="s">
        <v>334</v>
      </c>
      <c r="D12" s="41">
        <v>2983.2400000000002</v>
      </c>
      <c r="E12" s="41">
        <v>82</v>
      </c>
      <c r="F12" s="48">
        <f>VLOOKUP(P12,'list rate unit'!$B$3:$K$41,10,FALSE)</f>
        <v>460000</v>
      </c>
      <c r="G12" s="43">
        <f t="shared" si="0"/>
        <v>96600000</v>
      </c>
      <c r="H12" s="41">
        <v>3690</v>
      </c>
      <c r="I12" s="43">
        <f t="shared" si="1"/>
        <v>0</v>
      </c>
      <c r="J12" s="41">
        <f t="shared" si="5"/>
        <v>1.2369102050120002</v>
      </c>
      <c r="K12" s="41">
        <f t="shared" si="2"/>
        <v>36.380975609756099</v>
      </c>
      <c r="L12" s="41">
        <f t="shared" si="6"/>
        <v>45</v>
      </c>
      <c r="M12" s="44">
        <f t="shared" si="7"/>
        <v>96600000</v>
      </c>
      <c r="N12" s="18"/>
      <c r="O12" s="40" t="s">
        <v>326</v>
      </c>
      <c r="P12" s="40" t="s">
        <v>130</v>
      </c>
      <c r="Q12" s="40" t="str">
        <f t="shared" si="3"/>
        <v>DT Hino 700 ZS 295</v>
      </c>
    </row>
    <row r="13" spans="2:17" x14ac:dyDescent="0.2">
      <c r="B13" s="40">
        <f t="shared" si="4"/>
        <v>6</v>
      </c>
      <c r="C13" s="40" t="s">
        <v>335</v>
      </c>
      <c r="D13" s="41">
        <v>2479.2800000000002</v>
      </c>
      <c r="E13" s="41">
        <v>70</v>
      </c>
      <c r="F13" s="48">
        <f>VLOOKUP(P13,'list rate unit'!$B$3:$K$41,10,FALSE)</f>
        <v>460000</v>
      </c>
      <c r="G13" s="43">
        <f t="shared" si="0"/>
        <v>96600000</v>
      </c>
      <c r="H13" s="41">
        <v>3512</v>
      </c>
      <c r="I13" s="43">
        <f t="shared" si="1"/>
        <v>0</v>
      </c>
      <c r="J13" s="41">
        <f t="shared" ref="J13:J22" si="8">IFERROR(H13/D13,0)</f>
        <v>1.4165402858894516</v>
      </c>
      <c r="K13" s="41">
        <f t="shared" ref="K13:K22" si="9">IFERROR(D13/E13,0)</f>
        <v>35.418285714285716</v>
      </c>
      <c r="L13" s="41">
        <f t="shared" ref="L13:L22" si="10">H13/E13</f>
        <v>50.171428571428571</v>
      </c>
      <c r="M13" s="44">
        <f t="shared" ref="M13:M22" si="11">G13+I13</f>
        <v>96600000</v>
      </c>
      <c r="N13" s="18"/>
      <c r="O13" s="40" t="s">
        <v>326</v>
      </c>
      <c r="P13" s="40" t="s">
        <v>130</v>
      </c>
      <c r="Q13" s="40" t="str">
        <f t="shared" si="3"/>
        <v>DT Hino 700 ZS 296</v>
      </c>
    </row>
    <row r="14" spans="2:17" x14ac:dyDescent="0.2">
      <c r="B14" s="40">
        <f t="shared" si="4"/>
        <v>7</v>
      </c>
      <c r="C14" s="40" t="s">
        <v>336</v>
      </c>
      <c r="D14" s="41">
        <v>1872.79</v>
      </c>
      <c r="E14" s="41">
        <v>52</v>
      </c>
      <c r="F14" s="48">
        <f>VLOOKUP(P14,'list rate unit'!$B$3:$K$41,10,FALSE)</f>
        <v>460000</v>
      </c>
      <c r="G14" s="43">
        <f t="shared" si="0"/>
        <v>96600000</v>
      </c>
      <c r="H14" s="41">
        <v>2266</v>
      </c>
      <c r="I14" s="43">
        <f t="shared" si="1"/>
        <v>0</v>
      </c>
      <c r="J14" s="41">
        <f t="shared" si="8"/>
        <v>1.2099594722312699</v>
      </c>
      <c r="K14" s="41">
        <f t="shared" si="9"/>
        <v>36.01519230769231</v>
      </c>
      <c r="L14" s="41">
        <f t="shared" si="10"/>
        <v>43.57692307692308</v>
      </c>
      <c r="M14" s="44">
        <f t="shared" si="11"/>
        <v>96600000</v>
      </c>
      <c r="N14" s="18"/>
      <c r="O14" s="40" t="s">
        <v>326</v>
      </c>
      <c r="P14" s="40" t="s">
        <v>130</v>
      </c>
      <c r="Q14" s="40" t="str">
        <f t="shared" si="3"/>
        <v>DT Hino 700 ZS 297</v>
      </c>
    </row>
    <row r="15" spans="2:17" x14ac:dyDescent="0.2">
      <c r="B15" s="40">
        <f t="shared" si="4"/>
        <v>8</v>
      </c>
      <c r="C15" s="40" t="s">
        <v>337</v>
      </c>
      <c r="D15" s="41">
        <v>2543.6299999999997</v>
      </c>
      <c r="E15" s="41">
        <v>71</v>
      </c>
      <c r="F15" s="48">
        <f>VLOOKUP(P15,'list rate unit'!$B$3:$K$41,10,FALSE)</f>
        <v>460000</v>
      </c>
      <c r="G15" s="43">
        <f t="shared" si="0"/>
        <v>96600000</v>
      </c>
      <c r="H15" s="41">
        <v>3108</v>
      </c>
      <c r="I15" s="43">
        <f t="shared" si="1"/>
        <v>0</v>
      </c>
      <c r="J15" s="41">
        <f t="shared" si="8"/>
        <v>1.2218758231346543</v>
      </c>
      <c r="K15" s="41">
        <f t="shared" si="9"/>
        <v>35.825774647887322</v>
      </c>
      <c r="L15" s="41">
        <f t="shared" si="10"/>
        <v>43.774647887323944</v>
      </c>
      <c r="M15" s="44">
        <f t="shared" si="11"/>
        <v>96600000</v>
      </c>
      <c r="N15" s="18"/>
      <c r="O15" s="40" t="s">
        <v>326</v>
      </c>
      <c r="P15" s="40" t="s">
        <v>130</v>
      </c>
      <c r="Q15" s="40" t="str">
        <f t="shared" si="3"/>
        <v>DT Hino 700 ZS 301</v>
      </c>
    </row>
    <row r="16" spans="2:17" x14ac:dyDescent="0.2">
      <c r="B16" s="40">
        <f t="shared" si="4"/>
        <v>9</v>
      </c>
      <c r="C16" s="40" t="s">
        <v>338</v>
      </c>
      <c r="D16" s="41">
        <v>2882.28</v>
      </c>
      <c r="E16" s="41">
        <v>81</v>
      </c>
      <c r="F16" s="48">
        <f>VLOOKUP(P16,'list rate unit'!$B$3:$K$41,10,FALSE)</f>
        <v>460000</v>
      </c>
      <c r="G16" s="43">
        <f t="shared" si="0"/>
        <v>96600000</v>
      </c>
      <c r="H16" s="41">
        <v>3737</v>
      </c>
      <c r="I16" s="43">
        <f t="shared" si="1"/>
        <v>0</v>
      </c>
      <c r="J16" s="41">
        <f t="shared" si="8"/>
        <v>1.2965430145579193</v>
      </c>
      <c r="K16" s="41">
        <f t="shared" si="9"/>
        <v>35.583703703703705</v>
      </c>
      <c r="L16" s="41">
        <f t="shared" si="10"/>
        <v>46.135802469135804</v>
      </c>
      <c r="M16" s="44">
        <f t="shared" si="11"/>
        <v>96600000</v>
      </c>
      <c r="N16" s="18"/>
      <c r="O16" s="40" t="s">
        <v>326</v>
      </c>
      <c r="P16" s="40" t="s">
        <v>130</v>
      </c>
      <c r="Q16" s="40" t="str">
        <f t="shared" si="3"/>
        <v>DT Hino 700 ZS 302</v>
      </c>
    </row>
    <row r="17" spans="2:17" x14ac:dyDescent="0.2">
      <c r="B17" s="40">
        <f t="shared" si="4"/>
        <v>10</v>
      </c>
      <c r="C17" s="40" t="s">
        <v>339</v>
      </c>
      <c r="D17" s="41">
        <v>2871.5699999999997</v>
      </c>
      <c r="E17" s="41">
        <v>81</v>
      </c>
      <c r="F17" s="48">
        <f>VLOOKUP(P17,'list rate unit'!$B$3:$K$41,10,FALSE)</f>
        <v>460000</v>
      </c>
      <c r="G17" s="43">
        <f t="shared" si="0"/>
        <v>96600000</v>
      </c>
      <c r="H17" s="41">
        <v>4042</v>
      </c>
      <c r="I17" s="43">
        <f t="shared" si="1"/>
        <v>0</v>
      </c>
      <c r="J17" s="41">
        <f t="shared" si="8"/>
        <v>1.4075923623662319</v>
      </c>
      <c r="K17" s="41">
        <f t="shared" si="9"/>
        <v>35.45148148148148</v>
      </c>
      <c r="L17" s="41">
        <f t="shared" si="10"/>
        <v>49.901234567901234</v>
      </c>
      <c r="M17" s="44">
        <f t="shared" si="11"/>
        <v>96600000</v>
      </c>
      <c r="N17" s="18"/>
      <c r="O17" s="40" t="s">
        <v>326</v>
      </c>
      <c r="P17" s="40" t="s">
        <v>130</v>
      </c>
      <c r="Q17" s="40" t="str">
        <f t="shared" si="3"/>
        <v>DT Hino 700 ZS 308</v>
      </c>
    </row>
    <row r="18" spans="2:17" x14ac:dyDescent="0.2">
      <c r="B18" s="40">
        <f t="shared" si="4"/>
        <v>11</v>
      </c>
      <c r="C18" s="40" t="s">
        <v>340</v>
      </c>
      <c r="D18" s="41">
        <v>4108.99</v>
      </c>
      <c r="E18" s="41">
        <v>85</v>
      </c>
      <c r="F18" s="48">
        <f>VLOOKUP(P18,'list rate unit'!$B$3:$K$41,10,FALSE)</f>
        <v>500000</v>
      </c>
      <c r="G18" s="43">
        <f t="shared" si="0"/>
        <v>105000000</v>
      </c>
      <c r="H18" s="41">
        <v>4564</v>
      </c>
      <c r="I18" s="43">
        <f t="shared" si="1"/>
        <v>0</v>
      </c>
      <c r="J18" s="41">
        <f t="shared" si="8"/>
        <v>1.1107352415070371</v>
      </c>
      <c r="K18" s="41">
        <f t="shared" si="9"/>
        <v>48.341058823529409</v>
      </c>
      <c r="L18" s="41">
        <f t="shared" si="10"/>
        <v>53.694117647058825</v>
      </c>
      <c r="M18" s="44">
        <f t="shared" si="11"/>
        <v>105000000</v>
      </c>
      <c r="N18" s="18"/>
      <c r="O18" s="40" t="s">
        <v>326</v>
      </c>
      <c r="P18" s="40" t="s">
        <v>149</v>
      </c>
      <c r="Q18" s="40" t="str">
        <f t="shared" si="3"/>
        <v>DT Hino 700 ZY 310</v>
      </c>
    </row>
    <row r="19" spans="2:17" x14ac:dyDescent="0.2">
      <c r="B19" s="40">
        <f t="shared" si="4"/>
        <v>12</v>
      </c>
      <c r="C19" s="40" t="s">
        <v>341</v>
      </c>
      <c r="D19" s="41">
        <v>4114.03</v>
      </c>
      <c r="E19" s="41">
        <v>85</v>
      </c>
      <c r="F19" s="48">
        <f>VLOOKUP(P19,'list rate unit'!$B$3:$K$41,10,FALSE)</f>
        <v>500000</v>
      </c>
      <c r="G19" s="43">
        <f t="shared" si="0"/>
        <v>105000000</v>
      </c>
      <c r="H19" s="41">
        <v>4734</v>
      </c>
      <c r="I19" s="43">
        <f t="shared" si="1"/>
        <v>0</v>
      </c>
      <c r="J19" s="41">
        <f t="shared" si="8"/>
        <v>1.1506965189850342</v>
      </c>
      <c r="K19" s="41">
        <f t="shared" si="9"/>
        <v>48.400352941176465</v>
      </c>
      <c r="L19" s="41">
        <f t="shared" si="10"/>
        <v>55.694117647058825</v>
      </c>
      <c r="M19" s="44">
        <f t="shared" si="11"/>
        <v>105000000</v>
      </c>
      <c r="N19" s="18"/>
      <c r="O19" s="40" t="s">
        <v>326</v>
      </c>
      <c r="P19" s="40" t="s">
        <v>149</v>
      </c>
      <c r="Q19" s="40" t="str">
        <f t="shared" si="3"/>
        <v>DT Hino 700 ZY 330</v>
      </c>
    </row>
    <row r="20" spans="2:17" x14ac:dyDescent="0.2">
      <c r="B20" s="40">
        <f t="shared" si="4"/>
        <v>13</v>
      </c>
      <c r="C20" s="40" t="s">
        <v>342</v>
      </c>
      <c r="D20" s="41">
        <v>3556.6399999999994</v>
      </c>
      <c r="E20" s="41">
        <v>74</v>
      </c>
      <c r="F20" s="48">
        <f>VLOOKUP(P20,'list rate unit'!$B$3:$K$41,10,FALSE)</f>
        <v>500000</v>
      </c>
      <c r="G20" s="43">
        <f t="shared" si="0"/>
        <v>105000000</v>
      </c>
      <c r="H20" s="41">
        <v>3736</v>
      </c>
      <c r="I20" s="43">
        <f t="shared" si="1"/>
        <v>0</v>
      </c>
      <c r="J20" s="41">
        <f t="shared" si="8"/>
        <v>1.0504296189662155</v>
      </c>
      <c r="K20" s="41">
        <f t="shared" si="9"/>
        <v>48.062702702702694</v>
      </c>
      <c r="L20" s="41">
        <f t="shared" si="10"/>
        <v>50.486486486486484</v>
      </c>
      <c r="M20" s="44">
        <f t="shared" si="11"/>
        <v>105000000</v>
      </c>
      <c r="N20" s="18"/>
      <c r="O20" s="40" t="s">
        <v>326</v>
      </c>
      <c r="P20" s="40" t="s">
        <v>149</v>
      </c>
      <c r="Q20" s="40" t="str">
        <f t="shared" si="3"/>
        <v>DT Hino 700 ZY 347</v>
      </c>
    </row>
    <row r="21" spans="2:17" x14ac:dyDescent="0.2">
      <c r="B21" s="40">
        <f t="shared" si="4"/>
        <v>14</v>
      </c>
      <c r="C21" s="40" t="s">
        <v>356</v>
      </c>
      <c r="D21" s="41">
        <v>1410.3899999999999</v>
      </c>
      <c r="E21" s="41">
        <v>29</v>
      </c>
      <c r="F21" s="48">
        <f>VLOOKUP(P21,'list rate unit'!$B$3:$K$41,10,FALSE)</f>
        <v>500000</v>
      </c>
      <c r="G21" s="43">
        <f t="shared" si="0"/>
        <v>105000000</v>
      </c>
      <c r="H21" s="41">
        <v>1318</v>
      </c>
      <c r="I21" s="43">
        <f t="shared" si="1"/>
        <v>0</v>
      </c>
      <c r="J21" s="41">
        <f t="shared" si="8"/>
        <v>0.93449329618048915</v>
      </c>
      <c r="K21" s="41">
        <f t="shared" si="9"/>
        <v>48.634137931034481</v>
      </c>
      <c r="L21" s="41">
        <f t="shared" si="10"/>
        <v>45.448275862068968</v>
      </c>
      <c r="M21" s="44">
        <f t="shared" si="11"/>
        <v>105000000</v>
      </c>
      <c r="N21" s="18"/>
      <c r="O21" s="40" t="s">
        <v>326</v>
      </c>
      <c r="P21" s="40" t="s">
        <v>149</v>
      </c>
      <c r="Q21" s="40" t="str">
        <f t="shared" si="3"/>
        <v>DT Hino 700 ZY 365</v>
      </c>
    </row>
    <row r="22" spans="2:17" x14ac:dyDescent="0.2">
      <c r="B22" s="40">
        <f t="shared" si="4"/>
        <v>15</v>
      </c>
      <c r="C22" s="40" t="s">
        <v>343</v>
      </c>
      <c r="D22" s="41">
        <v>4548.99</v>
      </c>
      <c r="E22" s="41">
        <v>96</v>
      </c>
      <c r="F22" s="48">
        <f>VLOOKUP(P22,'list rate unit'!$B$3:$K$41,10,FALSE)</f>
        <v>500000</v>
      </c>
      <c r="G22" s="43">
        <f t="shared" si="0"/>
        <v>105000000</v>
      </c>
      <c r="H22" s="41">
        <v>5353</v>
      </c>
      <c r="I22" s="43">
        <f t="shared" si="1"/>
        <v>0</v>
      </c>
      <c r="J22" s="41">
        <f t="shared" si="8"/>
        <v>1.1767447279506</v>
      </c>
      <c r="K22" s="41">
        <f t="shared" si="9"/>
        <v>47.385312499999998</v>
      </c>
      <c r="L22" s="41">
        <f t="shared" si="10"/>
        <v>55.760416666666664</v>
      </c>
      <c r="M22" s="44">
        <f t="shared" si="11"/>
        <v>105000000</v>
      </c>
      <c r="N22" s="18"/>
      <c r="O22" s="40" t="s">
        <v>326</v>
      </c>
      <c r="P22" s="40" t="s">
        <v>149</v>
      </c>
      <c r="Q22" s="40" t="str">
        <f t="shared" si="3"/>
        <v>DT Hino 700 ZY 378</v>
      </c>
    </row>
    <row r="23" spans="2:17" x14ac:dyDescent="0.2">
      <c r="B23" s="40">
        <f t="shared" si="4"/>
        <v>16</v>
      </c>
      <c r="C23" s="40" t="s">
        <v>344</v>
      </c>
      <c r="D23" s="41">
        <v>3869.2499999999995</v>
      </c>
      <c r="E23" s="41">
        <v>83</v>
      </c>
      <c r="F23" s="48">
        <f>VLOOKUP(P23,'list rate unit'!$B$3:$K$41,10,FALSE)</f>
        <v>500000</v>
      </c>
      <c r="G23" s="43">
        <f t="shared" ref="G23:G24" si="12">IF(D23=0,0,F23*$C$38)</f>
        <v>105000000</v>
      </c>
      <c r="H23" s="41">
        <v>4743</v>
      </c>
      <c r="I23" s="43">
        <f t="shared" ref="I23:I24" si="13">H23*$C$37</f>
        <v>0</v>
      </c>
      <c r="J23" s="41">
        <f t="shared" ref="J23:J24" si="14">IFERROR(H23/D23,0)</f>
        <v>1.2258189571622409</v>
      </c>
      <c r="K23" s="41">
        <f t="shared" ref="K23:K24" si="15">IFERROR(D23/E23,0)</f>
        <v>46.617469879518069</v>
      </c>
      <c r="L23" s="41">
        <f t="shared" ref="L23:L24" si="16">H23/E23</f>
        <v>57.144578313253014</v>
      </c>
      <c r="M23" s="44">
        <f t="shared" ref="M23:M24" si="17">G23+I23</f>
        <v>105000000</v>
      </c>
      <c r="N23" s="18"/>
      <c r="O23" s="40" t="s">
        <v>326</v>
      </c>
      <c r="P23" s="40" t="s">
        <v>149</v>
      </c>
      <c r="Q23" s="40" t="str">
        <f t="shared" ref="Q23:Q24" si="18">C23</f>
        <v>DT Hino 700 ZY 382</v>
      </c>
    </row>
    <row r="24" spans="2:17" x14ac:dyDescent="0.2">
      <c r="B24" s="40">
        <f t="shared" si="4"/>
        <v>17</v>
      </c>
      <c r="C24" s="40" t="s">
        <v>357</v>
      </c>
      <c r="D24" s="41">
        <v>2584.77</v>
      </c>
      <c r="E24" s="41">
        <v>53</v>
      </c>
      <c r="F24" s="48">
        <f>VLOOKUP(P24,'list rate unit'!$B$3:$K$41,10,FALSE)</f>
        <v>500000</v>
      </c>
      <c r="G24" s="43">
        <f t="shared" si="12"/>
        <v>105000000</v>
      </c>
      <c r="H24" s="41">
        <v>2124</v>
      </c>
      <c r="I24" s="43">
        <f t="shared" si="13"/>
        <v>0</v>
      </c>
      <c r="J24" s="41">
        <f t="shared" si="14"/>
        <v>0.82173655683097535</v>
      </c>
      <c r="K24" s="41">
        <f t="shared" si="15"/>
        <v>48.769245283018869</v>
      </c>
      <c r="L24" s="41">
        <f t="shared" si="16"/>
        <v>40.075471698113205</v>
      </c>
      <c r="M24" s="44">
        <f t="shared" si="17"/>
        <v>105000000</v>
      </c>
      <c r="N24" s="18"/>
      <c r="O24" s="40" t="s">
        <v>326</v>
      </c>
      <c r="P24" s="40" t="s">
        <v>149</v>
      </c>
      <c r="Q24" s="40" t="str">
        <f t="shared" si="18"/>
        <v>DT Hino 700 ZY 384</v>
      </c>
    </row>
    <row r="25" spans="2:17" x14ac:dyDescent="0.2">
      <c r="B25" s="40">
        <f t="shared" si="4"/>
        <v>18</v>
      </c>
      <c r="C25" s="40" t="s">
        <v>345</v>
      </c>
      <c r="D25" s="41">
        <v>4154.0599999999995</v>
      </c>
      <c r="E25" s="41">
        <v>89</v>
      </c>
      <c r="F25" s="48">
        <f>VLOOKUP(P25,'list rate unit'!$B$3:$K$41,10,FALSE)</f>
        <v>500000</v>
      </c>
      <c r="G25" s="43">
        <f t="shared" si="0"/>
        <v>105000000</v>
      </c>
      <c r="H25" s="41">
        <v>4599</v>
      </c>
      <c r="I25" s="43">
        <f t="shared" si="1"/>
        <v>0</v>
      </c>
      <c r="J25" s="41">
        <f t="shared" ref="J25:J31" si="19">IFERROR(H25/D25,0)</f>
        <v>1.1071096710206403</v>
      </c>
      <c r="K25" s="41">
        <f t="shared" ref="K25:K31" si="20">IFERROR(D25/E25,0)</f>
        <v>46.674831460674149</v>
      </c>
      <c r="L25" s="41">
        <f t="shared" ref="L25:L31" si="21">H25/E25</f>
        <v>51.674157303370784</v>
      </c>
      <c r="M25" s="44">
        <f t="shared" ref="M25:M31" si="22">G25+I25</f>
        <v>105000000</v>
      </c>
      <c r="N25" s="18"/>
      <c r="O25" s="40" t="s">
        <v>326</v>
      </c>
      <c r="P25" s="40" t="s">
        <v>149</v>
      </c>
      <c r="Q25" s="40" t="str">
        <f t="shared" ref="Q25:Q31" si="23">C25</f>
        <v>DT Hino 700 ZY 393</v>
      </c>
    </row>
    <row r="26" spans="2:17" x14ac:dyDescent="0.2">
      <c r="B26" s="40">
        <f t="shared" si="4"/>
        <v>19</v>
      </c>
      <c r="C26" s="40" t="s">
        <v>346</v>
      </c>
      <c r="D26" s="41">
        <v>4435.21</v>
      </c>
      <c r="E26" s="41">
        <v>83</v>
      </c>
      <c r="F26" s="48">
        <f>VLOOKUP(P26,'list rate unit'!$B$3:$K$41,10,FALSE)</f>
        <v>500000</v>
      </c>
      <c r="G26" s="43">
        <f t="shared" si="0"/>
        <v>105000000</v>
      </c>
      <c r="H26" s="41">
        <v>5217</v>
      </c>
      <c r="I26" s="43">
        <f t="shared" si="1"/>
        <v>0</v>
      </c>
      <c r="J26" s="41">
        <f t="shared" si="19"/>
        <v>1.1762689928999979</v>
      </c>
      <c r="K26" s="41">
        <f t="shared" si="20"/>
        <v>53.436265060240963</v>
      </c>
      <c r="L26" s="41">
        <f t="shared" si="21"/>
        <v>62.855421686746986</v>
      </c>
      <c r="M26" s="44">
        <f t="shared" si="22"/>
        <v>105000000</v>
      </c>
      <c r="N26" s="18"/>
      <c r="O26" s="40" t="s">
        <v>326</v>
      </c>
      <c r="P26" s="40" t="s">
        <v>328</v>
      </c>
      <c r="Q26" s="40" t="str">
        <f t="shared" si="23"/>
        <v>DT Hongyan 395</v>
      </c>
    </row>
    <row r="27" spans="2:17" x14ac:dyDescent="0.2">
      <c r="B27" s="40">
        <f t="shared" si="4"/>
        <v>20</v>
      </c>
      <c r="C27" s="40" t="s">
        <v>347</v>
      </c>
      <c r="D27" s="41">
        <v>4396.8899999999994</v>
      </c>
      <c r="E27" s="41">
        <v>82</v>
      </c>
      <c r="F27" s="48">
        <f>VLOOKUP(P27,'list rate unit'!$B$3:$K$41,10,FALSE)</f>
        <v>500000</v>
      </c>
      <c r="G27" s="43">
        <f t="shared" si="0"/>
        <v>105000000</v>
      </c>
      <c r="H27" s="41">
        <v>4848</v>
      </c>
      <c r="I27" s="43">
        <f t="shared" si="1"/>
        <v>0</v>
      </c>
      <c r="J27" s="41">
        <f t="shared" si="19"/>
        <v>1.1025975177909841</v>
      </c>
      <c r="K27" s="41">
        <f t="shared" si="20"/>
        <v>53.620609756097551</v>
      </c>
      <c r="L27" s="41">
        <f t="shared" si="21"/>
        <v>59.121951219512198</v>
      </c>
      <c r="M27" s="44">
        <f t="shared" si="22"/>
        <v>105000000</v>
      </c>
      <c r="N27" s="18"/>
      <c r="O27" s="40" t="s">
        <v>326</v>
      </c>
      <c r="P27" s="40" t="s">
        <v>328</v>
      </c>
      <c r="Q27" s="40" t="str">
        <f t="shared" si="23"/>
        <v>DT Hongyan 396</v>
      </c>
    </row>
    <row r="28" spans="2:17" x14ac:dyDescent="0.2">
      <c r="B28" s="40">
        <f t="shared" si="4"/>
        <v>21</v>
      </c>
      <c r="C28" s="40" t="s">
        <v>348</v>
      </c>
      <c r="D28" s="41">
        <v>4421.12</v>
      </c>
      <c r="E28" s="41">
        <v>82</v>
      </c>
      <c r="F28" s="48">
        <f>VLOOKUP(P28,'list rate unit'!$B$3:$K$41,10,FALSE)</f>
        <v>500000</v>
      </c>
      <c r="G28" s="43">
        <f t="shared" si="0"/>
        <v>105000000</v>
      </c>
      <c r="H28" s="41">
        <v>5210</v>
      </c>
      <c r="I28" s="43">
        <f t="shared" si="1"/>
        <v>0</v>
      </c>
      <c r="J28" s="41">
        <f t="shared" si="19"/>
        <v>1.1784344238563984</v>
      </c>
      <c r="K28" s="41">
        <f t="shared" si="20"/>
        <v>53.916097560975608</v>
      </c>
      <c r="L28" s="41">
        <f t="shared" si="21"/>
        <v>63.536585365853661</v>
      </c>
      <c r="M28" s="44">
        <f t="shared" si="22"/>
        <v>105000000</v>
      </c>
      <c r="N28" s="18"/>
      <c r="O28" s="40" t="s">
        <v>326</v>
      </c>
      <c r="P28" s="40" t="s">
        <v>328</v>
      </c>
      <c r="Q28" s="40" t="str">
        <f t="shared" si="23"/>
        <v>DT Hongyan 397</v>
      </c>
    </row>
    <row r="29" spans="2:17" x14ac:dyDescent="0.2">
      <c r="B29" s="40">
        <f t="shared" si="4"/>
        <v>22</v>
      </c>
      <c r="C29" s="40" t="s">
        <v>349</v>
      </c>
      <c r="D29" s="41">
        <v>3386.2899999999995</v>
      </c>
      <c r="E29" s="41">
        <v>63</v>
      </c>
      <c r="F29" s="48">
        <f>VLOOKUP(P29,'list rate unit'!$B$3:$K$41,10,FALSE)</f>
        <v>500000</v>
      </c>
      <c r="G29" s="43">
        <f t="shared" si="0"/>
        <v>105000000</v>
      </c>
      <c r="H29" s="41">
        <v>3227</v>
      </c>
      <c r="I29" s="43">
        <f t="shared" si="1"/>
        <v>0</v>
      </c>
      <c r="J29" s="41">
        <f t="shared" si="19"/>
        <v>0.95296031940560333</v>
      </c>
      <c r="K29" s="41">
        <f t="shared" si="20"/>
        <v>53.750634920634916</v>
      </c>
      <c r="L29" s="41">
        <f t="shared" si="21"/>
        <v>51.222222222222221</v>
      </c>
      <c r="M29" s="44">
        <f t="shared" si="22"/>
        <v>105000000</v>
      </c>
      <c r="N29" s="18"/>
      <c r="O29" s="40" t="s">
        <v>326</v>
      </c>
      <c r="P29" s="40" t="s">
        <v>328</v>
      </c>
      <c r="Q29" s="40" t="str">
        <f t="shared" si="23"/>
        <v>DT Hongyan 398</v>
      </c>
    </row>
    <row r="30" spans="2:17" x14ac:dyDescent="0.2">
      <c r="B30" s="40">
        <f t="shared" si="4"/>
        <v>23</v>
      </c>
      <c r="C30" s="40" t="s">
        <v>350</v>
      </c>
      <c r="D30" s="41">
        <v>4430.9900000000007</v>
      </c>
      <c r="E30" s="41">
        <v>82</v>
      </c>
      <c r="F30" s="48">
        <f>VLOOKUP(P30,'list rate unit'!$B$3:$K$41,10,FALSE)</f>
        <v>500000</v>
      </c>
      <c r="G30" s="43">
        <f t="shared" si="0"/>
        <v>105000000</v>
      </c>
      <c r="H30" s="41">
        <v>5006</v>
      </c>
      <c r="I30" s="43">
        <f t="shared" si="1"/>
        <v>0</v>
      </c>
      <c r="J30" s="41">
        <f t="shared" si="19"/>
        <v>1.1297700965247042</v>
      </c>
      <c r="K30" s="41">
        <f t="shared" si="20"/>
        <v>54.036463414634156</v>
      </c>
      <c r="L30" s="41">
        <f t="shared" si="21"/>
        <v>61.048780487804876</v>
      </c>
      <c r="M30" s="44">
        <f t="shared" si="22"/>
        <v>105000000</v>
      </c>
      <c r="N30" s="18"/>
      <c r="O30" s="40" t="s">
        <v>326</v>
      </c>
      <c r="P30" s="40" t="s">
        <v>328</v>
      </c>
      <c r="Q30" s="40" t="str">
        <f t="shared" si="23"/>
        <v>DT Hongyan 399</v>
      </c>
    </row>
    <row r="31" spans="2:17" x14ac:dyDescent="0.2">
      <c r="B31" s="40">
        <f t="shared" si="4"/>
        <v>24</v>
      </c>
      <c r="C31" s="40" t="s">
        <v>351</v>
      </c>
      <c r="D31" s="41">
        <v>4467.47</v>
      </c>
      <c r="E31" s="41">
        <v>95</v>
      </c>
      <c r="F31" s="48">
        <f>VLOOKUP(P31,'list rate unit'!$B$3:$K$41,10,FALSE)</f>
        <v>500000</v>
      </c>
      <c r="G31" s="43">
        <f t="shared" si="0"/>
        <v>105000000</v>
      </c>
      <c r="H31" s="41">
        <v>5343</v>
      </c>
      <c r="I31" s="43">
        <f t="shared" si="1"/>
        <v>0</v>
      </c>
      <c r="J31" s="41">
        <f t="shared" si="19"/>
        <v>1.195978932147278</v>
      </c>
      <c r="K31" s="41">
        <f t="shared" si="20"/>
        <v>47.026000000000003</v>
      </c>
      <c r="L31" s="41">
        <f t="shared" si="21"/>
        <v>56.242105263157896</v>
      </c>
      <c r="M31" s="44">
        <f t="shared" si="22"/>
        <v>105000000</v>
      </c>
      <c r="N31" s="18"/>
      <c r="O31" s="40" t="s">
        <v>326</v>
      </c>
      <c r="P31" s="40" t="s">
        <v>149</v>
      </c>
      <c r="Q31" s="40" t="str">
        <f t="shared" si="23"/>
        <v>DT Hino 700 ZY 515</v>
      </c>
    </row>
    <row r="32" spans="2:17" x14ac:dyDescent="0.2">
      <c r="D32" s="18"/>
      <c r="E32" s="18"/>
      <c r="H32" s="18"/>
      <c r="I32" s="30"/>
      <c r="J32" s="18"/>
      <c r="K32" s="18"/>
      <c r="L32" s="18"/>
      <c r="M32" s="33"/>
      <c r="N32" s="18"/>
    </row>
    <row r="33" spans="2:14" ht="15.75" customHeight="1" x14ac:dyDescent="0.2">
      <c r="B33" s="193" t="s">
        <v>21</v>
      </c>
      <c r="C33" s="193"/>
      <c r="D33" s="45">
        <f>SUM(D8:D32)</f>
        <v>78826.199999999983</v>
      </c>
      <c r="E33" s="45">
        <f>SUM(E8:E32)</f>
        <v>1778</v>
      </c>
      <c r="F33" s="49"/>
      <c r="G33" s="50">
        <f>SUM(G8:G32)</f>
        <v>2436000000</v>
      </c>
      <c r="H33" s="45">
        <f>SUM(H8:H32)</f>
        <v>93036</v>
      </c>
      <c r="I33" s="46">
        <f>SUM(I8:I32)</f>
        <v>0</v>
      </c>
      <c r="J33" s="45">
        <f>IFERROR(H33/D33,0)</f>
        <v>1.1802674745198933</v>
      </c>
      <c r="K33" s="45">
        <f>IFERROR(D33/E33,0)</f>
        <v>44.3341957255343</v>
      </c>
      <c r="L33" s="45">
        <f>IFERROR(H33/E33,0)</f>
        <v>52.326209223847016</v>
      </c>
      <c r="M33" s="47">
        <f>SUM(M8:M32)</f>
        <v>2436000000</v>
      </c>
      <c r="N33" s="17"/>
    </row>
    <row r="35" spans="2:14" x14ac:dyDescent="0.2">
      <c r="B35" s="28"/>
      <c r="C35" s="15" t="s">
        <v>58</v>
      </c>
      <c r="L35" s="18"/>
      <c r="M35" s="18"/>
      <c r="N35" s="18"/>
    </row>
    <row r="36" spans="2:14" x14ac:dyDescent="0.2">
      <c r="B36" s="170" t="s">
        <v>34</v>
      </c>
      <c r="C36" s="29">
        <f>'REPORT unit OB'!C23</f>
        <v>14848</v>
      </c>
      <c r="D36" s="30"/>
    </row>
    <row r="37" spans="2:14" x14ac:dyDescent="0.2">
      <c r="B37" s="170" t="s">
        <v>35</v>
      </c>
      <c r="C37" s="29">
        <f>SUMMARY!$J$13</f>
        <v>0</v>
      </c>
      <c r="D37" s="30"/>
    </row>
    <row r="38" spans="2:14" x14ac:dyDescent="0.2">
      <c r="B38" s="170" t="s">
        <v>50</v>
      </c>
      <c r="C38" s="34">
        <v>210</v>
      </c>
      <c r="D38" s="29" t="s">
        <v>51</v>
      </c>
    </row>
    <row r="39" spans="2:14" x14ac:dyDescent="0.2">
      <c r="D39" s="18"/>
    </row>
    <row r="42" spans="2:14" x14ac:dyDescent="0.2">
      <c r="D42" s="18"/>
    </row>
    <row r="44" spans="2:14" x14ac:dyDescent="0.2">
      <c r="E44" s="18"/>
    </row>
    <row r="45" spans="2:14" x14ac:dyDescent="0.2">
      <c r="E45" s="18"/>
    </row>
    <row r="46" spans="2:14" x14ac:dyDescent="0.2">
      <c r="E46" s="18"/>
    </row>
    <row r="47" spans="2:14" x14ac:dyDescent="0.2">
      <c r="E47" s="18"/>
    </row>
    <row r="48" spans="2:14" x14ac:dyDescent="0.2">
      <c r="E48" s="18"/>
    </row>
    <row r="49" spans="5:5" x14ac:dyDescent="0.2">
      <c r="E49" s="18"/>
    </row>
    <row r="50" spans="5:5" x14ac:dyDescent="0.2">
      <c r="E50" s="18"/>
    </row>
    <row r="51" spans="5:5" x14ac:dyDescent="0.2">
      <c r="E51" s="18"/>
    </row>
    <row r="52" spans="5:5" x14ac:dyDescent="0.2">
      <c r="E52" s="18"/>
    </row>
    <row r="53" spans="5:5" x14ac:dyDescent="0.2">
      <c r="E53" s="18"/>
    </row>
    <row r="54" spans="5:5" x14ac:dyDescent="0.2">
      <c r="E54" s="18"/>
    </row>
    <row r="55" spans="5:5" x14ac:dyDescent="0.2">
      <c r="E55" s="18"/>
    </row>
    <row r="56" spans="5:5" x14ac:dyDescent="0.2">
      <c r="E56" s="18"/>
    </row>
    <row r="57" spans="5:5" x14ac:dyDescent="0.2">
      <c r="E57" s="18"/>
    </row>
    <row r="58" spans="5:5" x14ac:dyDescent="0.2">
      <c r="E58" s="18"/>
    </row>
    <row r="59" spans="5:5" x14ac:dyDescent="0.2">
      <c r="E59" s="18"/>
    </row>
    <row r="60" spans="5:5" x14ac:dyDescent="0.2">
      <c r="E60" s="18"/>
    </row>
    <row r="61" spans="5:5" x14ac:dyDescent="0.2">
      <c r="E61" s="18"/>
    </row>
    <row r="62" spans="5:5" x14ac:dyDescent="0.2">
      <c r="E62" s="18"/>
    </row>
    <row r="63" spans="5:5" x14ac:dyDescent="0.2">
      <c r="E63" s="18"/>
    </row>
    <row r="64" spans="5:5" x14ac:dyDescent="0.2">
      <c r="E64" s="18"/>
    </row>
    <row r="65" spans="5:5" x14ac:dyDescent="0.2">
      <c r="E65" s="18"/>
    </row>
    <row r="66" spans="5:5" x14ac:dyDescent="0.2">
      <c r="E66" s="18"/>
    </row>
    <row r="67" spans="5:5" x14ac:dyDescent="0.2">
      <c r="E67" s="18"/>
    </row>
    <row r="68" spans="5:5" x14ac:dyDescent="0.2">
      <c r="E68" s="18"/>
    </row>
    <row r="69" spans="5:5" x14ac:dyDescent="0.2">
      <c r="E69" s="18"/>
    </row>
    <row r="70" spans="5:5" x14ac:dyDescent="0.2">
      <c r="E70" s="18"/>
    </row>
    <row r="71" spans="5:5" x14ac:dyDescent="0.2">
      <c r="E71" s="18"/>
    </row>
    <row r="72" spans="5:5" x14ac:dyDescent="0.2">
      <c r="E72" s="18"/>
    </row>
    <row r="73" spans="5:5" x14ac:dyDescent="0.2">
      <c r="E73" s="18"/>
    </row>
    <row r="74" spans="5:5" x14ac:dyDescent="0.2">
      <c r="E74" s="18"/>
    </row>
    <row r="75" spans="5:5" x14ac:dyDescent="0.2">
      <c r="E75" s="18"/>
    </row>
    <row r="76" spans="5:5" x14ac:dyDescent="0.2">
      <c r="E76" s="18"/>
    </row>
    <row r="77" spans="5:5" x14ac:dyDescent="0.2">
      <c r="E77" s="18"/>
    </row>
    <row r="78" spans="5:5" x14ac:dyDescent="0.2">
      <c r="E78" s="18"/>
    </row>
    <row r="79" spans="5:5" x14ac:dyDescent="0.2">
      <c r="E79" s="18"/>
    </row>
    <row r="80" spans="5:5" x14ac:dyDescent="0.2">
      <c r="E80" s="18"/>
    </row>
    <row r="81" spans="5:5" x14ac:dyDescent="0.2">
      <c r="E81" s="18"/>
    </row>
    <row r="82" spans="5:5" x14ac:dyDescent="0.2">
      <c r="E82" s="18"/>
    </row>
    <row r="83" spans="5:5" x14ac:dyDescent="0.2">
      <c r="E83" s="18"/>
    </row>
    <row r="84" spans="5:5" x14ac:dyDescent="0.2">
      <c r="E84" s="18"/>
    </row>
    <row r="85" spans="5:5" x14ac:dyDescent="0.2">
      <c r="E85" s="18"/>
    </row>
    <row r="86" spans="5:5" x14ac:dyDescent="0.2">
      <c r="E86" s="18"/>
    </row>
    <row r="87" spans="5:5" x14ac:dyDescent="0.2">
      <c r="E87" s="18"/>
    </row>
    <row r="88" spans="5:5" x14ac:dyDescent="0.2">
      <c r="E88" s="18"/>
    </row>
    <row r="89" spans="5:5" x14ac:dyDescent="0.2">
      <c r="E89" s="18"/>
    </row>
    <row r="90" spans="5:5" x14ac:dyDescent="0.2">
      <c r="E90" s="18"/>
    </row>
    <row r="91" spans="5:5" x14ac:dyDescent="0.2">
      <c r="E91" s="18"/>
    </row>
    <row r="92" spans="5:5" x14ac:dyDescent="0.2">
      <c r="E92" s="18"/>
    </row>
    <row r="93" spans="5:5" x14ac:dyDescent="0.2">
      <c r="E93" s="18"/>
    </row>
    <row r="94" spans="5:5" x14ac:dyDescent="0.2">
      <c r="E94" s="18"/>
    </row>
    <row r="95" spans="5:5" x14ac:dyDescent="0.2">
      <c r="E95" s="18"/>
    </row>
    <row r="96" spans="5:5" x14ac:dyDescent="0.2">
      <c r="E96" s="18"/>
    </row>
    <row r="97" spans="5:5" x14ac:dyDescent="0.2">
      <c r="E97" s="18"/>
    </row>
    <row r="98" spans="5:5" x14ac:dyDescent="0.2">
      <c r="E98" s="18"/>
    </row>
    <row r="99" spans="5:5" x14ac:dyDescent="0.2">
      <c r="E99" s="18"/>
    </row>
    <row r="100" spans="5:5" x14ac:dyDescent="0.2">
      <c r="E100" s="18"/>
    </row>
    <row r="101" spans="5:5" x14ac:dyDescent="0.2">
      <c r="E101" s="18"/>
    </row>
    <row r="102" spans="5:5" x14ac:dyDescent="0.2">
      <c r="E102" s="18"/>
    </row>
    <row r="103" spans="5:5" x14ac:dyDescent="0.2">
      <c r="E103" s="18"/>
    </row>
    <row r="104" spans="5:5" x14ac:dyDescent="0.2">
      <c r="E104" s="18"/>
    </row>
    <row r="105" spans="5:5" x14ac:dyDescent="0.2">
      <c r="E105" s="18"/>
    </row>
    <row r="106" spans="5:5" x14ac:dyDescent="0.2">
      <c r="E106" s="18"/>
    </row>
    <row r="107" spans="5:5" x14ac:dyDescent="0.2">
      <c r="E107" s="18"/>
    </row>
    <row r="108" spans="5:5" x14ac:dyDescent="0.2">
      <c r="E108" s="18"/>
    </row>
    <row r="109" spans="5:5" x14ac:dyDescent="0.2">
      <c r="E109" s="18"/>
    </row>
    <row r="110" spans="5:5" x14ac:dyDescent="0.2">
      <c r="E110" s="18"/>
    </row>
    <row r="111" spans="5:5" x14ac:dyDescent="0.2">
      <c r="E111" s="18"/>
    </row>
    <row r="112" spans="5:5" x14ac:dyDescent="0.2">
      <c r="E112" s="18"/>
    </row>
    <row r="113" spans="5:5" x14ac:dyDescent="0.2">
      <c r="E113" s="18"/>
    </row>
    <row r="114" spans="5:5" x14ac:dyDescent="0.2">
      <c r="E114" s="18"/>
    </row>
    <row r="115" spans="5:5" x14ac:dyDescent="0.2">
      <c r="E115" s="18"/>
    </row>
    <row r="116" spans="5:5" x14ac:dyDescent="0.2">
      <c r="E116" s="18"/>
    </row>
    <row r="117" spans="5:5" x14ac:dyDescent="0.2">
      <c r="E117" s="18"/>
    </row>
    <row r="118" spans="5:5" x14ac:dyDescent="0.2">
      <c r="E118" s="18"/>
    </row>
    <row r="119" spans="5:5" x14ac:dyDescent="0.2">
      <c r="E119" s="18"/>
    </row>
    <row r="120" spans="5:5" x14ac:dyDescent="0.2">
      <c r="E120" s="18"/>
    </row>
    <row r="121" spans="5:5" x14ac:dyDescent="0.2">
      <c r="E121" s="18"/>
    </row>
    <row r="122" spans="5:5" x14ac:dyDescent="0.2">
      <c r="E122" s="18"/>
    </row>
    <row r="123" spans="5:5" x14ac:dyDescent="0.2">
      <c r="E123" s="18"/>
    </row>
    <row r="124" spans="5:5" x14ac:dyDescent="0.2">
      <c r="E124" s="18"/>
    </row>
    <row r="125" spans="5:5" x14ac:dyDescent="0.2">
      <c r="E125" s="18"/>
    </row>
  </sheetData>
  <autoFilter ref="B7:Q31" xr:uid="{00000000-0009-0000-0000-000004000000}">
    <filterColumn colId="14" showButton="0"/>
  </autoFilter>
  <mergeCells count="14">
    <mergeCell ref="B2:C3"/>
    <mergeCell ref="B33:C33"/>
    <mergeCell ref="F5:G5"/>
    <mergeCell ref="G6:G7"/>
    <mergeCell ref="P5:Q7"/>
    <mergeCell ref="I6:I7"/>
    <mergeCell ref="B5:B7"/>
    <mergeCell ref="C5:C7"/>
    <mergeCell ref="D5:E5"/>
    <mergeCell ref="H5:I5"/>
    <mergeCell ref="O5:O7"/>
    <mergeCell ref="D6:E6"/>
    <mergeCell ref="J5:L6"/>
    <mergeCell ref="M5:M7"/>
  </mergeCells>
  <phoneticPr fontId="14" type="noConversion"/>
  <conditionalFormatting sqref="C8:C31">
    <cfRule type="duplicateValues" dxfId="1" priority="52"/>
  </conditionalFormatting>
  <conditionalFormatting sqref="J8:J31">
    <cfRule type="cellIs" dxfId="0" priority="1" operator="greaterThanOrEqual">
      <formula>1.75</formula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5483D15-0724-4411-AD7E-FCEEB5A0A562}">
          <x14:formula1>
            <xm:f>'list rate unit'!$B$6:$B$27</xm:f>
          </x14:formula1>
          <xm:sqref>P1:P1048576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B2:L14"/>
  <sheetViews>
    <sheetView tabSelected="1" zoomScale="125" workbookViewId="0">
      <pane xSplit="3" ySplit="7" topLeftCell="D8" activePane="bottomRight" state="frozenSplit"/>
      <selection pane="topRight" activeCell="C1" sqref="C1"/>
      <selection pane="bottomLeft" activeCell="A7" sqref="A7"/>
      <selection pane="bottomRight" activeCell="E14" sqref="E14"/>
    </sheetView>
  </sheetViews>
  <sheetFormatPr baseColWidth="10" defaultColWidth="9.1640625" defaultRowHeight="14" x14ac:dyDescent="0.2"/>
  <cols>
    <col min="1" max="1" width="9.1640625" style="15"/>
    <col min="2" max="2" width="11.5" style="15" customWidth="1"/>
    <col min="3" max="3" width="25.1640625" style="15" bestFit="1" customWidth="1"/>
    <col min="4" max="4" width="19.5" style="15" customWidth="1"/>
    <col min="5" max="5" width="12.6640625" style="15" customWidth="1"/>
    <col min="6" max="6" width="18.6640625" style="15" customWidth="1"/>
    <col min="7" max="7" width="11" style="15" customWidth="1"/>
    <col min="8" max="8" width="20.83203125" style="15" customWidth="1"/>
    <col min="9" max="9" width="11" style="15" customWidth="1"/>
    <col min="10" max="10" width="18.5" style="15" customWidth="1"/>
    <col min="11" max="11" width="16.5" style="15" bestFit="1" customWidth="1"/>
    <col min="12" max="12" width="25.1640625" style="15" bestFit="1" customWidth="1"/>
    <col min="13" max="16384" width="9.1640625" style="15"/>
  </cols>
  <sheetData>
    <row r="2" spans="2:12" x14ac:dyDescent="0.2">
      <c r="B2" s="195" t="s">
        <v>81</v>
      </c>
      <c r="C2" s="195"/>
    </row>
    <row r="3" spans="2:12" x14ac:dyDescent="0.2">
      <c r="B3" s="195"/>
      <c r="C3" s="195"/>
    </row>
    <row r="5" spans="2:12" ht="15" customHeight="1" x14ac:dyDescent="0.2">
      <c r="B5" s="194" t="s">
        <v>1</v>
      </c>
      <c r="C5" s="194" t="s">
        <v>86</v>
      </c>
      <c r="D5" s="194" t="s">
        <v>89</v>
      </c>
      <c r="E5" s="198" t="s">
        <v>37</v>
      </c>
      <c r="F5" s="198"/>
      <c r="G5" s="194" t="s">
        <v>88</v>
      </c>
      <c r="H5" s="196" t="s">
        <v>80</v>
      </c>
      <c r="I5" s="31"/>
      <c r="J5" s="194" t="s">
        <v>47</v>
      </c>
      <c r="K5" s="194" t="s">
        <v>87</v>
      </c>
      <c r="L5" s="194"/>
    </row>
    <row r="6" spans="2:12" ht="15" customHeight="1" x14ac:dyDescent="0.2">
      <c r="B6" s="194"/>
      <c r="C6" s="194"/>
      <c r="D6" s="194"/>
      <c r="E6" s="38" t="s">
        <v>27</v>
      </c>
      <c r="F6" s="194" t="s">
        <v>28</v>
      </c>
      <c r="G6" s="194"/>
      <c r="H6" s="196"/>
      <c r="I6" s="31"/>
      <c r="J6" s="194"/>
      <c r="K6" s="194"/>
      <c r="L6" s="194"/>
    </row>
    <row r="7" spans="2:12" x14ac:dyDescent="0.2">
      <c r="B7" s="194"/>
      <c r="C7" s="194"/>
      <c r="D7" s="38" t="s">
        <v>45</v>
      </c>
      <c r="E7" s="38" t="s">
        <v>32</v>
      </c>
      <c r="F7" s="194"/>
      <c r="G7" s="38" t="s">
        <v>53</v>
      </c>
      <c r="H7" s="196"/>
      <c r="I7" s="31"/>
      <c r="J7" s="194"/>
      <c r="K7" s="194"/>
      <c r="L7" s="194"/>
    </row>
    <row r="8" spans="2:12" x14ac:dyDescent="0.2">
      <c r="B8" s="40">
        <f>ROW(B8)-7</f>
        <v>1</v>
      </c>
      <c r="C8" s="40" t="s">
        <v>304</v>
      </c>
      <c r="D8" s="43">
        <f>IFERROR(VLOOKUP(K8,'list rate unit'!$B$6:$K$28,10,FALSE),0)</f>
        <v>210000</v>
      </c>
      <c r="E8" s="41">
        <v>1188</v>
      </c>
      <c r="F8" s="43">
        <f>E8*$C$13</f>
        <v>0</v>
      </c>
      <c r="G8" s="41"/>
      <c r="H8" s="44">
        <f>D8+F8</f>
        <v>210000</v>
      </c>
      <c r="I8" s="18"/>
      <c r="J8" s="40"/>
      <c r="K8" s="40" t="str">
        <f>VLOOKUP(L8,'list rate unit'!O:P,2,FALSE)</f>
        <v>FM 260 Ti</v>
      </c>
      <c r="L8" s="40" t="str">
        <f t="shared" ref="L8" si="0">C8</f>
        <v>FUEL TRUCK - 02</v>
      </c>
    </row>
    <row r="9" spans="2:12" x14ac:dyDescent="0.2">
      <c r="D9" s="30"/>
      <c r="E9" s="18"/>
      <c r="F9" s="30"/>
      <c r="G9" s="18"/>
      <c r="H9" s="18"/>
      <c r="I9" s="18"/>
    </row>
    <row r="10" spans="2:12" ht="15.75" customHeight="1" x14ac:dyDescent="0.2">
      <c r="B10" s="193" t="s">
        <v>21</v>
      </c>
      <c r="C10" s="193"/>
      <c r="D10" s="50">
        <f>SUM(D8:D9)</f>
        <v>210000</v>
      </c>
      <c r="E10" s="45">
        <f>SUM(E8:E9)</f>
        <v>1188</v>
      </c>
      <c r="F10" s="46">
        <f>SUM(F8:F9)</f>
        <v>0</v>
      </c>
      <c r="G10" s="45">
        <f>IFERROR(E10/#REF!,0)</f>
        <v>0</v>
      </c>
      <c r="H10" s="47">
        <f>SUM(H8:H9)</f>
        <v>210000</v>
      </c>
      <c r="I10" s="17"/>
    </row>
    <row r="12" spans="2:12" x14ac:dyDescent="0.2">
      <c r="B12" s="170" t="s">
        <v>34</v>
      </c>
      <c r="C12" s="29">
        <f>'REPORT unit DT HAUL'!C36</f>
        <v>14848</v>
      </c>
    </row>
    <row r="13" spans="2:12" x14ac:dyDescent="0.2">
      <c r="B13" s="170" t="s">
        <v>35</v>
      </c>
      <c r="C13" s="29">
        <f>SUMMARY!$J$13</f>
        <v>0</v>
      </c>
    </row>
    <row r="14" spans="2:12" x14ac:dyDescent="0.2">
      <c r="J14" s="27"/>
    </row>
  </sheetData>
  <mergeCells count="11">
    <mergeCell ref="B10:C10"/>
    <mergeCell ref="B2:C3"/>
    <mergeCell ref="J5:J7"/>
    <mergeCell ref="F6:F7"/>
    <mergeCell ref="K5:L7"/>
    <mergeCell ref="D5:D6"/>
    <mergeCell ref="G5:G6"/>
    <mergeCell ref="B5:B7"/>
    <mergeCell ref="C5:C7"/>
    <mergeCell ref="E5:F5"/>
    <mergeCell ref="H5:H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F1809B-215F-4169-A813-C9E878219BF0}">
          <x14:formula1>
            <xm:f>'list rate unit'!$B$4:$B$28</xm:f>
          </x14:formula1>
          <xm:sqref>K1:K7 K9:K1048576</xm:sqref>
        </x14:dataValidation>
        <x14:dataValidation type="list" allowBlank="1" showInputMessage="1" showErrorMessage="1" xr:uid="{75B9498A-83E4-4815-A39E-ADBBDB20D76B}">
          <x14:formula1>
            <xm:f>'list rate unit'!$B$6:$B$27</xm:f>
          </x14:formula1>
          <xm:sqref>K8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AL40"/>
  <sheetViews>
    <sheetView zoomScale="85" zoomScaleNormal="85" workbookViewId="0">
      <pane xSplit="4" ySplit="3" topLeftCell="E4" activePane="bottomRight" state="frozenSplit"/>
      <selection activeCell="AI27" sqref="E4:AI27"/>
      <selection pane="topRight" activeCell="AI27" sqref="E4:AI27"/>
      <selection pane="bottomLeft" activeCell="AI27" sqref="E4:AI27"/>
      <selection pane="bottomRight" activeCell="AI27" sqref="E4:AI27"/>
    </sheetView>
  </sheetViews>
  <sheetFormatPr baseColWidth="10" defaultColWidth="8.83203125" defaultRowHeight="15" x14ac:dyDescent="0.2"/>
  <cols>
    <col min="1" max="1" width="11.1640625" style="4" customWidth="1"/>
    <col min="2" max="2" width="21" style="1" bestFit="1" customWidth="1"/>
    <col min="3" max="3" width="3.83203125" style="1" bestFit="1" customWidth="1"/>
    <col min="4" max="4" width="22.1640625" style="1" customWidth="1"/>
    <col min="5" max="6" width="9.6640625" style="1" customWidth="1"/>
    <col min="7" max="7" width="10.33203125" style="1" bestFit="1" customWidth="1"/>
    <col min="8" max="8" width="9.6640625" style="1" customWidth="1"/>
    <col min="9" max="9" width="10.5" style="1" bestFit="1" customWidth="1"/>
    <col min="10" max="13" width="9.6640625" style="1" customWidth="1"/>
    <col min="14" max="14" width="11.33203125" style="1" bestFit="1" customWidth="1"/>
    <col min="15" max="24" width="9.6640625" style="1" customWidth="1"/>
    <col min="25" max="25" width="10.33203125" style="1" bestFit="1" customWidth="1"/>
    <col min="26" max="30" width="9.6640625" style="1" customWidth="1"/>
    <col min="31" max="31" width="10.5" style="1" customWidth="1"/>
    <col min="32" max="35" width="9.6640625" style="1" customWidth="1"/>
    <col min="36" max="36" width="14.83203125" style="2" bestFit="1" customWidth="1"/>
    <col min="37" max="37" width="15" style="1" bestFit="1" customWidth="1"/>
    <col min="38" max="256" width="9.1640625" style="1"/>
    <col min="257" max="257" width="21" style="1" bestFit="1" customWidth="1"/>
    <col min="258" max="258" width="3.83203125" style="1" bestFit="1" customWidth="1"/>
    <col min="259" max="259" width="21" style="1" bestFit="1" customWidth="1"/>
    <col min="260" max="260" width="11.83203125" style="1" customWidth="1"/>
    <col min="261" max="261" width="11.5" style="1" customWidth="1"/>
    <col min="262" max="262" width="12" style="1" customWidth="1"/>
    <col min="263" max="263" width="11.5" style="1" customWidth="1"/>
    <col min="264" max="265" width="10.33203125" style="1" customWidth="1"/>
    <col min="266" max="280" width="8.83203125" style="1" customWidth="1"/>
    <col min="281" max="281" width="10.5" style="1" bestFit="1" customWidth="1"/>
    <col min="282" max="284" width="8.83203125" style="1" customWidth="1"/>
    <col min="285" max="286" width="9.1640625" style="1"/>
    <col min="287" max="287" width="9.5" style="1" customWidth="1"/>
    <col min="288" max="288" width="10.33203125" style="1" customWidth="1"/>
    <col min="289" max="289" width="9.6640625" style="1" customWidth="1"/>
    <col min="290" max="290" width="10.33203125" style="1" customWidth="1"/>
    <col min="291" max="291" width="14.83203125" style="1" bestFit="1" customWidth="1"/>
    <col min="292" max="512" width="9.1640625" style="1"/>
    <col min="513" max="513" width="21" style="1" bestFit="1" customWidth="1"/>
    <col min="514" max="514" width="3.83203125" style="1" bestFit="1" customWidth="1"/>
    <col min="515" max="515" width="21" style="1" bestFit="1" customWidth="1"/>
    <col min="516" max="516" width="11.83203125" style="1" customWidth="1"/>
    <col min="517" max="517" width="11.5" style="1" customWidth="1"/>
    <col min="518" max="518" width="12" style="1" customWidth="1"/>
    <col min="519" max="519" width="11.5" style="1" customWidth="1"/>
    <col min="520" max="521" width="10.33203125" style="1" customWidth="1"/>
    <col min="522" max="536" width="8.83203125" style="1" customWidth="1"/>
    <col min="537" max="537" width="10.5" style="1" bestFit="1" customWidth="1"/>
    <col min="538" max="540" width="8.83203125" style="1" customWidth="1"/>
    <col min="541" max="542" width="9.1640625" style="1"/>
    <col min="543" max="543" width="9.5" style="1" customWidth="1"/>
    <col min="544" max="544" width="10.33203125" style="1" customWidth="1"/>
    <col min="545" max="545" width="9.6640625" style="1" customWidth="1"/>
    <col min="546" max="546" width="10.33203125" style="1" customWidth="1"/>
    <col min="547" max="547" width="14.83203125" style="1" bestFit="1" customWidth="1"/>
    <col min="548" max="768" width="9.1640625" style="1"/>
    <col min="769" max="769" width="21" style="1" bestFit="1" customWidth="1"/>
    <col min="770" max="770" width="3.83203125" style="1" bestFit="1" customWidth="1"/>
    <col min="771" max="771" width="21" style="1" bestFit="1" customWidth="1"/>
    <col min="772" max="772" width="11.83203125" style="1" customWidth="1"/>
    <col min="773" max="773" width="11.5" style="1" customWidth="1"/>
    <col min="774" max="774" width="12" style="1" customWidth="1"/>
    <col min="775" max="775" width="11.5" style="1" customWidth="1"/>
    <col min="776" max="777" width="10.33203125" style="1" customWidth="1"/>
    <col min="778" max="792" width="8.83203125" style="1" customWidth="1"/>
    <col min="793" max="793" width="10.5" style="1" bestFit="1" customWidth="1"/>
    <col min="794" max="796" width="8.83203125" style="1" customWidth="1"/>
    <col min="797" max="798" width="9.1640625" style="1"/>
    <col min="799" max="799" width="9.5" style="1" customWidth="1"/>
    <col min="800" max="800" width="10.33203125" style="1" customWidth="1"/>
    <col min="801" max="801" width="9.6640625" style="1" customWidth="1"/>
    <col min="802" max="802" width="10.33203125" style="1" customWidth="1"/>
    <col min="803" max="803" width="14.83203125" style="1" bestFit="1" customWidth="1"/>
    <col min="804" max="1024" width="9.1640625" style="1"/>
    <col min="1025" max="1025" width="21" style="1" bestFit="1" customWidth="1"/>
    <col min="1026" max="1026" width="3.83203125" style="1" bestFit="1" customWidth="1"/>
    <col min="1027" max="1027" width="21" style="1" bestFit="1" customWidth="1"/>
    <col min="1028" max="1028" width="11.83203125" style="1" customWidth="1"/>
    <col min="1029" max="1029" width="11.5" style="1" customWidth="1"/>
    <col min="1030" max="1030" width="12" style="1" customWidth="1"/>
    <col min="1031" max="1031" width="11.5" style="1" customWidth="1"/>
    <col min="1032" max="1033" width="10.33203125" style="1" customWidth="1"/>
    <col min="1034" max="1048" width="8.83203125" style="1" customWidth="1"/>
    <col min="1049" max="1049" width="10.5" style="1" bestFit="1" customWidth="1"/>
    <col min="1050" max="1052" width="8.83203125" style="1" customWidth="1"/>
    <col min="1053" max="1054" width="9.1640625" style="1"/>
    <col min="1055" max="1055" width="9.5" style="1" customWidth="1"/>
    <col min="1056" max="1056" width="10.33203125" style="1" customWidth="1"/>
    <col min="1057" max="1057" width="9.6640625" style="1" customWidth="1"/>
    <col min="1058" max="1058" width="10.33203125" style="1" customWidth="1"/>
    <col min="1059" max="1059" width="14.83203125" style="1" bestFit="1" customWidth="1"/>
    <col min="1060" max="1280" width="9.1640625" style="1"/>
    <col min="1281" max="1281" width="21" style="1" bestFit="1" customWidth="1"/>
    <col min="1282" max="1282" width="3.83203125" style="1" bestFit="1" customWidth="1"/>
    <col min="1283" max="1283" width="21" style="1" bestFit="1" customWidth="1"/>
    <col min="1284" max="1284" width="11.83203125" style="1" customWidth="1"/>
    <col min="1285" max="1285" width="11.5" style="1" customWidth="1"/>
    <col min="1286" max="1286" width="12" style="1" customWidth="1"/>
    <col min="1287" max="1287" width="11.5" style="1" customWidth="1"/>
    <col min="1288" max="1289" width="10.33203125" style="1" customWidth="1"/>
    <col min="1290" max="1304" width="8.83203125" style="1" customWidth="1"/>
    <col min="1305" max="1305" width="10.5" style="1" bestFit="1" customWidth="1"/>
    <col min="1306" max="1308" width="8.83203125" style="1" customWidth="1"/>
    <col min="1309" max="1310" width="9.1640625" style="1"/>
    <col min="1311" max="1311" width="9.5" style="1" customWidth="1"/>
    <col min="1312" max="1312" width="10.33203125" style="1" customWidth="1"/>
    <col min="1313" max="1313" width="9.6640625" style="1" customWidth="1"/>
    <col min="1314" max="1314" width="10.33203125" style="1" customWidth="1"/>
    <col min="1315" max="1315" width="14.83203125" style="1" bestFit="1" customWidth="1"/>
    <col min="1316" max="1536" width="9.1640625" style="1"/>
    <col min="1537" max="1537" width="21" style="1" bestFit="1" customWidth="1"/>
    <col min="1538" max="1538" width="3.83203125" style="1" bestFit="1" customWidth="1"/>
    <col min="1539" max="1539" width="21" style="1" bestFit="1" customWidth="1"/>
    <col min="1540" max="1540" width="11.83203125" style="1" customWidth="1"/>
    <col min="1541" max="1541" width="11.5" style="1" customWidth="1"/>
    <col min="1542" max="1542" width="12" style="1" customWidth="1"/>
    <col min="1543" max="1543" width="11.5" style="1" customWidth="1"/>
    <col min="1544" max="1545" width="10.33203125" style="1" customWidth="1"/>
    <col min="1546" max="1560" width="8.83203125" style="1" customWidth="1"/>
    <col min="1561" max="1561" width="10.5" style="1" bestFit="1" customWidth="1"/>
    <col min="1562" max="1564" width="8.83203125" style="1" customWidth="1"/>
    <col min="1565" max="1566" width="9.1640625" style="1"/>
    <col min="1567" max="1567" width="9.5" style="1" customWidth="1"/>
    <col min="1568" max="1568" width="10.33203125" style="1" customWidth="1"/>
    <col min="1569" max="1569" width="9.6640625" style="1" customWidth="1"/>
    <col min="1570" max="1570" width="10.33203125" style="1" customWidth="1"/>
    <col min="1571" max="1571" width="14.83203125" style="1" bestFit="1" customWidth="1"/>
    <col min="1572" max="1792" width="9.1640625" style="1"/>
    <col min="1793" max="1793" width="21" style="1" bestFit="1" customWidth="1"/>
    <col min="1794" max="1794" width="3.83203125" style="1" bestFit="1" customWidth="1"/>
    <col min="1795" max="1795" width="21" style="1" bestFit="1" customWidth="1"/>
    <col min="1796" max="1796" width="11.83203125" style="1" customWidth="1"/>
    <col min="1797" max="1797" width="11.5" style="1" customWidth="1"/>
    <col min="1798" max="1798" width="12" style="1" customWidth="1"/>
    <col min="1799" max="1799" width="11.5" style="1" customWidth="1"/>
    <col min="1800" max="1801" width="10.33203125" style="1" customWidth="1"/>
    <col min="1802" max="1816" width="8.83203125" style="1" customWidth="1"/>
    <col min="1817" max="1817" width="10.5" style="1" bestFit="1" customWidth="1"/>
    <col min="1818" max="1820" width="8.83203125" style="1" customWidth="1"/>
    <col min="1821" max="1822" width="9.1640625" style="1"/>
    <col min="1823" max="1823" width="9.5" style="1" customWidth="1"/>
    <col min="1824" max="1824" width="10.33203125" style="1" customWidth="1"/>
    <col min="1825" max="1825" width="9.6640625" style="1" customWidth="1"/>
    <col min="1826" max="1826" width="10.33203125" style="1" customWidth="1"/>
    <col min="1827" max="1827" width="14.83203125" style="1" bestFit="1" customWidth="1"/>
    <col min="1828" max="2048" width="9.1640625" style="1"/>
    <col min="2049" max="2049" width="21" style="1" bestFit="1" customWidth="1"/>
    <col min="2050" max="2050" width="3.83203125" style="1" bestFit="1" customWidth="1"/>
    <col min="2051" max="2051" width="21" style="1" bestFit="1" customWidth="1"/>
    <col min="2052" max="2052" width="11.83203125" style="1" customWidth="1"/>
    <col min="2053" max="2053" width="11.5" style="1" customWidth="1"/>
    <col min="2054" max="2054" width="12" style="1" customWidth="1"/>
    <col min="2055" max="2055" width="11.5" style="1" customWidth="1"/>
    <col min="2056" max="2057" width="10.33203125" style="1" customWidth="1"/>
    <col min="2058" max="2072" width="8.83203125" style="1" customWidth="1"/>
    <col min="2073" max="2073" width="10.5" style="1" bestFit="1" customWidth="1"/>
    <col min="2074" max="2076" width="8.83203125" style="1" customWidth="1"/>
    <col min="2077" max="2078" width="9.1640625" style="1"/>
    <col min="2079" max="2079" width="9.5" style="1" customWidth="1"/>
    <col min="2080" max="2080" width="10.33203125" style="1" customWidth="1"/>
    <col min="2081" max="2081" width="9.6640625" style="1" customWidth="1"/>
    <col min="2082" max="2082" width="10.33203125" style="1" customWidth="1"/>
    <col min="2083" max="2083" width="14.83203125" style="1" bestFit="1" customWidth="1"/>
    <col min="2084" max="2304" width="9.1640625" style="1"/>
    <col min="2305" max="2305" width="21" style="1" bestFit="1" customWidth="1"/>
    <col min="2306" max="2306" width="3.83203125" style="1" bestFit="1" customWidth="1"/>
    <col min="2307" max="2307" width="21" style="1" bestFit="1" customWidth="1"/>
    <col min="2308" max="2308" width="11.83203125" style="1" customWidth="1"/>
    <col min="2309" max="2309" width="11.5" style="1" customWidth="1"/>
    <col min="2310" max="2310" width="12" style="1" customWidth="1"/>
    <col min="2311" max="2311" width="11.5" style="1" customWidth="1"/>
    <col min="2312" max="2313" width="10.33203125" style="1" customWidth="1"/>
    <col min="2314" max="2328" width="8.83203125" style="1" customWidth="1"/>
    <col min="2329" max="2329" width="10.5" style="1" bestFit="1" customWidth="1"/>
    <col min="2330" max="2332" width="8.83203125" style="1" customWidth="1"/>
    <col min="2333" max="2334" width="9.1640625" style="1"/>
    <col min="2335" max="2335" width="9.5" style="1" customWidth="1"/>
    <col min="2336" max="2336" width="10.33203125" style="1" customWidth="1"/>
    <col min="2337" max="2337" width="9.6640625" style="1" customWidth="1"/>
    <col min="2338" max="2338" width="10.33203125" style="1" customWidth="1"/>
    <col min="2339" max="2339" width="14.83203125" style="1" bestFit="1" customWidth="1"/>
    <col min="2340" max="2560" width="9.1640625" style="1"/>
    <col min="2561" max="2561" width="21" style="1" bestFit="1" customWidth="1"/>
    <col min="2562" max="2562" width="3.83203125" style="1" bestFit="1" customWidth="1"/>
    <col min="2563" max="2563" width="21" style="1" bestFit="1" customWidth="1"/>
    <col min="2564" max="2564" width="11.83203125" style="1" customWidth="1"/>
    <col min="2565" max="2565" width="11.5" style="1" customWidth="1"/>
    <col min="2566" max="2566" width="12" style="1" customWidth="1"/>
    <col min="2567" max="2567" width="11.5" style="1" customWidth="1"/>
    <col min="2568" max="2569" width="10.33203125" style="1" customWidth="1"/>
    <col min="2570" max="2584" width="8.83203125" style="1" customWidth="1"/>
    <col min="2585" max="2585" width="10.5" style="1" bestFit="1" customWidth="1"/>
    <col min="2586" max="2588" width="8.83203125" style="1" customWidth="1"/>
    <col min="2589" max="2590" width="9.1640625" style="1"/>
    <col min="2591" max="2591" width="9.5" style="1" customWidth="1"/>
    <col min="2592" max="2592" width="10.33203125" style="1" customWidth="1"/>
    <col min="2593" max="2593" width="9.6640625" style="1" customWidth="1"/>
    <col min="2594" max="2594" width="10.33203125" style="1" customWidth="1"/>
    <col min="2595" max="2595" width="14.83203125" style="1" bestFit="1" customWidth="1"/>
    <col min="2596" max="2816" width="9.1640625" style="1"/>
    <col min="2817" max="2817" width="21" style="1" bestFit="1" customWidth="1"/>
    <col min="2818" max="2818" width="3.83203125" style="1" bestFit="1" customWidth="1"/>
    <col min="2819" max="2819" width="21" style="1" bestFit="1" customWidth="1"/>
    <col min="2820" max="2820" width="11.83203125" style="1" customWidth="1"/>
    <col min="2821" max="2821" width="11.5" style="1" customWidth="1"/>
    <col min="2822" max="2822" width="12" style="1" customWidth="1"/>
    <col min="2823" max="2823" width="11.5" style="1" customWidth="1"/>
    <col min="2824" max="2825" width="10.33203125" style="1" customWidth="1"/>
    <col min="2826" max="2840" width="8.83203125" style="1" customWidth="1"/>
    <col min="2841" max="2841" width="10.5" style="1" bestFit="1" customWidth="1"/>
    <col min="2842" max="2844" width="8.83203125" style="1" customWidth="1"/>
    <col min="2845" max="2846" width="9.1640625" style="1"/>
    <col min="2847" max="2847" width="9.5" style="1" customWidth="1"/>
    <col min="2848" max="2848" width="10.33203125" style="1" customWidth="1"/>
    <col min="2849" max="2849" width="9.6640625" style="1" customWidth="1"/>
    <col min="2850" max="2850" width="10.33203125" style="1" customWidth="1"/>
    <col min="2851" max="2851" width="14.83203125" style="1" bestFit="1" customWidth="1"/>
    <col min="2852" max="3072" width="9.1640625" style="1"/>
    <col min="3073" max="3073" width="21" style="1" bestFit="1" customWidth="1"/>
    <col min="3074" max="3074" width="3.83203125" style="1" bestFit="1" customWidth="1"/>
    <col min="3075" max="3075" width="21" style="1" bestFit="1" customWidth="1"/>
    <col min="3076" max="3076" width="11.83203125" style="1" customWidth="1"/>
    <col min="3077" max="3077" width="11.5" style="1" customWidth="1"/>
    <col min="3078" max="3078" width="12" style="1" customWidth="1"/>
    <col min="3079" max="3079" width="11.5" style="1" customWidth="1"/>
    <col min="3080" max="3081" width="10.33203125" style="1" customWidth="1"/>
    <col min="3082" max="3096" width="8.83203125" style="1" customWidth="1"/>
    <col min="3097" max="3097" width="10.5" style="1" bestFit="1" customWidth="1"/>
    <col min="3098" max="3100" width="8.83203125" style="1" customWidth="1"/>
    <col min="3101" max="3102" width="9.1640625" style="1"/>
    <col min="3103" max="3103" width="9.5" style="1" customWidth="1"/>
    <col min="3104" max="3104" width="10.33203125" style="1" customWidth="1"/>
    <col min="3105" max="3105" width="9.6640625" style="1" customWidth="1"/>
    <col min="3106" max="3106" width="10.33203125" style="1" customWidth="1"/>
    <col min="3107" max="3107" width="14.83203125" style="1" bestFit="1" customWidth="1"/>
    <col min="3108" max="3328" width="9.1640625" style="1"/>
    <col min="3329" max="3329" width="21" style="1" bestFit="1" customWidth="1"/>
    <col min="3330" max="3330" width="3.83203125" style="1" bestFit="1" customWidth="1"/>
    <col min="3331" max="3331" width="21" style="1" bestFit="1" customWidth="1"/>
    <col min="3332" max="3332" width="11.83203125" style="1" customWidth="1"/>
    <col min="3333" max="3333" width="11.5" style="1" customWidth="1"/>
    <col min="3334" max="3334" width="12" style="1" customWidth="1"/>
    <col min="3335" max="3335" width="11.5" style="1" customWidth="1"/>
    <col min="3336" max="3337" width="10.33203125" style="1" customWidth="1"/>
    <col min="3338" max="3352" width="8.83203125" style="1" customWidth="1"/>
    <col min="3353" max="3353" width="10.5" style="1" bestFit="1" customWidth="1"/>
    <col min="3354" max="3356" width="8.83203125" style="1" customWidth="1"/>
    <col min="3357" max="3358" width="9.1640625" style="1"/>
    <col min="3359" max="3359" width="9.5" style="1" customWidth="1"/>
    <col min="3360" max="3360" width="10.33203125" style="1" customWidth="1"/>
    <col min="3361" max="3361" width="9.6640625" style="1" customWidth="1"/>
    <col min="3362" max="3362" width="10.33203125" style="1" customWidth="1"/>
    <col min="3363" max="3363" width="14.83203125" style="1" bestFit="1" customWidth="1"/>
    <col min="3364" max="3584" width="9.1640625" style="1"/>
    <col min="3585" max="3585" width="21" style="1" bestFit="1" customWidth="1"/>
    <col min="3586" max="3586" width="3.83203125" style="1" bestFit="1" customWidth="1"/>
    <col min="3587" max="3587" width="21" style="1" bestFit="1" customWidth="1"/>
    <col min="3588" max="3588" width="11.83203125" style="1" customWidth="1"/>
    <col min="3589" max="3589" width="11.5" style="1" customWidth="1"/>
    <col min="3590" max="3590" width="12" style="1" customWidth="1"/>
    <col min="3591" max="3591" width="11.5" style="1" customWidth="1"/>
    <col min="3592" max="3593" width="10.33203125" style="1" customWidth="1"/>
    <col min="3594" max="3608" width="8.83203125" style="1" customWidth="1"/>
    <col min="3609" max="3609" width="10.5" style="1" bestFit="1" customWidth="1"/>
    <col min="3610" max="3612" width="8.83203125" style="1" customWidth="1"/>
    <col min="3613" max="3614" width="9.1640625" style="1"/>
    <col min="3615" max="3615" width="9.5" style="1" customWidth="1"/>
    <col min="3616" max="3616" width="10.33203125" style="1" customWidth="1"/>
    <col min="3617" max="3617" width="9.6640625" style="1" customWidth="1"/>
    <col min="3618" max="3618" width="10.33203125" style="1" customWidth="1"/>
    <col min="3619" max="3619" width="14.83203125" style="1" bestFit="1" customWidth="1"/>
    <col min="3620" max="3840" width="9.1640625" style="1"/>
    <col min="3841" max="3841" width="21" style="1" bestFit="1" customWidth="1"/>
    <col min="3842" max="3842" width="3.83203125" style="1" bestFit="1" customWidth="1"/>
    <col min="3843" max="3843" width="21" style="1" bestFit="1" customWidth="1"/>
    <col min="3844" max="3844" width="11.83203125" style="1" customWidth="1"/>
    <col min="3845" max="3845" width="11.5" style="1" customWidth="1"/>
    <col min="3846" max="3846" width="12" style="1" customWidth="1"/>
    <col min="3847" max="3847" width="11.5" style="1" customWidth="1"/>
    <col min="3848" max="3849" width="10.33203125" style="1" customWidth="1"/>
    <col min="3850" max="3864" width="8.83203125" style="1" customWidth="1"/>
    <col min="3865" max="3865" width="10.5" style="1" bestFit="1" customWidth="1"/>
    <col min="3866" max="3868" width="8.83203125" style="1" customWidth="1"/>
    <col min="3869" max="3870" width="9.1640625" style="1"/>
    <col min="3871" max="3871" width="9.5" style="1" customWidth="1"/>
    <col min="3872" max="3872" width="10.33203125" style="1" customWidth="1"/>
    <col min="3873" max="3873" width="9.6640625" style="1" customWidth="1"/>
    <col min="3874" max="3874" width="10.33203125" style="1" customWidth="1"/>
    <col min="3875" max="3875" width="14.83203125" style="1" bestFit="1" customWidth="1"/>
    <col min="3876" max="4096" width="9.1640625" style="1"/>
    <col min="4097" max="4097" width="21" style="1" bestFit="1" customWidth="1"/>
    <col min="4098" max="4098" width="3.83203125" style="1" bestFit="1" customWidth="1"/>
    <col min="4099" max="4099" width="21" style="1" bestFit="1" customWidth="1"/>
    <col min="4100" max="4100" width="11.83203125" style="1" customWidth="1"/>
    <col min="4101" max="4101" width="11.5" style="1" customWidth="1"/>
    <col min="4102" max="4102" width="12" style="1" customWidth="1"/>
    <col min="4103" max="4103" width="11.5" style="1" customWidth="1"/>
    <col min="4104" max="4105" width="10.33203125" style="1" customWidth="1"/>
    <col min="4106" max="4120" width="8.83203125" style="1" customWidth="1"/>
    <col min="4121" max="4121" width="10.5" style="1" bestFit="1" customWidth="1"/>
    <col min="4122" max="4124" width="8.83203125" style="1" customWidth="1"/>
    <col min="4125" max="4126" width="9.1640625" style="1"/>
    <col min="4127" max="4127" width="9.5" style="1" customWidth="1"/>
    <col min="4128" max="4128" width="10.33203125" style="1" customWidth="1"/>
    <col min="4129" max="4129" width="9.6640625" style="1" customWidth="1"/>
    <col min="4130" max="4130" width="10.33203125" style="1" customWidth="1"/>
    <col min="4131" max="4131" width="14.83203125" style="1" bestFit="1" customWidth="1"/>
    <col min="4132" max="4352" width="9.1640625" style="1"/>
    <col min="4353" max="4353" width="21" style="1" bestFit="1" customWidth="1"/>
    <col min="4354" max="4354" width="3.83203125" style="1" bestFit="1" customWidth="1"/>
    <col min="4355" max="4355" width="21" style="1" bestFit="1" customWidth="1"/>
    <col min="4356" max="4356" width="11.83203125" style="1" customWidth="1"/>
    <col min="4357" max="4357" width="11.5" style="1" customWidth="1"/>
    <col min="4358" max="4358" width="12" style="1" customWidth="1"/>
    <col min="4359" max="4359" width="11.5" style="1" customWidth="1"/>
    <col min="4360" max="4361" width="10.33203125" style="1" customWidth="1"/>
    <col min="4362" max="4376" width="8.83203125" style="1" customWidth="1"/>
    <col min="4377" max="4377" width="10.5" style="1" bestFit="1" customWidth="1"/>
    <col min="4378" max="4380" width="8.83203125" style="1" customWidth="1"/>
    <col min="4381" max="4382" width="9.1640625" style="1"/>
    <col min="4383" max="4383" width="9.5" style="1" customWidth="1"/>
    <col min="4384" max="4384" width="10.33203125" style="1" customWidth="1"/>
    <col min="4385" max="4385" width="9.6640625" style="1" customWidth="1"/>
    <col min="4386" max="4386" width="10.33203125" style="1" customWidth="1"/>
    <col min="4387" max="4387" width="14.83203125" style="1" bestFit="1" customWidth="1"/>
    <col min="4388" max="4608" width="9.1640625" style="1"/>
    <col min="4609" max="4609" width="21" style="1" bestFit="1" customWidth="1"/>
    <col min="4610" max="4610" width="3.83203125" style="1" bestFit="1" customWidth="1"/>
    <col min="4611" max="4611" width="21" style="1" bestFit="1" customWidth="1"/>
    <col min="4612" max="4612" width="11.83203125" style="1" customWidth="1"/>
    <col min="4613" max="4613" width="11.5" style="1" customWidth="1"/>
    <col min="4614" max="4614" width="12" style="1" customWidth="1"/>
    <col min="4615" max="4615" width="11.5" style="1" customWidth="1"/>
    <col min="4616" max="4617" width="10.33203125" style="1" customWidth="1"/>
    <col min="4618" max="4632" width="8.83203125" style="1" customWidth="1"/>
    <col min="4633" max="4633" width="10.5" style="1" bestFit="1" customWidth="1"/>
    <col min="4634" max="4636" width="8.83203125" style="1" customWidth="1"/>
    <col min="4637" max="4638" width="9.1640625" style="1"/>
    <col min="4639" max="4639" width="9.5" style="1" customWidth="1"/>
    <col min="4640" max="4640" width="10.33203125" style="1" customWidth="1"/>
    <col min="4641" max="4641" width="9.6640625" style="1" customWidth="1"/>
    <col min="4642" max="4642" width="10.33203125" style="1" customWidth="1"/>
    <col min="4643" max="4643" width="14.83203125" style="1" bestFit="1" customWidth="1"/>
    <col min="4644" max="4864" width="9.1640625" style="1"/>
    <col min="4865" max="4865" width="21" style="1" bestFit="1" customWidth="1"/>
    <col min="4866" max="4866" width="3.83203125" style="1" bestFit="1" customWidth="1"/>
    <col min="4867" max="4867" width="21" style="1" bestFit="1" customWidth="1"/>
    <col min="4868" max="4868" width="11.83203125" style="1" customWidth="1"/>
    <col min="4869" max="4869" width="11.5" style="1" customWidth="1"/>
    <col min="4870" max="4870" width="12" style="1" customWidth="1"/>
    <col min="4871" max="4871" width="11.5" style="1" customWidth="1"/>
    <col min="4872" max="4873" width="10.33203125" style="1" customWidth="1"/>
    <col min="4874" max="4888" width="8.83203125" style="1" customWidth="1"/>
    <col min="4889" max="4889" width="10.5" style="1" bestFit="1" customWidth="1"/>
    <col min="4890" max="4892" width="8.83203125" style="1" customWidth="1"/>
    <col min="4893" max="4894" width="9.1640625" style="1"/>
    <col min="4895" max="4895" width="9.5" style="1" customWidth="1"/>
    <col min="4896" max="4896" width="10.33203125" style="1" customWidth="1"/>
    <col min="4897" max="4897" width="9.6640625" style="1" customWidth="1"/>
    <col min="4898" max="4898" width="10.33203125" style="1" customWidth="1"/>
    <col min="4899" max="4899" width="14.83203125" style="1" bestFit="1" customWidth="1"/>
    <col min="4900" max="5120" width="9.1640625" style="1"/>
    <col min="5121" max="5121" width="21" style="1" bestFit="1" customWidth="1"/>
    <col min="5122" max="5122" width="3.83203125" style="1" bestFit="1" customWidth="1"/>
    <col min="5123" max="5123" width="21" style="1" bestFit="1" customWidth="1"/>
    <col min="5124" max="5124" width="11.83203125" style="1" customWidth="1"/>
    <col min="5125" max="5125" width="11.5" style="1" customWidth="1"/>
    <col min="5126" max="5126" width="12" style="1" customWidth="1"/>
    <col min="5127" max="5127" width="11.5" style="1" customWidth="1"/>
    <col min="5128" max="5129" width="10.33203125" style="1" customWidth="1"/>
    <col min="5130" max="5144" width="8.83203125" style="1" customWidth="1"/>
    <col min="5145" max="5145" width="10.5" style="1" bestFit="1" customWidth="1"/>
    <col min="5146" max="5148" width="8.83203125" style="1" customWidth="1"/>
    <col min="5149" max="5150" width="9.1640625" style="1"/>
    <col min="5151" max="5151" width="9.5" style="1" customWidth="1"/>
    <col min="5152" max="5152" width="10.33203125" style="1" customWidth="1"/>
    <col min="5153" max="5153" width="9.6640625" style="1" customWidth="1"/>
    <col min="5154" max="5154" width="10.33203125" style="1" customWidth="1"/>
    <col min="5155" max="5155" width="14.83203125" style="1" bestFit="1" customWidth="1"/>
    <col min="5156" max="5376" width="9.1640625" style="1"/>
    <col min="5377" max="5377" width="21" style="1" bestFit="1" customWidth="1"/>
    <col min="5378" max="5378" width="3.83203125" style="1" bestFit="1" customWidth="1"/>
    <col min="5379" max="5379" width="21" style="1" bestFit="1" customWidth="1"/>
    <col min="5380" max="5380" width="11.83203125" style="1" customWidth="1"/>
    <col min="5381" max="5381" width="11.5" style="1" customWidth="1"/>
    <col min="5382" max="5382" width="12" style="1" customWidth="1"/>
    <col min="5383" max="5383" width="11.5" style="1" customWidth="1"/>
    <col min="5384" max="5385" width="10.33203125" style="1" customWidth="1"/>
    <col min="5386" max="5400" width="8.83203125" style="1" customWidth="1"/>
    <col min="5401" max="5401" width="10.5" style="1" bestFit="1" customWidth="1"/>
    <col min="5402" max="5404" width="8.83203125" style="1" customWidth="1"/>
    <col min="5405" max="5406" width="9.1640625" style="1"/>
    <col min="5407" max="5407" width="9.5" style="1" customWidth="1"/>
    <col min="5408" max="5408" width="10.33203125" style="1" customWidth="1"/>
    <col min="5409" max="5409" width="9.6640625" style="1" customWidth="1"/>
    <col min="5410" max="5410" width="10.33203125" style="1" customWidth="1"/>
    <col min="5411" max="5411" width="14.83203125" style="1" bestFit="1" customWidth="1"/>
    <col min="5412" max="5632" width="9.1640625" style="1"/>
    <col min="5633" max="5633" width="21" style="1" bestFit="1" customWidth="1"/>
    <col min="5634" max="5634" width="3.83203125" style="1" bestFit="1" customWidth="1"/>
    <col min="5635" max="5635" width="21" style="1" bestFit="1" customWidth="1"/>
    <col min="5636" max="5636" width="11.83203125" style="1" customWidth="1"/>
    <col min="5637" max="5637" width="11.5" style="1" customWidth="1"/>
    <col min="5638" max="5638" width="12" style="1" customWidth="1"/>
    <col min="5639" max="5639" width="11.5" style="1" customWidth="1"/>
    <col min="5640" max="5641" width="10.33203125" style="1" customWidth="1"/>
    <col min="5642" max="5656" width="8.83203125" style="1" customWidth="1"/>
    <col min="5657" max="5657" width="10.5" style="1" bestFit="1" customWidth="1"/>
    <col min="5658" max="5660" width="8.83203125" style="1" customWidth="1"/>
    <col min="5661" max="5662" width="9.1640625" style="1"/>
    <col min="5663" max="5663" width="9.5" style="1" customWidth="1"/>
    <col min="5664" max="5664" width="10.33203125" style="1" customWidth="1"/>
    <col min="5665" max="5665" width="9.6640625" style="1" customWidth="1"/>
    <col min="5666" max="5666" width="10.33203125" style="1" customWidth="1"/>
    <col min="5667" max="5667" width="14.83203125" style="1" bestFit="1" customWidth="1"/>
    <col min="5668" max="5888" width="9.1640625" style="1"/>
    <col min="5889" max="5889" width="21" style="1" bestFit="1" customWidth="1"/>
    <col min="5890" max="5890" width="3.83203125" style="1" bestFit="1" customWidth="1"/>
    <col min="5891" max="5891" width="21" style="1" bestFit="1" customWidth="1"/>
    <col min="5892" max="5892" width="11.83203125" style="1" customWidth="1"/>
    <col min="5893" max="5893" width="11.5" style="1" customWidth="1"/>
    <col min="5894" max="5894" width="12" style="1" customWidth="1"/>
    <col min="5895" max="5895" width="11.5" style="1" customWidth="1"/>
    <col min="5896" max="5897" width="10.33203125" style="1" customWidth="1"/>
    <col min="5898" max="5912" width="8.83203125" style="1" customWidth="1"/>
    <col min="5913" max="5913" width="10.5" style="1" bestFit="1" customWidth="1"/>
    <col min="5914" max="5916" width="8.83203125" style="1" customWidth="1"/>
    <col min="5917" max="5918" width="9.1640625" style="1"/>
    <col min="5919" max="5919" width="9.5" style="1" customWidth="1"/>
    <col min="5920" max="5920" width="10.33203125" style="1" customWidth="1"/>
    <col min="5921" max="5921" width="9.6640625" style="1" customWidth="1"/>
    <col min="5922" max="5922" width="10.33203125" style="1" customWidth="1"/>
    <col min="5923" max="5923" width="14.83203125" style="1" bestFit="1" customWidth="1"/>
    <col min="5924" max="6144" width="9.1640625" style="1"/>
    <col min="6145" max="6145" width="21" style="1" bestFit="1" customWidth="1"/>
    <col min="6146" max="6146" width="3.83203125" style="1" bestFit="1" customWidth="1"/>
    <col min="6147" max="6147" width="21" style="1" bestFit="1" customWidth="1"/>
    <col min="6148" max="6148" width="11.83203125" style="1" customWidth="1"/>
    <col min="6149" max="6149" width="11.5" style="1" customWidth="1"/>
    <col min="6150" max="6150" width="12" style="1" customWidth="1"/>
    <col min="6151" max="6151" width="11.5" style="1" customWidth="1"/>
    <col min="6152" max="6153" width="10.33203125" style="1" customWidth="1"/>
    <col min="6154" max="6168" width="8.83203125" style="1" customWidth="1"/>
    <col min="6169" max="6169" width="10.5" style="1" bestFit="1" customWidth="1"/>
    <col min="6170" max="6172" width="8.83203125" style="1" customWidth="1"/>
    <col min="6173" max="6174" width="9.1640625" style="1"/>
    <col min="6175" max="6175" width="9.5" style="1" customWidth="1"/>
    <col min="6176" max="6176" width="10.33203125" style="1" customWidth="1"/>
    <col min="6177" max="6177" width="9.6640625" style="1" customWidth="1"/>
    <col min="6178" max="6178" width="10.33203125" style="1" customWidth="1"/>
    <col min="6179" max="6179" width="14.83203125" style="1" bestFit="1" customWidth="1"/>
    <col min="6180" max="6400" width="9.1640625" style="1"/>
    <col min="6401" max="6401" width="21" style="1" bestFit="1" customWidth="1"/>
    <col min="6402" max="6402" width="3.83203125" style="1" bestFit="1" customWidth="1"/>
    <col min="6403" max="6403" width="21" style="1" bestFit="1" customWidth="1"/>
    <col min="6404" max="6404" width="11.83203125" style="1" customWidth="1"/>
    <col min="6405" max="6405" width="11.5" style="1" customWidth="1"/>
    <col min="6406" max="6406" width="12" style="1" customWidth="1"/>
    <col min="6407" max="6407" width="11.5" style="1" customWidth="1"/>
    <col min="6408" max="6409" width="10.33203125" style="1" customWidth="1"/>
    <col min="6410" max="6424" width="8.83203125" style="1" customWidth="1"/>
    <col min="6425" max="6425" width="10.5" style="1" bestFit="1" customWidth="1"/>
    <col min="6426" max="6428" width="8.83203125" style="1" customWidth="1"/>
    <col min="6429" max="6430" width="9.1640625" style="1"/>
    <col min="6431" max="6431" width="9.5" style="1" customWidth="1"/>
    <col min="6432" max="6432" width="10.33203125" style="1" customWidth="1"/>
    <col min="6433" max="6433" width="9.6640625" style="1" customWidth="1"/>
    <col min="6434" max="6434" width="10.33203125" style="1" customWidth="1"/>
    <col min="6435" max="6435" width="14.83203125" style="1" bestFit="1" customWidth="1"/>
    <col min="6436" max="6656" width="9.1640625" style="1"/>
    <col min="6657" max="6657" width="21" style="1" bestFit="1" customWidth="1"/>
    <col min="6658" max="6658" width="3.83203125" style="1" bestFit="1" customWidth="1"/>
    <col min="6659" max="6659" width="21" style="1" bestFit="1" customWidth="1"/>
    <col min="6660" max="6660" width="11.83203125" style="1" customWidth="1"/>
    <col min="6661" max="6661" width="11.5" style="1" customWidth="1"/>
    <col min="6662" max="6662" width="12" style="1" customWidth="1"/>
    <col min="6663" max="6663" width="11.5" style="1" customWidth="1"/>
    <col min="6664" max="6665" width="10.33203125" style="1" customWidth="1"/>
    <col min="6666" max="6680" width="8.83203125" style="1" customWidth="1"/>
    <col min="6681" max="6681" width="10.5" style="1" bestFit="1" customWidth="1"/>
    <col min="6682" max="6684" width="8.83203125" style="1" customWidth="1"/>
    <col min="6685" max="6686" width="9.1640625" style="1"/>
    <col min="6687" max="6687" width="9.5" style="1" customWidth="1"/>
    <col min="6688" max="6688" width="10.33203125" style="1" customWidth="1"/>
    <col min="6689" max="6689" width="9.6640625" style="1" customWidth="1"/>
    <col min="6690" max="6690" width="10.33203125" style="1" customWidth="1"/>
    <col min="6691" max="6691" width="14.83203125" style="1" bestFit="1" customWidth="1"/>
    <col min="6692" max="6912" width="9.1640625" style="1"/>
    <col min="6913" max="6913" width="21" style="1" bestFit="1" customWidth="1"/>
    <col min="6914" max="6914" width="3.83203125" style="1" bestFit="1" customWidth="1"/>
    <col min="6915" max="6915" width="21" style="1" bestFit="1" customWidth="1"/>
    <col min="6916" max="6916" width="11.83203125" style="1" customWidth="1"/>
    <col min="6917" max="6917" width="11.5" style="1" customWidth="1"/>
    <col min="6918" max="6918" width="12" style="1" customWidth="1"/>
    <col min="6919" max="6919" width="11.5" style="1" customWidth="1"/>
    <col min="6920" max="6921" width="10.33203125" style="1" customWidth="1"/>
    <col min="6922" max="6936" width="8.83203125" style="1" customWidth="1"/>
    <col min="6937" max="6937" width="10.5" style="1" bestFit="1" customWidth="1"/>
    <col min="6938" max="6940" width="8.83203125" style="1" customWidth="1"/>
    <col min="6941" max="6942" width="9.1640625" style="1"/>
    <col min="6943" max="6943" width="9.5" style="1" customWidth="1"/>
    <col min="6944" max="6944" width="10.33203125" style="1" customWidth="1"/>
    <col min="6945" max="6945" width="9.6640625" style="1" customWidth="1"/>
    <col min="6946" max="6946" width="10.33203125" style="1" customWidth="1"/>
    <col min="6947" max="6947" width="14.83203125" style="1" bestFit="1" customWidth="1"/>
    <col min="6948" max="7168" width="9.1640625" style="1"/>
    <col min="7169" max="7169" width="21" style="1" bestFit="1" customWidth="1"/>
    <col min="7170" max="7170" width="3.83203125" style="1" bestFit="1" customWidth="1"/>
    <col min="7171" max="7171" width="21" style="1" bestFit="1" customWidth="1"/>
    <col min="7172" max="7172" width="11.83203125" style="1" customWidth="1"/>
    <col min="7173" max="7173" width="11.5" style="1" customWidth="1"/>
    <col min="7174" max="7174" width="12" style="1" customWidth="1"/>
    <col min="7175" max="7175" width="11.5" style="1" customWidth="1"/>
    <col min="7176" max="7177" width="10.33203125" style="1" customWidth="1"/>
    <col min="7178" max="7192" width="8.83203125" style="1" customWidth="1"/>
    <col min="7193" max="7193" width="10.5" style="1" bestFit="1" customWidth="1"/>
    <col min="7194" max="7196" width="8.83203125" style="1" customWidth="1"/>
    <col min="7197" max="7198" width="9.1640625" style="1"/>
    <col min="7199" max="7199" width="9.5" style="1" customWidth="1"/>
    <col min="7200" max="7200" width="10.33203125" style="1" customWidth="1"/>
    <col min="7201" max="7201" width="9.6640625" style="1" customWidth="1"/>
    <col min="7202" max="7202" width="10.33203125" style="1" customWidth="1"/>
    <col min="7203" max="7203" width="14.83203125" style="1" bestFit="1" customWidth="1"/>
    <col min="7204" max="7424" width="9.1640625" style="1"/>
    <col min="7425" max="7425" width="21" style="1" bestFit="1" customWidth="1"/>
    <col min="7426" max="7426" width="3.83203125" style="1" bestFit="1" customWidth="1"/>
    <col min="7427" max="7427" width="21" style="1" bestFit="1" customWidth="1"/>
    <col min="7428" max="7428" width="11.83203125" style="1" customWidth="1"/>
    <col min="7429" max="7429" width="11.5" style="1" customWidth="1"/>
    <col min="7430" max="7430" width="12" style="1" customWidth="1"/>
    <col min="7431" max="7431" width="11.5" style="1" customWidth="1"/>
    <col min="7432" max="7433" width="10.33203125" style="1" customWidth="1"/>
    <col min="7434" max="7448" width="8.83203125" style="1" customWidth="1"/>
    <col min="7449" max="7449" width="10.5" style="1" bestFit="1" customWidth="1"/>
    <col min="7450" max="7452" width="8.83203125" style="1" customWidth="1"/>
    <col min="7453" max="7454" width="9.1640625" style="1"/>
    <col min="7455" max="7455" width="9.5" style="1" customWidth="1"/>
    <col min="7456" max="7456" width="10.33203125" style="1" customWidth="1"/>
    <col min="7457" max="7457" width="9.6640625" style="1" customWidth="1"/>
    <col min="7458" max="7458" width="10.33203125" style="1" customWidth="1"/>
    <col min="7459" max="7459" width="14.83203125" style="1" bestFit="1" customWidth="1"/>
    <col min="7460" max="7680" width="9.1640625" style="1"/>
    <col min="7681" max="7681" width="21" style="1" bestFit="1" customWidth="1"/>
    <col min="7682" max="7682" width="3.83203125" style="1" bestFit="1" customWidth="1"/>
    <col min="7683" max="7683" width="21" style="1" bestFit="1" customWidth="1"/>
    <col min="7684" max="7684" width="11.83203125" style="1" customWidth="1"/>
    <col min="7685" max="7685" width="11.5" style="1" customWidth="1"/>
    <col min="7686" max="7686" width="12" style="1" customWidth="1"/>
    <col min="7687" max="7687" width="11.5" style="1" customWidth="1"/>
    <col min="7688" max="7689" width="10.33203125" style="1" customWidth="1"/>
    <col min="7690" max="7704" width="8.83203125" style="1" customWidth="1"/>
    <col min="7705" max="7705" width="10.5" style="1" bestFit="1" customWidth="1"/>
    <col min="7706" max="7708" width="8.83203125" style="1" customWidth="1"/>
    <col min="7709" max="7710" width="9.1640625" style="1"/>
    <col min="7711" max="7711" width="9.5" style="1" customWidth="1"/>
    <col min="7712" max="7712" width="10.33203125" style="1" customWidth="1"/>
    <col min="7713" max="7713" width="9.6640625" style="1" customWidth="1"/>
    <col min="7714" max="7714" width="10.33203125" style="1" customWidth="1"/>
    <col min="7715" max="7715" width="14.83203125" style="1" bestFit="1" customWidth="1"/>
    <col min="7716" max="7936" width="9.1640625" style="1"/>
    <col min="7937" max="7937" width="21" style="1" bestFit="1" customWidth="1"/>
    <col min="7938" max="7938" width="3.83203125" style="1" bestFit="1" customWidth="1"/>
    <col min="7939" max="7939" width="21" style="1" bestFit="1" customWidth="1"/>
    <col min="7940" max="7940" width="11.83203125" style="1" customWidth="1"/>
    <col min="7941" max="7941" width="11.5" style="1" customWidth="1"/>
    <col min="7942" max="7942" width="12" style="1" customWidth="1"/>
    <col min="7943" max="7943" width="11.5" style="1" customWidth="1"/>
    <col min="7944" max="7945" width="10.33203125" style="1" customWidth="1"/>
    <col min="7946" max="7960" width="8.83203125" style="1" customWidth="1"/>
    <col min="7961" max="7961" width="10.5" style="1" bestFit="1" customWidth="1"/>
    <col min="7962" max="7964" width="8.83203125" style="1" customWidth="1"/>
    <col min="7965" max="7966" width="9.1640625" style="1"/>
    <col min="7967" max="7967" width="9.5" style="1" customWidth="1"/>
    <col min="7968" max="7968" width="10.33203125" style="1" customWidth="1"/>
    <col min="7969" max="7969" width="9.6640625" style="1" customWidth="1"/>
    <col min="7970" max="7970" width="10.33203125" style="1" customWidth="1"/>
    <col min="7971" max="7971" width="14.83203125" style="1" bestFit="1" customWidth="1"/>
    <col min="7972" max="8192" width="9.1640625" style="1"/>
    <col min="8193" max="8193" width="21" style="1" bestFit="1" customWidth="1"/>
    <col min="8194" max="8194" width="3.83203125" style="1" bestFit="1" customWidth="1"/>
    <col min="8195" max="8195" width="21" style="1" bestFit="1" customWidth="1"/>
    <col min="8196" max="8196" width="11.83203125" style="1" customWidth="1"/>
    <col min="8197" max="8197" width="11.5" style="1" customWidth="1"/>
    <col min="8198" max="8198" width="12" style="1" customWidth="1"/>
    <col min="8199" max="8199" width="11.5" style="1" customWidth="1"/>
    <col min="8200" max="8201" width="10.33203125" style="1" customWidth="1"/>
    <col min="8202" max="8216" width="8.83203125" style="1" customWidth="1"/>
    <col min="8217" max="8217" width="10.5" style="1" bestFit="1" customWidth="1"/>
    <col min="8218" max="8220" width="8.83203125" style="1" customWidth="1"/>
    <col min="8221" max="8222" width="9.1640625" style="1"/>
    <col min="8223" max="8223" width="9.5" style="1" customWidth="1"/>
    <col min="8224" max="8224" width="10.33203125" style="1" customWidth="1"/>
    <col min="8225" max="8225" width="9.6640625" style="1" customWidth="1"/>
    <col min="8226" max="8226" width="10.33203125" style="1" customWidth="1"/>
    <col min="8227" max="8227" width="14.83203125" style="1" bestFit="1" customWidth="1"/>
    <col min="8228" max="8448" width="9.1640625" style="1"/>
    <col min="8449" max="8449" width="21" style="1" bestFit="1" customWidth="1"/>
    <col min="8450" max="8450" width="3.83203125" style="1" bestFit="1" customWidth="1"/>
    <col min="8451" max="8451" width="21" style="1" bestFit="1" customWidth="1"/>
    <col min="8452" max="8452" width="11.83203125" style="1" customWidth="1"/>
    <col min="8453" max="8453" width="11.5" style="1" customWidth="1"/>
    <col min="8454" max="8454" width="12" style="1" customWidth="1"/>
    <col min="8455" max="8455" width="11.5" style="1" customWidth="1"/>
    <col min="8456" max="8457" width="10.33203125" style="1" customWidth="1"/>
    <col min="8458" max="8472" width="8.83203125" style="1" customWidth="1"/>
    <col min="8473" max="8473" width="10.5" style="1" bestFit="1" customWidth="1"/>
    <col min="8474" max="8476" width="8.83203125" style="1" customWidth="1"/>
    <col min="8477" max="8478" width="9.1640625" style="1"/>
    <col min="8479" max="8479" width="9.5" style="1" customWidth="1"/>
    <col min="8480" max="8480" width="10.33203125" style="1" customWidth="1"/>
    <col min="8481" max="8481" width="9.6640625" style="1" customWidth="1"/>
    <col min="8482" max="8482" width="10.33203125" style="1" customWidth="1"/>
    <col min="8483" max="8483" width="14.83203125" style="1" bestFit="1" customWidth="1"/>
    <col min="8484" max="8704" width="9.1640625" style="1"/>
    <col min="8705" max="8705" width="21" style="1" bestFit="1" customWidth="1"/>
    <col min="8706" max="8706" width="3.83203125" style="1" bestFit="1" customWidth="1"/>
    <col min="8707" max="8707" width="21" style="1" bestFit="1" customWidth="1"/>
    <col min="8708" max="8708" width="11.83203125" style="1" customWidth="1"/>
    <col min="8709" max="8709" width="11.5" style="1" customWidth="1"/>
    <col min="8710" max="8710" width="12" style="1" customWidth="1"/>
    <col min="8711" max="8711" width="11.5" style="1" customWidth="1"/>
    <col min="8712" max="8713" width="10.33203125" style="1" customWidth="1"/>
    <col min="8714" max="8728" width="8.83203125" style="1" customWidth="1"/>
    <col min="8729" max="8729" width="10.5" style="1" bestFit="1" customWidth="1"/>
    <col min="8730" max="8732" width="8.83203125" style="1" customWidth="1"/>
    <col min="8733" max="8734" width="9.1640625" style="1"/>
    <col min="8735" max="8735" width="9.5" style="1" customWidth="1"/>
    <col min="8736" max="8736" width="10.33203125" style="1" customWidth="1"/>
    <col min="8737" max="8737" width="9.6640625" style="1" customWidth="1"/>
    <col min="8738" max="8738" width="10.33203125" style="1" customWidth="1"/>
    <col min="8739" max="8739" width="14.83203125" style="1" bestFit="1" customWidth="1"/>
    <col min="8740" max="8960" width="9.1640625" style="1"/>
    <col min="8961" max="8961" width="21" style="1" bestFit="1" customWidth="1"/>
    <col min="8962" max="8962" width="3.83203125" style="1" bestFit="1" customWidth="1"/>
    <col min="8963" max="8963" width="21" style="1" bestFit="1" customWidth="1"/>
    <col min="8964" max="8964" width="11.83203125" style="1" customWidth="1"/>
    <col min="8965" max="8965" width="11.5" style="1" customWidth="1"/>
    <col min="8966" max="8966" width="12" style="1" customWidth="1"/>
    <col min="8967" max="8967" width="11.5" style="1" customWidth="1"/>
    <col min="8968" max="8969" width="10.33203125" style="1" customWidth="1"/>
    <col min="8970" max="8984" width="8.83203125" style="1" customWidth="1"/>
    <col min="8985" max="8985" width="10.5" style="1" bestFit="1" customWidth="1"/>
    <col min="8986" max="8988" width="8.83203125" style="1" customWidth="1"/>
    <col min="8989" max="8990" width="9.1640625" style="1"/>
    <col min="8991" max="8991" width="9.5" style="1" customWidth="1"/>
    <col min="8992" max="8992" width="10.33203125" style="1" customWidth="1"/>
    <col min="8993" max="8993" width="9.6640625" style="1" customWidth="1"/>
    <col min="8994" max="8994" width="10.33203125" style="1" customWidth="1"/>
    <col min="8995" max="8995" width="14.83203125" style="1" bestFit="1" customWidth="1"/>
    <col min="8996" max="9216" width="9.1640625" style="1"/>
    <col min="9217" max="9217" width="21" style="1" bestFit="1" customWidth="1"/>
    <col min="9218" max="9218" width="3.83203125" style="1" bestFit="1" customWidth="1"/>
    <col min="9219" max="9219" width="21" style="1" bestFit="1" customWidth="1"/>
    <col min="9220" max="9220" width="11.83203125" style="1" customWidth="1"/>
    <col min="9221" max="9221" width="11.5" style="1" customWidth="1"/>
    <col min="9222" max="9222" width="12" style="1" customWidth="1"/>
    <col min="9223" max="9223" width="11.5" style="1" customWidth="1"/>
    <col min="9224" max="9225" width="10.33203125" style="1" customWidth="1"/>
    <col min="9226" max="9240" width="8.83203125" style="1" customWidth="1"/>
    <col min="9241" max="9241" width="10.5" style="1" bestFit="1" customWidth="1"/>
    <col min="9242" max="9244" width="8.83203125" style="1" customWidth="1"/>
    <col min="9245" max="9246" width="9.1640625" style="1"/>
    <col min="9247" max="9247" width="9.5" style="1" customWidth="1"/>
    <col min="9248" max="9248" width="10.33203125" style="1" customWidth="1"/>
    <col min="9249" max="9249" width="9.6640625" style="1" customWidth="1"/>
    <col min="9250" max="9250" width="10.33203125" style="1" customWidth="1"/>
    <col min="9251" max="9251" width="14.83203125" style="1" bestFit="1" customWidth="1"/>
    <col min="9252" max="9472" width="9.1640625" style="1"/>
    <col min="9473" max="9473" width="21" style="1" bestFit="1" customWidth="1"/>
    <col min="9474" max="9474" width="3.83203125" style="1" bestFit="1" customWidth="1"/>
    <col min="9475" max="9475" width="21" style="1" bestFit="1" customWidth="1"/>
    <col min="9476" max="9476" width="11.83203125" style="1" customWidth="1"/>
    <col min="9477" max="9477" width="11.5" style="1" customWidth="1"/>
    <col min="9478" max="9478" width="12" style="1" customWidth="1"/>
    <col min="9479" max="9479" width="11.5" style="1" customWidth="1"/>
    <col min="9480" max="9481" width="10.33203125" style="1" customWidth="1"/>
    <col min="9482" max="9496" width="8.83203125" style="1" customWidth="1"/>
    <col min="9497" max="9497" width="10.5" style="1" bestFit="1" customWidth="1"/>
    <col min="9498" max="9500" width="8.83203125" style="1" customWidth="1"/>
    <col min="9501" max="9502" width="9.1640625" style="1"/>
    <col min="9503" max="9503" width="9.5" style="1" customWidth="1"/>
    <col min="9504" max="9504" width="10.33203125" style="1" customWidth="1"/>
    <col min="9505" max="9505" width="9.6640625" style="1" customWidth="1"/>
    <col min="9506" max="9506" width="10.33203125" style="1" customWidth="1"/>
    <col min="9507" max="9507" width="14.83203125" style="1" bestFit="1" customWidth="1"/>
    <col min="9508" max="9728" width="9.1640625" style="1"/>
    <col min="9729" max="9729" width="21" style="1" bestFit="1" customWidth="1"/>
    <col min="9730" max="9730" width="3.83203125" style="1" bestFit="1" customWidth="1"/>
    <col min="9731" max="9731" width="21" style="1" bestFit="1" customWidth="1"/>
    <col min="9732" max="9732" width="11.83203125" style="1" customWidth="1"/>
    <col min="9733" max="9733" width="11.5" style="1" customWidth="1"/>
    <col min="9734" max="9734" width="12" style="1" customWidth="1"/>
    <col min="9735" max="9735" width="11.5" style="1" customWidth="1"/>
    <col min="9736" max="9737" width="10.33203125" style="1" customWidth="1"/>
    <col min="9738" max="9752" width="8.83203125" style="1" customWidth="1"/>
    <col min="9753" max="9753" width="10.5" style="1" bestFit="1" customWidth="1"/>
    <col min="9754" max="9756" width="8.83203125" style="1" customWidth="1"/>
    <col min="9757" max="9758" width="9.1640625" style="1"/>
    <col min="9759" max="9759" width="9.5" style="1" customWidth="1"/>
    <col min="9760" max="9760" width="10.33203125" style="1" customWidth="1"/>
    <col min="9761" max="9761" width="9.6640625" style="1" customWidth="1"/>
    <col min="9762" max="9762" width="10.33203125" style="1" customWidth="1"/>
    <col min="9763" max="9763" width="14.83203125" style="1" bestFit="1" customWidth="1"/>
    <col min="9764" max="9984" width="9.1640625" style="1"/>
    <col min="9985" max="9985" width="21" style="1" bestFit="1" customWidth="1"/>
    <col min="9986" max="9986" width="3.83203125" style="1" bestFit="1" customWidth="1"/>
    <col min="9987" max="9987" width="21" style="1" bestFit="1" customWidth="1"/>
    <col min="9988" max="9988" width="11.83203125" style="1" customWidth="1"/>
    <col min="9989" max="9989" width="11.5" style="1" customWidth="1"/>
    <col min="9990" max="9990" width="12" style="1" customWidth="1"/>
    <col min="9991" max="9991" width="11.5" style="1" customWidth="1"/>
    <col min="9992" max="9993" width="10.33203125" style="1" customWidth="1"/>
    <col min="9994" max="10008" width="8.83203125" style="1" customWidth="1"/>
    <col min="10009" max="10009" width="10.5" style="1" bestFit="1" customWidth="1"/>
    <col min="10010" max="10012" width="8.83203125" style="1" customWidth="1"/>
    <col min="10013" max="10014" width="9.1640625" style="1"/>
    <col min="10015" max="10015" width="9.5" style="1" customWidth="1"/>
    <col min="10016" max="10016" width="10.33203125" style="1" customWidth="1"/>
    <col min="10017" max="10017" width="9.6640625" style="1" customWidth="1"/>
    <col min="10018" max="10018" width="10.33203125" style="1" customWidth="1"/>
    <col min="10019" max="10019" width="14.83203125" style="1" bestFit="1" customWidth="1"/>
    <col min="10020" max="10240" width="9.1640625" style="1"/>
    <col min="10241" max="10241" width="21" style="1" bestFit="1" customWidth="1"/>
    <col min="10242" max="10242" width="3.83203125" style="1" bestFit="1" customWidth="1"/>
    <col min="10243" max="10243" width="21" style="1" bestFit="1" customWidth="1"/>
    <col min="10244" max="10244" width="11.83203125" style="1" customWidth="1"/>
    <col min="10245" max="10245" width="11.5" style="1" customWidth="1"/>
    <col min="10246" max="10246" width="12" style="1" customWidth="1"/>
    <col min="10247" max="10247" width="11.5" style="1" customWidth="1"/>
    <col min="10248" max="10249" width="10.33203125" style="1" customWidth="1"/>
    <col min="10250" max="10264" width="8.83203125" style="1" customWidth="1"/>
    <col min="10265" max="10265" width="10.5" style="1" bestFit="1" customWidth="1"/>
    <col min="10266" max="10268" width="8.83203125" style="1" customWidth="1"/>
    <col min="10269" max="10270" width="9.1640625" style="1"/>
    <col min="10271" max="10271" width="9.5" style="1" customWidth="1"/>
    <col min="10272" max="10272" width="10.33203125" style="1" customWidth="1"/>
    <col min="10273" max="10273" width="9.6640625" style="1" customWidth="1"/>
    <col min="10274" max="10274" width="10.33203125" style="1" customWidth="1"/>
    <col min="10275" max="10275" width="14.83203125" style="1" bestFit="1" customWidth="1"/>
    <col min="10276" max="10496" width="9.1640625" style="1"/>
    <col min="10497" max="10497" width="21" style="1" bestFit="1" customWidth="1"/>
    <col min="10498" max="10498" width="3.83203125" style="1" bestFit="1" customWidth="1"/>
    <col min="10499" max="10499" width="21" style="1" bestFit="1" customWidth="1"/>
    <col min="10500" max="10500" width="11.83203125" style="1" customWidth="1"/>
    <col min="10501" max="10501" width="11.5" style="1" customWidth="1"/>
    <col min="10502" max="10502" width="12" style="1" customWidth="1"/>
    <col min="10503" max="10503" width="11.5" style="1" customWidth="1"/>
    <col min="10504" max="10505" width="10.33203125" style="1" customWidth="1"/>
    <col min="10506" max="10520" width="8.83203125" style="1" customWidth="1"/>
    <col min="10521" max="10521" width="10.5" style="1" bestFit="1" customWidth="1"/>
    <col min="10522" max="10524" width="8.83203125" style="1" customWidth="1"/>
    <col min="10525" max="10526" width="9.1640625" style="1"/>
    <col min="10527" max="10527" width="9.5" style="1" customWidth="1"/>
    <col min="10528" max="10528" width="10.33203125" style="1" customWidth="1"/>
    <col min="10529" max="10529" width="9.6640625" style="1" customWidth="1"/>
    <col min="10530" max="10530" width="10.33203125" style="1" customWidth="1"/>
    <col min="10531" max="10531" width="14.83203125" style="1" bestFit="1" customWidth="1"/>
    <col min="10532" max="10752" width="9.1640625" style="1"/>
    <col min="10753" max="10753" width="21" style="1" bestFit="1" customWidth="1"/>
    <col min="10754" max="10754" width="3.83203125" style="1" bestFit="1" customWidth="1"/>
    <col min="10755" max="10755" width="21" style="1" bestFit="1" customWidth="1"/>
    <col min="10756" max="10756" width="11.83203125" style="1" customWidth="1"/>
    <col min="10757" max="10757" width="11.5" style="1" customWidth="1"/>
    <col min="10758" max="10758" width="12" style="1" customWidth="1"/>
    <col min="10759" max="10759" width="11.5" style="1" customWidth="1"/>
    <col min="10760" max="10761" width="10.33203125" style="1" customWidth="1"/>
    <col min="10762" max="10776" width="8.83203125" style="1" customWidth="1"/>
    <col min="10777" max="10777" width="10.5" style="1" bestFit="1" customWidth="1"/>
    <col min="10778" max="10780" width="8.83203125" style="1" customWidth="1"/>
    <col min="10781" max="10782" width="9.1640625" style="1"/>
    <col min="10783" max="10783" width="9.5" style="1" customWidth="1"/>
    <col min="10784" max="10784" width="10.33203125" style="1" customWidth="1"/>
    <col min="10785" max="10785" width="9.6640625" style="1" customWidth="1"/>
    <col min="10786" max="10786" width="10.33203125" style="1" customWidth="1"/>
    <col min="10787" max="10787" width="14.83203125" style="1" bestFit="1" customWidth="1"/>
    <col min="10788" max="11008" width="9.1640625" style="1"/>
    <col min="11009" max="11009" width="21" style="1" bestFit="1" customWidth="1"/>
    <col min="11010" max="11010" width="3.83203125" style="1" bestFit="1" customWidth="1"/>
    <col min="11011" max="11011" width="21" style="1" bestFit="1" customWidth="1"/>
    <col min="11012" max="11012" width="11.83203125" style="1" customWidth="1"/>
    <col min="11013" max="11013" width="11.5" style="1" customWidth="1"/>
    <col min="11014" max="11014" width="12" style="1" customWidth="1"/>
    <col min="11015" max="11015" width="11.5" style="1" customWidth="1"/>
    <col min="11016" max="11017" width="10.33203125" style="1" customWidth="1"/>
    <col min="11018" max="11032" width="8.83203125" style="1" customWidth="1"/>
    <col min="11033" max="11033" width="10.5" style="1" bestFit="1" customWidth="1"/>
    <col min="11034" max="11036" width="8.83203125" style="1" customWidth="1"/>
    <col min="11037" max="11038" width="9.1640625" style="1"/>
    <col min="11039" max="11039" width="9.5" style="1" customWidth="1"/>
    <col min="11040" max="11040" width="10.33203125" style="1" customWidth="1"/>
    <col min="11041" max="11041" width="9.6640625" style="1" customWidth="1"/>
    <col min="11042" max="11042" width="10.33203125" style="1" customWidth="1"/>
    <col min="11043" max="11043" width="14.83203125" style="1" bestFit="1" customWidth="1"/>
    <col min="11044" max="11264" width="9.1640625" style="1"/>
    <col min="11265" max="11265" width="21" style="1" bestFit="1" customWidth="1"/>
    <col min="11266" max="11266" width="3.83203125" style="1" bestFit="1" customWidth="1"/>
    <col min="11267" max="11267" width="21" style="1" bestFit="1" customWidth="1"/>
    <col min="11268" max="11268" width="11.83203125" style="1" customWidth="1"/>
    <col min="11269" max="11269" width="11.5" style="1" customWidth="1"/>
    <col min="11270" max="11270" width="12" style="1" customWidth="1"/>
    <col min="11271" max="11271" width="11.5" style="1" customWidth="1"/>
    <col min="11272" max="11273" width="10.33203125" style="1" customWidth="1"/>
    <col min="11274" max="11288" width="8.83203125" style="1" customWidth="1"/>
    <col min="11289" max="11289" width="10.5" style="1" bestFit="1" customWidth="1"/>
    <col min="11290" max="11292" width="8.83203125" style="1" customWidth="1"/>
    <col min="11293" max="11294" width="9.1640625" style="1"/>
    <col min="11295" max="11295" width="9.5" style="1" customWidth="1"/>
    <col min="11296" max="11296" width="10.33203125" style="1" customWidth="1"/>
    <col min="11297" max="11297" width="9.6640625" style="1" customWidth="1"/>
    <col min="11298" max="11298" width="10.33203125" style="1" customWidth="1"/>
    <col min="11299" max="11299" width="14.83203125" style="1" bestFit="1" customWidth="1"/>
    <col min="11300" max="11520" width="9.1640625" style="1"/>
    <col min="11521" max="11521" width="21" style="1" bestFit="1" customWidth="1"/>
    <col min="11522" max="11522" width="3.83203125" style="1" bestFit="1" customWidth="1"/>
    <col min="11523" max="11523" width="21" style="1" bestFit="1" customWidth="1"/>
    <col min="11524" max="11524" width="11.83203125" style="1" customWidth="1"/>
    <col min="11525" max="11525" width="11.5" style="1" customWidth="1"/>
    <col min="11526" max="11526" width="12" style="1" customWidth="1"/>
    <col min="11527" max="11527" width="11.5" style="1" customWidth="1"/>
    <col min="11528" max="11529" width="10.33203125" style="1" customWidth="1"/>
    <col min="11530" max="11544" width="8.83203125" style="1" customWidth="1"/>
    <col min="11545" max="11545" width="10.5" style="1" bestFit="1" customWidth="1"/>
    <col min="11546" max="11548" width="8.83203125" style="1" customWidth="1"/>
    <col min="11549" max="11550" width="9.1640625" style="1"/>
    <col min="11551" max="11551" width="9.5" style="1" customWidth="1"/>
    <col min="11552" max="11552" width="10.33203125" style="1" customWidth="1"/>
    <col min="11553" max="11553" width="9.6640625" style="1" customWidth="1"/>
    <col min="11554" max="11554" width="10.33203125" style="1" customWidth="1"/>
    <col min="11555" max="11555" width="14.83203125" style="1" bestFit="1" customWidth="1"/>
    <col min="11556" max="11776" width="9.1640625" style="1"/>
    <col min="11777" max="11777" width="21" style="1" bestFit="1" customWidth="1"/>
    <col min="11778" max="11778" width="3.83203125" style="1" bestFit="1" customWidth="1"/>
    <col min="11779" max="11779" width="21" style="1" bestFit="1" customWidth="1"/>
    <col min="11780" max="11780" width="11.83203125" style="1" customWidth="1"/>
    <col min="11781" max="11781" width="11.5" style="1" customWidth="1"/>
    <col min="11782" max="11782" width="12" style="1" customWidth="1"/>
    <col min="11783" max="11783" width="11.5" style="1" customWidth="1"/>
    <col min="11784" max="11785" width="10.33203125" style="1" customWidth="1"/>
    <col min="11786" max="11800" width="8.83203125" style="1" customWidth="1"/>
    <col min="11801" max="11801" width="10.5" style="1" bestFit="1" customWidth="1"/>
    <col min="11802" max="11804" width="8.83203125" style="1" customWidth="1"/>
    <col min="11805" max="11806" width="9.1640625" style="1"/>
    <col min="11807" max="11807" width="9.5" style="1" customWidth="1"/>
    <col min="11808" max="11808" width="10.33203125" style="1" customWidth="1"/>
    <col min="11809" max="11809" width="9.6640625" style="1" customWidth="1"/>
    <col min="11810" max="11810" width="10.33203125" style="1" customWidth="1"/>
    <col min="11811" max="11811" width="14.83203125" style="1" bestFit="1" customWidth="1"/>
    <col min="11812" max="12032" width="9.1640625" style="1"/>
    <col min="12033" max="12033" width="21" style="1" bestFit="1" customWidth="1"/>
    <col min="12034" max="12034" width="3.83203125" style="1" bestFit="1" customWidth="1"/>
    <col min="12035" max="12035" width="21" style="1" bestFit="1" customWidth="1"/>
    <col min="12036" max="12036" width="11.83203125" style="1" customWidth="1"/>
    <col min="12037" max="12037" width="11.5" style="1" customWidth="1"/>
    <col min="12038" max="12038" width="12" style="1" customWidth="1"/>
    <col min="12039" max="12039" width="11.5" style="1" customWidth="1"/>
    <col min="12040" max="12041" width="10.33203125" style="1" customWidth="1"/>
    <col min="12042" max="12056" width="8.83203125" style="1" customWidth="1"/>
    <col min="12057" max="12057" width="10.5" style="1" bestFit="1" customWidth="1"/>
    <col min="12058" max="12060" width="8.83203125" style="1" customWidth="1"/>
    <col min="12061" max="12062" width="9.1640625" style="1"/>
    <col min="12063" max="12063" width="9.5" style="1" customWidth="1"/>
    <col min="12064" max="12064" width="10.33203125" style="1" customWidth="1"/>
    <col min="12065" max="12065" width="9.6640625" style="1" customWidth="1"/>
    <col min="12066" max="12066" width="10.33203125" style="1" customWidth="1"/>
    <col min="12067" max="12067" width="14.83203125" style="1" bestFit="1" customWidth="1"/>
    <col min="12068" max="12288" width="9.1640625" style="1"/>
    <col min="12289" max="12289" width="21" style="1" bestFit="1" customWidth="1"/>
    <col min="12290" max="12290" width="3.83203125" style="1" bestFit="1" customWidth="1"/>
    <col min="12291" max="12291" width="21" style="1" bestFit="1" customWidth="1"/>
    <col min="12292" max="12292" width="11.83203125" style="1" customWidth="1"/>
    <col min="12293" max="12293" width="11.5" style="1" customWidth="1"/>
    <col min="12294" max="12294" width="12" style="1" customWidth="1"/>
    <col min="12295" max="12295" width="11.5" style="1" customWidth="1"/>
    <col min="12296" max="12297" width="10.33203125" style="1" customWidth="1"/>
    <col min="12298" max="12312" width="8.83203125" style="1" customWidth="1"/>
    <col min="12313" max="12313" width="10.5" style="1" bestFit="1" customWidth="1"/>
    <col min="12314" max="12316" width="8.83203125" style="1" customWidth="1"/>
    <col min="12317" max="12318" width="9.1640625" style="1"/>
    <col min="12319" max="12319" width="9.5" style="1" customWidth="1"/>
    <col min="12320" max="12320" width="10.33203125" style="1" customWidth="1"/>
    <col min="12321" max="12321" width="9.6640625" style="1" customWidth="1"/>
    <col min="12322" max="12322" width="10.33203125" style="1" customWidth="1"/>
    <col min="12323" max="12323" width="14.83203125" style="1" bestFit="1" customWidth="1"/>
    <col min="12324" max="12544" width="9.1640625" style="1"/>
    <col min="12545" max="12545" width="21" style="1" bestFit="1" customWidth="1"/>
    <col min="12546" max="12546" width="3.83203125" style="1" bestFit="1" customWidth="1"/>
    <col min="12547" max="12547" width="21" style="1" bestFit="1" customWidth="1"/>
    <col min="12548" max="12548" width="11.83203125" style="1" customWidth="1"/>
    <col min="12549" max="12549" width="11.5" style="1" customWidth="1"/>
    <col min="12550" max="12550" width="12" style="1" customWidth="1"/>
    <col min="12551" max="12551" width="11.5" style="1" customWidth="1"/>
    <col min="12552" max="12553" width="10.33203125" style="1" customWidth="1"/>
    <col min="12554" max="12568" width="8.83203125" style="1" customWidth="1"/>
    <col min="12569" max="12569" width="10.5" style="1" bestFit="1" customWidth="1"/>
    <col min="12570" max="12572" width="8.83203125" style="1" customWidth="1"/>
    <col min="12573" max="12574" width="9.1640625" style="1"/>
    <col min="12575" max="12575" width="9.5" style="1" customWidth="1"/>
    <col min="12576" max="12576" width="10.33203125" style="1" customWidth="1"/>
    <col min="12577" max="12577" width="9.6640625" style="1" customWidth="1"/>
    <col min="12578" max="12578" width="10.33203125" style="1" customWidth="1"/>
    <col min="12579" max="12579" width="14.83203125" style="1" bestFit="1" customWidth="1"/>
    <col min="12580" max="12800" width="9.1640625" style="1"/>
    <col min="12801" max="12801" width="21" style="1" bestFit="1" customWidth="1"/>
    <col min="12802" max="12802" width="3.83203125" style="1" bestFit="1" customWidth="1"/>
    <col min="12803" max="12803" width="21" style="1" bestFit="1" customWidth="1"/>
    <col min="12804" max="12804" width="11.83203125" style="1" customWidth="1"/>
    <col min="12805" max="12805" width="11.5" style="1" customWidth="1"/>
    <col min="12806" max="12806" width="12" style="1" customWidth="1"/>
    <col min="12807" max="12807" width="11.5" style="1" customWidth="1"/>
    <col min="12808" max="12809" width="10.33203125" style="1" customWidth="1"/>
    <col min="12810" max="12824" width="8.83203125" style="1" customWidth="1"/>
    <col min="12825" max="12825" width="10.5" style="1" bestFit="1" customWidth="1"/>
    <col min="12826" max="12828" width="8.83203125" style="1" customWidth="1"/>
    <col min="12829" max="12830" width="9.1640625" style="1"/>
    <col min="12831" max="12831" width="9.5" style="1" customWidth="1"/>
    <col min="12832" max="12832" width="10.33203125" style="1" customWidth="1"/>
    <col min="12833" max="12833" width="9.6640625" style="1" customWidth="1"/>
    <col min="12834" max="12834" width="10.33203125" style="1" customWidth="1"/>
    <col min="12835" max="12835" width="14.83203125" style="1" bestFit="1" customWidth="1"/>
    <col min="12836" max="13056" width="9.1640625" style="1"/>
    <col min="13057" max="13057" width="21" style="1" bestFit="1" customWidth="1"/>
    <col min="13058" max="13058" width="3.83203125" style="1" bestFit="1" customWidth="1"/>
    <col min="13059" max="13059" width="21" style="1" bestFit="1" customWidth="1"/>
    <col min="13060" max="13060" width="11.83203125" style="1" customWidth="1"/>
    <col min="13061" max="13061" width="11.5" style="1" customWidth="1"/>
    <col min="13062" max="13062" width="12" style="1" customWidth="1"/>
    <col min="13063" max="13063" width="11.5" style="1" customWidth="1"/>
    <col min="13064" max="13065" width="10.33203125" style="1" customWidth="1"/>
    <col min="13066" max="13080" width="8.83203125" style="1" customWidth="1"/>
    <col min="13081" max="13081" width="10.5" style="1" bestFit="1" customWidth="1"/>
    <col min="13082" max="13084" width="8.83203125" style="1" customWidth="1"/>
    <col min="13085" max="13086" width="9.1640625" style="1"/>
    <col min="13087" max="13087" width="9.5" style="1" customWidth="1"/>
    <col min="13088" max="13088" width="10.33203125" style="1" customWidth="1"/>
    <col min="13089" max="13089" width="9.6640625" style="1" customWidth="1"/>
    <col min="13090" max="13090" width="10.33203125" style="1" customWidth="1"/>
    <col min="13091" max="13091" width="14.83203125" style="1" bestFit="1" customWidth="1"/>
    <col min="13092" max="13312" width="9.1640625" style="1"/>
    <col min="13313" max="13313" width="21" style="1" bestFit="1" customWidth="1"/>
    <col min="13314" max="13314" width="3.83203125" style="1" bestFit="1" customWidth="1"/>
    <col min="13315" max="13315" width="21" style="1" bestFit="1" customWidth="1"/>
    <col min="13316" max="13316" width="11.83203125" style="1" customWidth="1"/>
    <col min="13317" max="13317" width="11.5" style="1" customWidth="1"/>
    <col min="13318" max="13318" width="12" style="1" customWidth="1"/>
    <col min="13319" max="13319" width="11.5" style="1" customWidth="1"/>
    <col min="13320" max="13321" width="10.33203125" style="1" customWidth="1"/>
    <col min="13322" max="13336" width="8.83203125" style="1" customWidth="1"/>
    <col min="13337" max="13337" width="10.5" style="1" bestFit="1" customWidth="1"/>
    <col min="13338" max="13340" width="8.83203125" style="1" customWidth="1"/>
    <col min="13341" max="13342" width="9.1640625" style="1"/>
    <col min="13343" max="13343" width="9.5" style="1" customWidth="1"/>
    <col min="13344" max="13344" width="10.33203125" style="1" customWidth="1"/>
    <col min="13345" max="13345" width="9.6640625" style="1" customWidth="1"/>
    <col min="13346" max="13346" width="10.33203125" style="1" customWidth="1"/>
    <col min="13347" max="13347" width="14.83203125" style="1" bestFit="1" customWidth="1"/>
    <col min="13348" max="13568" width="9.1640625" style="1"/>
    <col min="13569" max="13569" width="21" style="1" bestFit="1" customWidth="1"/>
    <col min="13570" max="13570" width="3.83203125" style="1" bestFit="1" customWidth="1"/>
    <col min="13571" max="13571" width="21" style="1" bestFit="1" customWidth="1"/>
    <col min="13572" max="13572" width="11.83203125" style="1" customWidth="1"/>
    <col min="13573" max="13573" width="11.5" style="1" customWidth="1"/>
    <col min="13574" max="13574" width="12" style="1" customWidth="1"/>
    <col min="13575" max="13575" width="11.5" style="1" customWidth="1"/>
    <col min="13576" max="13577" width="10.33203125" style="1" customWidth="1"/>
    <col min="13578" max="13592" width="8.83203125" style="1" customWidth="1"/>
    <col min="13593" max="13593" width="10.5" style="1" bestFit="1" customWidth="1"/>
    <col min="13594" max="13596" width="8.83203125" style="1" customWidth="1"/>
    <col min="13597" max="13598" width="9.1640625" style="1"/>
    <col min="13599" max="13599" width="9.5" style="1" customWidth="1"/>
    <col min="13600" max="13600" width="10.33203125" style="1" customWidth="1"/>
    <col min="13601" max="13601" width="9.6640625" style="1" customWidth="1"/>
    <col min="13602" max="13602" width="10.33203125" style="1" customWidth="1"/>
    <col min="13603" max="13603" width="14.83203125" style="1" bestFit="1" customWidth="1"/>
    <col min="13604" max="13824" width="9.1640625" style="1"/>
    <col min="13825" max="13825" width="21" style="1" bestFit="1" customWidth="1"/>
    <col min="13826" max="13826" width="3.83203125" style="1" bestFit="1" customWidth="1"/>
    <col min="13827" max="13827" width="21" style="1" bestFit="1" customWidth="1"/>
    <col min="13828" max="13828" width="11.83203125" style="1" customWidth="1"/>
    <col min="13829" max="13829" width="11.5" style="1" customWidth="1"/>
    <col min="13830" max="13830" width="12" style="1" customWidth="1"/>
    <col min="13831" max="13831" width="11.5" style="1" customWidth="1"/>
    <col min="13832" max="13833" width="10.33203125" style="1" customWidth="1"/>
    <col min="13834" max="13848" width="8.83203125" style="1" customWidth="1"/>
    <col min="13849" max="13849" width="10.5" style="1" bestFit="1" customWidth="1"/>
    <col min="13850" max="13852" width="8.83203125" style="1" customWidth="1"/>
    <col min="13853" max="13854" width="9.1640625" style="1"/>
    <col min="13855" max="13855" width="9.5" style="1" customWidth="1"/>
    <col min="13856" max="13856" width="10.33203125" style="1" customWidth="1"/>
    <col min="13857" max="13857" width="9.6640625" style="1" customWidth="1"/>
    <col min="13858" max="13858" width="10.33203125" style="1" customWidth="1"/>
    <col min="13859" max="13859" width="14.83203125" style="1" bestFit="1" customWidth="1"/>
    <col min="13860" max="14080" width="9.1640625" style="1"/>
    <col min="14081" max="14081" width="21" style="1" bestFit="1" customWidth="1"/>
    <col min="14082" max="14082" width="3.83203125" style="1" bestFit="1" customWidth="1"/>
    <col min="14083" max="14083" width="21" style="1" bestFit="1" customWidth="1"/>
    <col min="14084" max="14084" width="11.83203125" style="1" customWidth="1"/>
    <col min="14085" max="14085" width="11.5" style="1" customWidth="1"/>
    <col min="14086" max="14086" width="12" style="1" customWidth="1"/>
    <col min="14087" max="14087" width="11.5" style="1" customWidth="1"/>
    <col min="14088" max="14089" width="10.33203125" style="1" customWidth="1"/>
    <col min="14090" max="14104" width="8.83203125" style="1" customWidth="1"/>
    <col min="14105" max="14105" width="10.5" style="1" bestFit="1" customWidth="1"/>
    <col min="14106" max="14108" width="8.83203125" style="1" customWidth="1"/>
    <col min="14109" max="14110" width="9.1640625" style="1"/>
    <col min="14111" max="14111" width="9.5" style="1" customWidth="1"/>
    <col min="14112" max="14112" width="10.33203125" style="1" customWidth="1"/>
    <col min="14113" max="14113" width="9.6640625" style="1" customWidth="1"/>
    <col min="14114" max="14114" width="10.33203125" style="1" customWidth="1"/>
    <col min="14115" max="14115" width="14.83203125" style="1" bestFit="1" customWidth="1"/>
    <col min="14116" max="14336" width="9.1640625" style="1"/>
    <col min="14337" max="14337" width="21" style="1" bestFit="1" customWidth="1"/>
    <col min="14338" max="14338" width="3.83203125" style="1" bestFit="1" customWidth="1"/>
    <col min="14339" max="14339" width="21" style="1" bestFit="1" customWidth="1"/>
    <col min="14340" max="14340" width="11.83203125" style="1" customWidth="1"/>
    <col min="14341" max="14341" width="11.5" style="1" customWidth="1"/>
    <col min="14342" max="14342" width="12" style="1" customWidth="1"/>
    <col min="14343" max="14343" width="11.5" style="1" customWidth="1"/>
    <col min="14344" max="14345" width="10.33203125" style="1" customWidth="1"/>
    <col min="14346" max="14360" width="8.83203125" style="1" customWidth="1"/>
    <col min="14361" max="14361" width="10.5" style="1" bestFit="1" customWidth="1"/>
    <col min="14362" max="14364" width="8.83203125" style="1" customWidth="1"/>
    <col min="14365" max="14366" width="9.1640625" style="1"/>
    <col min="14367" max="14367" width="9.5" style="1" customWidth="1"/>
    <col min="14368" max="14368" width="10.33203125" style="1" customWidth="1"/>
    <col min="14369" max="14369" width="9.6640625" style="1" customWidth="1"/>
    <col min="14370" max="14370" width="10.33203125" style="1" customWidth="1"/>
    <col min="14371" max="14371" width="14.83203125" style="1" bestFit="1" customWidth="1"/>
    <col min="14372" max="14592" width="9.1640625" style="1"/>
    <col min="14593" max="14593" width="21" style="1" bestFit="1" customWidth="1"/>
    <col min="14594" max="14594" width="3.83203125" style="1" bestFit="1" customWidth="1"/>
    <col min="14595" max="14595" width="21" style="1" bestFit="1" customWidth="1"/>
    <col min="14596" max="14596" width="11.83203125" style="1" customWidth="1"/>
    <col min="14597" max="14597" width="11.5" style="1" customWidth="1"/>
    <col min="14598" max="14598" width="12" style="1" customWidth="1"/>
    <col min="14599" max="14599" width="11.5" style="1" customWidth="1"/>
    <col min="14600" max="14601" width="10.33203125" style="1" customWidth="1"/>
    <col min="14602" max="14616" width="8.83203125" style="1" customWidth="1"/>
    <col min="14617" max="14617" width="10.5" style="1" bestFit="1" customWidth="1"/>
    <col min="14618" max="14620" width="8.83203125" style="1" customWidth="1"/>
    <col min="14621" max="14622" width="9.1640625" style="1"/>
    <col min="14623" max="14623" width="9.5" style="1" customWidth="1"/>
    <col min="14624" max="14624" width="10.33203125" style="1" customWidth="1"/>
    <col min="14625" max="14625" width="9.6640625" style="1" customWidth="1"/>
    <col min="14626" max="14626" width="10.33203125" style="1" customWidth="1"/>
    <col min="14627" max="14627" width="14.83203125" style="1" bestFit="1" customWidth="1"/>
    <col min="14628" max="14848" width="9.1640625" style="1"/>
    <col min="14849" max="14849" width="21" style="1" bestFit="1" customWidth="1"/>
    <col min="14850" max="14850" width="3.83203125" style="1" bestFit="1" customWidth="1"/>
    <col min="14851" max="14851" width="21" style="1" bestFit="1" customWidth="1"/>
    <col min="14852" max="14852" width="11.83203125" style="1" customWidth="1"/>
    <col min="14853" max="14853" width="11.5" style="1" customWidth="1"/>
    <col min="14854" max="14854" width="12" style="1" customWidth="1"/>
    <col min="14855" max="14855" width="11.5" style="1" customWidth="1"/>
    <col min="14856" max="14857" width="10.33203125" style="1" customWidth="1"/>
    <col min="14858" max="14872" width="8.83203125" style="1" customWidth="1"/>
    <col min="14873" max="14873" width="10.5" style="1" bestFit="1" customWidth="1"/>
    <col min="14874" max="14876" width="8.83203125" style="1" customWidth="1"/>
    <col min="14877" max="14878" width="9.1640625" style="1"/>
    <col min="14879" max="14879" width="9.5" style="1" customWidth="1"/>
    <col min="14880" max="14880" width="10.33203125" style="1" customWidth="1"/>
    <col min="14881" max="14881" width="9.6640625" style="1" customWidth="1"/>
    <col min="14882" max="14882" width="10.33203125" style="1" customWidth="1"/>
    <col min="14883" max="14883" width="14.83203125" style="1" bestFit="1" customWidth="1"/>
    <col min="14884" max="15104" width="9.1640625" style="1"/>
    <col min="15105" max="15105" width="21" style="1" bestFit="1" customWidth="1"/>
    <col min="15106" max="15106" width="3.83203125" style="1" bestFit="1" customWidth="1"/>
    <col min="15107" max="15107" width="21" style="1" bestFit="1" customWidth="1"/>
    <col min="15108" max="15108" width="11.83203125" style="1" customWidth="1"/>
    <col min="15109" max="15109" width="11.5" style="1" customWidth="1"/>
    <col min="15110" max="15110" width="12" style="1" customWidth="1"/>
    <col min="15111" max="15111" width="11.5" style="1" customWidth="1"/>
    <col min="15112" max="15113" width="10.33203125" style="1" customWidth="1"/>
    <col min="15114" max="15128" width="8.83203125" style="1" customWidth="1"/>
    <col min="15129" max="15129" width="10.5" style="1" bestFit="1" customWidth="1"/>
    <col min="15130" max="15132" width="8.83203125" style="1" customWidth="1"/>
    <col min="15133" max="15134" width="9.1640625" style="1"/>
    <col min="15135" max="15135" width="9.5" style="1" customWidth="1"/>
    <col min="15136" max="15136" width="10.33203125" style="1" customWidth="1"/>
    <col min="15137" max="15137" width="9.6640625" style="1" customWidth="1"/>
    <col min="15138" max="15138" width="10.33203125" style="1" customWidth="1"/>
    <col min="15139" max="15139" width="14.83203125" style="1" bestFit="1" customWidth="1"/>
    <col min="15140" max="15360" width="9.1640625" style="1"/>
    <col min="15361" max="15361" width="21" style="1" bestFit="1" customWidth="1"/>
    <col min="15362" max="15362" width="3.83203125" style="1" bestFit="1" customWidth="1"/>
    <col min="15363" max="15363" width="21" style="1" bestFit="1" customWidth="1"/>
    <col min="15364" max="15364" width="11.83203125" style="1" customWidth="1"/>
    <col min="15365" max="15365" width="11.5" style="1" customWidth="1"/>
    <col min="15366" max="15366" width="12" style="1" customWidth="1"/>
    <col min="15367" max="15367" width="11.5" style="1" customWidth="1"/>
    <col min="15368" max="15369" width="10.33203125" style="1" customWidth="1"/>
    <col min="15370" max="15384" width="8.83203125" style="1" customWidth="1"/>
    <col min="15385" max="15385" width="10.5" style="1" bestFit="1" customWidth="1"/>
    <col min="15386" max="15388" width="8.83203125" style="1" customWidth="1"/>
    <col min="15389" max="15390" width="9.1640625" style="1"/>
    <col min="15391" max="15391" width="9.5" style="1" customWidth="1"/>
    <col min="15392" max="15392" width="10.33203125" style="1" customWidth="1"/>
    <col min="15393" max="15393" width="9.6640625" style="1" customWidth="1"/>
    <col min="15394" max="15394" width="10.33203125" style="1" customWidth="1"/>
    <col min="15395" max="15395" width="14.83203125" style="1" bestFit="1" customWidth="1"/>
    <col min="15396" max="15616" width="9.1640625" style="1"/>
    <col min="15617" max="15617" width="21" style="1" bestFit="1" customWidth="1"/>
    <col min="15618" max="15618" width="3.83203125" style="1" bestFit="1" customWidth="1"/>
    <col min="15619" max="15619" width="21" style="1" bestFit="1" customWidth="1"/>
    <col min="15620" max="15620" width="11.83203125" style="1" customWidth="1"/>
    <col min="15621" max="15621" width="11.5" style="1" customWidth="1"/>
    <col min="15622" max="15622" width="12" style="1" customWidth="1"/>
    <col min="15623" max="15623" width="11.5" style="1" customWidth="1"/>
    <col min="15624" max="15625" width="10.33203125" style="1" customWidth="1"/>
    <col min="15626" max="15640" width="8.83203125" style="1" customWidth="1"/>
    <col min="15641" max="15641" width="10.5" style="1" bestFit="1" customWidth="1"/>
    <col min="15642" max="15644" width="8.83203125" style="1" customWidth="1"/>
    <col min="15645" max="15646" width="9.1640625" style="1"/>
    <col min="15647" max="15647" width="9.5" style="1" customWidth="1"/>
    <col min="15648" max="15648" width="10.33203125" style="1" customWidth="1"/>
    <col min="15649" max="15649" width="9.6640625" style="1" customWidth="1"/>
    <col min="15650" max="15650" width="10.33203125" style="1" customWidth="1"/>
    <col min="15651" max="15651" width="14.83203125" style="1" bestFit="1" customWidth="1"/>
    <col min="15652" max="15872" width="9.1640625" style="1"/>
    <col min="15873" max="15873" width="21" style="1" bestFit="1" customWidth="1"/>
    <col min="15874" max="15874" width="3.83203125" style="1" bestFit="1" customWidth="1"/>
    <col min="15875" max="15875" width="21" style="1" bestFit="1" customWidth="1"/>
    <col min="15876" max="15876" width="11.83203125" style="1" customWidth="1"/>
    <col min="15877" max="15877" width="11.5" style="1" customWidth="1"/>
    <col min="15878" max="15878" width="12" style="1" customWidth="1"/>
    <col min="15879" max="15879" width="11.5" style="1" customWidth="1"/>
    <col min="15880" max="15881" width="10.33203125" style="1" customWidth="1"/>
    <col min="15882" max="15896" width="8.83203125" style="1" customWidth="1"/>
    <col min="15897" max="15897" width="10.5" style="1" bestFit="1" customWidth="1"/>
    <col min="15898" max="15900" width="8.83203125" style="1" customWidth="1"/>
    <col min="15901" max="15902" width="9.1640625" style="1"/>
    <col min="15903" max="15903" width="9.5" style="1" customWidth="1"/>
    <col min="15904" max="15904" width="10.33203125" style="1" customWidth="1"/>
    <col min="15905" max="15905" width="9.6640625" style="1" customWidth="1"/>
    <col min="15906" max="15906" width="10.33203125" style="1" customWidth="1"/>
    <col min="15907" max="15907" width="14.83203125" style="1" bestFit="1" customWidth="1"/>
    <col min="15908" max="16128" width="9.1640625" style="1"/>
    <col min="16129" max="16129" width="21" style="1" bestFit="1" customWidth="1"/>
    <col min="16130" max="16130" width="3.83203125" style="1" bestFit="1" customWidth="1"/>
    <col min="16131" max="16131" width="21" style="1" bestFit="1" customWidth="1"/>
    <col min="16132" max="16132" width="11.83203125" style="1" customWidth="1"/>
    <col min="16133" max="16133" width="11.5" style="1" customWidth="1"/>
    <col min="16134" max="16134" width="12" style="1" customWidth="1"/>
    <col min="16135" max="16135" width="11.5" style="1" customWidth="1"/>
    <col min="16136" max="16137" width="10.33203125" style="1" customWidth="1"/>
    <col min="16138" max="16152" width="8.83203125" style="1" customWidth="1"/>
    <col min="16153" max="16153" width="10.5" style="1" bestFit="1" customWidth="1"/>
    <col min="16154" max="16156" width="8.83203125" style="1" customWidth="1"/>
    <col min="16157" max="16158" width="9.1640625" style="1"/>
    <col min="16159" max="16159" width="9.5" style="1" customWidth="1"/>
    <col min="16160" max="16160" width="10.33203125" style="1" customWidth="1"/>
    <col min="16161" max="16161" width="9.6640625" style="1" customWidth="1"/>
    <col min="16162" max="16162" width="10.33203125" style="1" customWidth="1"/>
    <col min="16163" max="16163" width="14.83203125" style="1" bestFit="1" customWidth="1"/>
    <col min="16164" max="16383" width="9.1640625" style="1"/>
    <col min="16384" max="16384" width="9.1640625" style="1" customWidth="1"/>
  </cols>
  <sheetData>
    <row r="1" spans="2:38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</row>
    <row r="2" spans="2:38" ht="15" customHeight="1" x14ac:dyDescent="0.2">
      <c r="B2" s="1" t="s">
        <v>0</v>
      </c>
      <c r="C2" s="200" t="s">
        <v>1</v>
      </c>
      <c r="D2" s="200" t="s">
        <v>2</v>
      </c>
      <c r="E2" s="200" t="s">
        <v>3</v>
      </c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199" t="s">
        <v>4</v>
      </c>
      <c r="AK2" s="199" t="s">
        <v>57</v>
      </c>
      <c r="AL2" s="3"/>
    </row>
    <row r="3" spans="2:38" s="4" customFormat="1" x14ac:dyDescent="0.2">
      <c r="B3" s="4" t="s">
        <v>5</v>
      </c>
      <c r="C3" s="200"/>
      <c r="D3" s="200"/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>
        <v>31</v>
      </c>
      <c r="AJ3" s="199"/>
      <c r="AK3" s="199"/>
    </row>
    <row r="4" spans="2:38" ht="15" customHeight="1" x14ac:dyDescent="0.2">
      <c r="B4" s="1" t="s">
        <v>59</v>
      </c>
      <c r="C4" s="1">
        <v>1</v>
      </c>
      <c r="D4" s="1" t="str">
        <f>B4</f>
        <v>TAP PC 400-03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6">
        <f t="shared" ref="AJ4:AJ23" si="0">SUM(E4:AI4)</f>
        <v>0</v>
      </c>
      <c r="AK4" s="16">
        <f>VLOOKUP(B4,'FUEL UNIT'!C:AL,35,FALSE)</f>
        <v>0</v>
      </c>
    </row>
    <row r="5" spans="2:38" ht="15" customHeight="1" x14ac:dyDescent="0.2">
      <c r="B5" s="1" t="s">
        <v>60</v>
      </c>
      <c r="C5" s="1">
        <v>2</v>
      </c>
      <c r="D5" s="1" t="str">
        <f t="shared" ref="D5:D27" si="1">B5</f>
        <v>TAP PC 400-06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6">
        <f t="shared" si="0"/>
        <v>0</v>
      </c>
      <c r="AK5" s="16">
        <f>VLOOKUP(B5,'FUEL UNIT'!C:AL,35,FALSE)</f>
        <v>0</v>
      </c>
      <c r="AL5" s="5"/>
    </row>
    <row r="6" spans="2:38" ht="15" customHeight="1" x14ac:dyDescent="0.2">
      <c r="B6" s="1" t="s">
        <v>68</v>
      </c>
      <c r="C6" s="1">
        <v>3</v>
      </c>
      <c r="D6" s="1" t="str">
        <f t="shared" si="1"/>
        <v>TAP PC 300-11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6">
        <f t="shared" si="0"/>
        <v>0</v>
      </c>
      <c r="AK6" s="16">
        <f>VLOOKUP(B6,'FUEL UNIT'!C:AL,35,FALSE)</f>
        <v>0</v>
      </c>
      <c r="AL6" s="5"/>
    </row>
    <row r="7" spans="2:38" ht="15" customHeight="1" x14ac:dyDescent="0.2">
      <c r="B7" s="1" t="s">
        <v>143</v>
      </c>
      <c r="C7" s="1">
        <v>4</v>
      </c>
      <c r="D7" s="1" t="str">
        <f t="shared" si="1"/>
        <v>TAP PC 300-12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6">
        <f t="shared" si="0"/>
        <v>0</v>
      </c>
      <c r="AK7" s="16">
        <f>VLOOKUP(B7,'FUEL UNIT'!C:AL,35,FALSE)</f>
        <v>0</v>
      </c>
      <c r="AL7" s="5"/>
    </row>
    <row r="8" spans="2:38" ht="15" customHeight="1" x14ac:dyDescent="0.2">
      <c r="B8" s="1" t="s">
        <v>144</v>
      </c>
      <c r="C8" s="1">
        <v>5</v>
      </c>
      <c r="D8" s="1" t="str">
        <f t="shared" si="1"/>
        <v>TAP PC 300-14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6">
        <f t="shared" si="0"/>
        <v>0</v>
      </c>
      <c r="AK8" s="16">
        <f>VLOOKUP(B8,'FUEL UNIT'!C:AL,35,FALSE)</f>
        <v>0</v>
      </c>
      <c r="AL8" s="5"/>
    </row>
    <row r="9" spans="2:38" ht="15" customHeight="1" x14ac:dyDescent="0.2">
      <c r="B9" s="1" t="s">
        <v>61</v>
      </c>
      <c r="C9" s="1">
        <v>6</v>
      </c>
      <c r="D9" s="1" t="str">
        <f t="shared" si="1"/>
        <v>TAP PC 200-11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6">
        <f t="shared" si="0"/>
        <v>0</v>
      </c>
      <c r="AK9" s="16">
        <f>VLOOKUP(B9,'FUEL UNIT'!C:AL,35,FALSE)</f>
        <v>0</v>
      </c>
      <c r="AL9" s="5"/>
    </row>
    <row r="10" spans="2:38" ht="15" customHeight="1" x14ac:dyDescent="0.2">
      <c r="B10" s="1" t="s">
        <v>141</v>
      </c>
      <c r="C10" s="1">
        <v>7</v>
      </c>
      <c r="D10" s="1" t="str">
        <f t="shared" si="1"/>
        <v>TAP PC 200-12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6">
        <f t="shared" si="0"/>
        <v>0</v>
      </c>
      <c r="AK10" s="16">
        <f>VLOOKUP(B10,'FUEL UNIT'!C:AL,35,FALSE)</f>
        <v>0</v>
      </c>
      <c r="AL10" s="5"/>
    </row>
    <row r="11" spans="2:38" ht="15" customHeight="1" x14ac:dyDescent="0.2">
      <c r="B11" s="1" t="s">
        <v>142</v>
      </c>
      <c r="C11" s="1">
        <v>8</v>
      </c>
      <c r="D11" s="1" t="str">
        <f t="shared" si="1"/>
        <v>TAP PC 200-14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6">
        <f t="shared" si="0"/>
        <v>0</v>
      </c>
      <c r="AK11" s="16">
        <f>VLOOKUP(B11,'FUEL UNIT'!C:AL,35,FALSE)</f>
        <v>0</v>
      </c>
      <c r="AL11" s="5"/>
    </row>
    <row r="12" spans="2:38" ht="15" customHeight="1" x14ac:dyDescent="0.2">
      <c r="B12" s="1" t="s">
        <v>145</v>
      </c>
      <c r="C12" s="1">
        <v>9</v>
      </c>
      <c r="D12" s="1" t="str">
        <f t="shared" si="1"/>
        <v>TAP PC 200-15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6">
        <f t="shared" si="0"/>
        <v>0</v>
      </c>
      <c r="AK12" s="16">
        <f>VLOOKUP(B12,'FUEL UNIT'!C:AL,35,FALSE)</f>
        <v>0</v>
      </c>
      <c r="AL12" s="5"/>
    </row>
    <row r="13" spans="2:38" ht="15" customHeight="1" x14ac:dyDescent="0.2">
      <c r="B13" s="1" t="s">
        <v>146</v>
      </c>
      <c r="C13" s="1">
        <v>10</v>
      </c>
      <c r="D13" s="1" t="str">
        <f t="shared" si="1"/>
        <v>TAP PC 200-16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6">
        <f t="shared" si="0"/>
        <v>0</v>
      </c>
      <c r="AK13" s="16">
        <f>VLOOKUP(B13,'FUEL UNIT'!C:AL,35,FALSE)</f>
        <v>0</v>
      </c>
      <c r="AL13" s="5"/>
    </row>
    <row r="14" spans="2:38" ht="15" customHeight="1" x14ac:dyDescent="0.2">
      <c r="B14" s="1" t="s">
        <v>147</v>
      </c>
      <c r="C14" s="1">
        <v>11</v>
      </c>
      <c r="D14" s="1" t="str">
        <f t="shared" si="1"/>
        <v>ADT HM 400-01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6">
        <f t="shared" si="0"/>
        <v>0</v>
      </c>
      <c r="AK14" s="16">
        <f>VLOOKUP(B14,'FUEL UNIT'!C:AL,35,FALSE)</f>
        <v>0</v>
      </c>
      <c r="AL14" s="5"/>
    </row>
    <row r="15" spans="2:38" ht="15" customHeight="1" x14ac:dyDescent="0.2">
      <c r="B15" s="1" t="s">
        <v>62</v>
      </c>
      <c r="C15" s="1">
        <v>12</v>
      </c>
      <c r="D15" s="1" t="str">
        <f t="shared" si="1"/>
        <v>ADT HM 400-02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6">
        <f t="shared" si="0"/>
        <v>0</v>
      </c>
      <c r="AK15" s="16">
        <f>VLOOKUP(B15,'FUEL UNIT'!C:AL,35,FALSE)</f>
        <v>0</v>
      </c>
      <c r="AL15" s="5"/>
    </row>
    <row r="16" spans="2:38" ht="15" customHeight="1" x14ac:dyDescent="0.2">
      <c r="B16" s="1" t="s">
        <v>63</v>
      </c>
      <c r="C16" s="1">
        <v>13</v>
      </c>
      <c r="D16" s="1" t="str">
        <f t="shared" si="1"/>
        <v>ADT HM 400-03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6">
        <f t="shared" si="0"/>
        <v>0</v>
      </c>
      <c r="AK16" s="16">
        <f>VLOOKUP(B16,'FUEL UNIT'!C:AL,35,FALSE)</f>
        <v>0</v>
      </c>
      <c r="AL16" s="5"/>
    </row>
    <row r="17" spans="1:38" ht="15" customHeight="1" x14ac:dyDescent="0.2">
      <c r="B17" s="1" t="s">
        <v>64</v>
      </c>
      <c r="C17" s="1">
        <v>14</v>
      </c>
      <c r="D17" s="1" t="str">
        <f t="shared" si="1"/>
        <v>ADT HM 400-05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6">
        <f t="shared" si="0"/>
        <v>0</v>
      </c>
      <c r="AK17" s="16">
        <f>VLOOKUP(B17,'FUEL UNIT'!C:AL,35,FALSE)</f>
        <v>0</v>
      </c>
      <c r="AL17" s="5"/>
    </row>
    <row r="18" spans="1:38" ht="15" customHeight="1" x14ac:dyDescent="0.2">
      <c r="B18" s="1" t="s">
        <v>69</v>
      </c>
      <c r="C18" s="1">
        <v>15</v>
      </c>
      <c r="D18" s="1" t="str">
        <f t="shared" si="1"/>
        <v>ADT HM 400-06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6">
        <f t="shared" si="0"/>
        <v>0</v>
      </c>
      <c r="AK18" s="16">
        <f>VLOOKUP(B18,'FUEL UNIT'!C:AL,35,FALSE)</f>
        <v>0</v>
      </c>
      <c r="AL18" s="5"/>
    </row>
    <row r="19" spans="1:38" ht="15" customHeight="1" x14ac:dyDescent="0.2">
      <c r="B19" s="1" t="s">
        <v>70</v>
      </c>
      <c r="C19" s="1">
        <v>16</v>
      </c>
      <c r="D19" s="1" t="str">
        <f t="shared" si="1"/>
        <v>ADT HM 400-07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6">
        <f t="shared" si="0"/>
        <v>0</v>
      </c>
      <c r="AK19" s="16">
        <f>VLOOKUP(B19,'FUEL UNIT'!C:AL,35,FALSE)</f>
        <v>0</v>
      </c>
      <c r="AL19" s="5"/>
    </row>
    <row r="20" spans="1:38" ht="15" customHeight="1" x14ac:dyDescent="0.2">
      <c r="B20" s="1" t="s">
        <v>71</v>
      </c>
      <c r="C20" s="1">
        <v>17</v>
      </c>
      <c r="D20" s="1" t="str">
        <f t="shared" si="1"/>
        <v>ADT HM 400-08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6">
        <f t="shared" si="0"/>
        <v>0</v>
      </c>
      <c r="AK20" s="16">
        <f>VLOOKUP(B20,'FUEL UNIT'!C:AL,35,FALSE)</f>
        <v>0</v>
      </c>
      <c r="AL20" s="5"/>
    </row>
    <row r="21" spans="1:38" ht="15" customHeight="1" x14ac:dyDescent="0.2">
      <c r="B21" s="1" t="s">
        <v>65</v>
      </c>
      <c r="C21" s="1">
        <v>18</v>
      </c>
      <c r="D21" s="1" t="str">
        <f t="shared" si="1"/>
        <v>DOZER D65P-04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6">
        <f t="shared" si="0"/>
        <v>0</v>
      </c>
      <c r="AK21" s="16">
        <f>VLOOKUP(B21,'FUEL UNIT'!C:AL,35,FALSE)</f>
        <v>0</v>
      </c>
      <c r="AL21" s="5"/>
    </row>
    <row r="22" spans="1:38" ht="15" customHeight="1" x14ac:dyDescent="0.2">
      <c r="B22" s="1" t="s">
        <v>72</v>
      </c>
      <c r="C22" s="1">
        <v>19</v>
      </c>
      <c r="D22" s="1" t="str">
        <f t="shared" si="1"/>
        <v>DOZER D65P-05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6">
        <f t="shared" si="0"/>
        <v>0</v>
      </c>
      <c r="AK22" s="16">
        <f>VLOOKUP(B22,'FUEL UNIT'!C:AL,35,FALSE)</f>
        <v>0</v>
      </c>
      <c r="AL22" s="5"/>
    </row>
    <row r="23" spans="1:38" ht="15" customHeight="1" x14ac:dyDescent="0.2">
      <c r="B23" s="1" t="s">
        <v>90</v>
      </c>
      <c r="C23" s="1">
        <v>20</v>
      </c>
      <c r="D23" s="1" t="str">
        <f t="shared" si="1"/>
        <v>DOZER D65P-11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6">
        <f t="shared" si="0"/>
        <v>0</v>
      </c>
      <c r="AK23" s="16">
        <f>VLOOKUP(B23,'FUEL UNIT'!C:AL,35,FALSE)</f>
        <v>0</v>
      </c>
      <c r="AL23" s="5"/>
    </row>
    <row r="24" spans="1:38" ht="15" customHeight="1" x14ac:dyDescent="0.2">
      <c r="B24" s="1" t="s">
        <v>66</v>
      </c>
      <c r="C24" s="1">
        <v>21</v>
      </c>
      <c r="D24" s="1" t="str">
        <f t="shared" si="1"/>
        <v>DOZER D85SS-02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6">
        <f t="shared" ref="AJ24" si="2">SUM(E24:AI24)</f>
        <v>0</v>
      </c>
      <c r="AK24" s="16">
        <f>VLOOKUP(B24,'FUEL UNIT'!C:AL,35,FALSE)</f>
        <v>0</v>
      </c>
      <c r="AL24" s="5"/>
    </row>
    <row r="25" spans="1:38" ht="15" customHeight="1" x14ac:dyDescent="0.2">
      <c r="B25" s="1" t="s">
        <v>91</v>
      </c>
      <c r="C25" s="1">
        <v>22</v>
      </c>
      <c r="D25" s="1" t="str">
        <f t="shared" si="1"/>
        <v>DOZER D85SS-11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6">
        <f t="shared" ref="AJ25:AJ27" si="3">SUM(E25:AI25)</f>
        <v>0</v>
      </c>
      <c r="AK25" s="16">
        <f>VLOOKUP(B25,'FUEL UNIT'!C:AL,35,FALSE)</f>
        <v>0</v>
      </c>
      <c r="AL25" s="5"/>
    </row>
    <row r="26" spans="1:38" ht="15" customHeight="1" x14ac:dyDescent="0.2">
      <c r="B26" s="1" t="s">
        <v>92</v>
      </c>
      <c r="C26" s="1">
        <v>23</v>
      </c>
      <c r="D26" s="1" t="str">
        <f t="shared" si="1"/>
        <v>TAP GRADER-11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6">
        <f t="shared" si="3"/>
        <v>0</v>
      </c>
      <c r="AK26" s="16">
        <f>VLOOKUP(B26,'FUEL UNIT'!C:AL,35,FALSE)</f>
        <v>0</v>
      </c>
      <c r="AL26" s="5"/>
    </row>
    <row r="27" spans="1:38" ht="15" customHeight="1" x14ac:dyDescent="0.2">
      <c r="B27" s="1" t="s">
        <v>67</v>
      </c>
      <c r="C27" s="1">
        <v>24</v>
      </c>
      <c r="D27" s="1" t="str">
        <f t="shared" si="1"/>
        <v>TAP SAKAI-03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6">
        <f t="shared" si="3"/>
        <v>0</v>
      </c>
      <c r="AK27" s="16">
        <f>VLOOKUP(B27,'FUEL UNIT'!C:AL,35,FALSE)</f>
        <v>0</v>
      </c>
      <c r="AL27" s="5"/>
    </row>
    <row r="28" spans="1:38" x14ac:dyDescent="0.2"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6"/>
      <c r="AK28" s="13"/>
      <c r="AL28" s="5"/>
    </row>
    <row r="29" spans="1:38" s="2" customFormat="1" x14ac:dyDescent="0.2">
      <c r="A29" s="19"/>
      <c r="B29" s="200" t="s">
        <v>21</v>
      </c>
      <c r="C29" s="200"/>
      <c r="D29" s="200"/>
      <c r="E29" s="6">
        <f t="shared" ref="E29:AK29" si="4">SUM(E4:E27)</f>
        <v>0</v>
      </c>
      <c r="F29" s="6">
        <f t="shared" si="4"/>
        <v>0</v>
      </c>
      <c r="G29" s="6">
        <f t="shared" si="4"/>
        <v>0</v>
      </c>
      <c r="H29" s="6">
        <f t="shared" si="4"/>
        <v>0</v>
      </c>
      <c r="I29" s="6">
        <f t="shared" si="4"/>
        <v>0</v>
      </c>
      <c r="J29" s="6">
        <f t="shared" si="4"/>
        <v>0</v>
      </c>
      <c r="K29" s="6">
        <f t="shared" si="4"/>
        <v>0</v>
      </c>
      <c r="L29" s="6">
        <f t="shared" si="4"/>
        <v>0</v>
      </c>
      <c r="M29" s="6">
        <f t="shared" si="4"/>
        <v>0</v>
      </c>
      <c r="N29" s="6">
        <f t="shared" si="4"/>
        <v>0</v>
      </c>
      <c r="O29" s="6">
        <f t="shared" si="4"/>
        <v>0</v>
      </c>
      <c r="P29" s="6">
        <f t="shared" si="4"/>
        <v>0</v>
      </c>
      <c r="Q29" s="6">
        <f t="shared" si="4"/>
        <v>0</v>
      </c>
      <c r="R29" s="6">
        <f t="shared" si="4"/>
        <v>0</v>
      </c>
      <c r="S29" s="6">
        <f t="shared" si="4"/>
        <v>0</v>
      </c>
      <c r="T29" s="6">
        <f t="shared" si="4"/>
        <v>0</v>
      </c>
      <c r="U29" s="6">
        <f t="shared" si="4"/>
        <v>0</v>
      </c>
      <c r="V29" s="6">
        <f t="shared" si="4"/>
        <v>0</v>
      </c>
      <c r="W29" s="6">
        <f t="shared" si="4"/>
        <v>0</v>
      </c>
      <c r="X29" s="6">
        <f t="shared" si="4"/>
        <v>0</v>
      </c>
      <c r="Y29" s="6">
        <f t="shared" si="4"/>
        <v>0</v>
      </c>
      <c r="Z29" s="6">
        <f t="shared" si="4"/>
        <v>0</v>
      </c>
      <c r="AA29" s="6">
        <f t="shared" si="4"/>
        <v>0</v>
      </c>
      <c r="AB29" s="6">
        <f t="shared" si="4"/>
        <v>0</v>
      </c>
      <c r="AC29" s="6">
        <f t="shared" si="4"/>
        <v>0</v>
      </c>
      <c r="AD29" s="6">
        <f t="shared" si="4"/>
        <v>0</v>
      </c>
      <c r="AE29" s="6">
        <f t="shared" si="4"/>
        <v>0</v>
      </c>
      <c r="AF29" s="6">
        <f t="shared" si="4"/>
        <v>0</v>
      </c>
      <c r="AG29" s="6">
        <f t="shared" si="4"/>
        <v>0</v>
      </c>
      <c r="AH29" s="6">
        <f t="shared" si="4"/>
        <v>0</v>
      </c>
      <c r="AI29" s="6">
        <f t="shared" si="4"/>
        <v>0</v>
      </c>
      <c r="AJ29" s="6">
        <f t="shared" si="4"/>
        <v>0</v>
      </c>
      <c r="AK29" s="6">
        <f t="shared" si="4"/>
        <v>0</v>
      </c>
      <c r="AL29" s="6"/>
    </row>
    <row r="30" spans="1:38" s="2" customFormat="1" x14ac:dyDescent="0.2">
      <c r="A30" s="19"/>
      <c r="B30" s="14"/>
      <c r="C30" s="14"/>
      <c r="D30" s="14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spans="1:38" x14ac:dyDescent="0.2">
      <c r="D31" s="7"/>
      <c r="P31" s="5"/>
      <c r="Q31" s="5"/>
      <c r="Z31" s="6"/>
      <c r="AA31" s="6"/>
      <c r="AB31" s="6"/>
      <c r="AG31" s="6"/>
      <c r="AH31" s="2"/>
      <c r="AI31" s="2"/>
      <c r="AJ31" s="6"/>
      <c r="AK31" s="5"/>
      <c r="AL31" s="5"/>
    </row>
    <row r="32" spans="1:38" ht="20" customHeight="1" x14ac:dyDescent="0.2">
      <c r="B32" s="2" t="s">
        <v>10</v>
      </c>
      <c r="C32" s="2" t="s">
        <v>11</v>
      </c>
      <c r="D32" s="8">
        <f>SUM(E29:I29)</f>
        <v>0</v>
      </c>
      <c r="Z32" s="201" t="s">
        <v>12</v>
      </c>
      <c r="AA32" s="201"/>
      <c r="AB32" s="201"/>
      <c r="AG32" s="201" t="s">
        <v>13</v>
      </c>
      <c r="AH32" s="201"/>
      <c r="AI32" s="201"/>
    </row>
    <row r="33" spans="2:36" ht="20" customHeight="1" x14ac:dyDescent="0.2">
      <c r="B33" s="2" t="s">
        <v>14</v>
      </c>
      <c r="C33" s="2" t="s">
        <v>11</v>
      </c>
      <c r="D33" s="8">
        <f>SUM(J29:P29)</f>
        <v>0</v>
      </c>
      <c r="AJ33" s="9"/>
    </row>
    <row r="34" spans="2:36" ht="20" customHeight="1" x14ac:dyDescent="0.2">
      <c r="B34" s="2" t="s">
        <v>15</v>
      </c>
      <c r="C34" s="2" t="s">
        <v>11</v>
      </c>
      <c r="D34" s="8">
        <f>SUM(Q29:W29)</f>
        <v>0</v>
      </c>
      <c r="S34" s="12"/>
      <c r="T34" s="12"/>
      <c r="U34" s="12"/>
    </row>
    <row r="35" spans="2:36" ht="20" customHeight="1" x14ac:dyDescent="0.2">
      <c r="B35" s="2" t="s">
        <v>16</v>
      </c>
      <c r="C35" s="2" t="s">
        <v>11</v>
      </c>
      <c r="D35" s="8">
        <f>SUM(X29:AD29)</f>
        <v>0</v>
      </c>
      <c r="I35" s="1" t="s">
        <v>17</v>
      </c>
    </row>
    <row r="36" spans="2:36" ht="20" customHeight="1" x14ac:dyDescent="0.2">
      <c r="B36" s="2" t="s">
        <v>18</v>
      </c>
      <c r="C36" s="2" t="s">
        <v>11</v>
      </c>
      <c r="D36" s="8">
        <f>SUM(AE29:AI29)</f>
        <v>0</v>
      </c>
      <c r="Z36" s="201" t="s">
        <v>19</v>
      </c>
      <c r="AA36" s="201"/>
      <c r="AB36" s="201"/>
      <c r="AG36" s="201" t="s">
        <v>20</v>
      </c>
      <c r="AH36" s="201"/>
      <c r="AI36" s="201"/>
    </row>
    <row r="37" spans="2:36" ht="20" customHeight="1" x14ac:dyDescent="0.2">
      <c r="B37" s="2"/>
      <c r="C37" s="2"/>
      <c r="D37" s="8"/>
    </row>
    <row r="38" spans="2:36" ht="20" customHeight="1" x14ac:dyDescent="0.2">
      <c r="B38" s="2"/>
      <c r="C38" s="2"/>
      <c r="D38" s="10">
        <f>SUM(D32:D36)</f>
        <v>0</v>
      </c>
    </row>
    <row r="39" spans="2:36" ht="20" customHeight="1" x14ac:dyDescent="0.2"/>
    <row r="40" spans="2:36" ht="20" customHeight="1" x14ac:dyDescent="0.2">
      <c r="D40" s="11" t="str">
        <f>IF(D38=AJ29,"BENAR","SALAH")</f>
        <v>BENAR</v>
      </c>
    </row>
  </sheetData>
  <mergeCells count="10">
    <mergeCell ref="AK2:AK3"/>
    <mergeCell ref="AJ2:AJ3"/>
    <mergeCell ref="B29:D29"/>
    <mergeCell ref="AG36:AI36"/>
    <mergeCell ref="Z36:AB36"/>
    <mergeCell ref="AG32:AI32"/>
    <mergeCell ref="Z32:AB32"/>
    <mergeCell ref="C2:C3"/>
    <mergeCell ref="D2:D3"/>
    <mergeCell ref="E2:A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SUMMARY</vt:lpstr>
      <vt:lpstr>SUMMARY MTD</vt:lpstr>
      <vt:lpstr>REPORT unit OB</vt:lpstr>
      <vt:lpstr>REPORT unit QUARRY</vt:lpstr>
      <vt:lpstr>REPORT unit DEVELOP</vt:lpstr>
      <vt:lpstr>REPORT unit ORE GETTING</vt:lpstr>
      <vt:lpstr>REPORT unit DT HAUL</vt:lpstr>
      <vt:lpstr>REPORT unit LV &amp; support</vt:lpstr>
      <vt:lpstr>HOUR METER</vt:lpstr>
      <vt:lpstr>FUEL UNIT</vt:lpstr>
      <vt:lpstr>list rate unit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EKY SIDIK PRATAMA ROCKY Jr.</dc:creator>
  <cp:lastModifiedBy>dicky02102000</cp:lastModifiedBy>
  <cp:lastPrinted>2024-03-12T00:56:29Z</cp:lastPrinted>
  <dcterms:created xsi:type="dcterms:W3CDTF">2019-02-05T01:55:23Z</dcterms:created>
  <dcterms:modified xsi:type="dcterms:W3CDTF">2024-06-25T02:30:15Z</dcterms:modified>
</cp:coreProperties>
</file>