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4\CV_SA\cost production report SA\"/>
    </mc:Choice>
  </mc:AlternateContent>
  <xr:revisionPtr revIDLastSave="0" documentId="13_ncr:1_{77170DEA-4DD9-428C-946C-1695A8F82F2A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1" r:id="rId1"/>
    <sheet name="SUMMARY MTD" sheetId="12" r:id="rId2"/>
    <sheet name="REPORT unit OB" sheetId="4" r:id="rId3"/>
    <sheet name="REPORT unit QUARRY" sheetId="13" r:id="rId4"/>
    <sheet name="REPORT unit DEVELOP" sheetId="14" r:id="rId5"/>
    <sheet name="REPORT unit ORE GETTING" sheetId="15" r:id="rId6"/>
    <sheet name="REPORT unit DT HAUL" sheetId="7" r:id="rId7"/>
    <sheet name="REPORT unit LV &amp; support" sheetId="6" r:id="rId8"/>
    <sheet name="HOUR METER" sheetId="1" state="hidden" r:id="rId9"/>
    <sheet name="FUEL UNIT" sheetId="2" state="hidden" r:id="rId10"/>
    <sheet name="list rate unit" sheetId="5" r:id="rId11"/>
  </sheets>
  <externalReferences>
    <externalReference r:id="rId12"/>
  </externalReferences>
  <definedNames>
    <definedName name="_xlnm._FilterDatabase" localSheetId="4" hidden="1">'REPORT unit DEVELOP'!$B$7:$P$10</definedName>
    <definedName name="_xlnm._FilterDatabase" localSheetId="6" hidden="1">'REPORT unit DT HAUL'!$B$7:$R$31</definedName>
    <definedName name="_xlnm._FilterDatabase" localSheetId="2" hidden="1">'REPORT unit OB'!$B$7:$P$18</definedName>
    <definedName name="_xlnm._FilterDatabase" localSheetId="5" hidden="1">'REPORT unit ORE GETTING'!$B$7:$P$19</definedName>
    <definedName name="_xlnm._FilterDatabase" localSheetId="3" hidden="1">'REPORT unit QUARRY'!$B$7:$P$20</definedName>
    <definedName name="_xlnm.Print_Area" localSheetId="0">SUMMARY!$B$2:$L$37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2" l="1"/>
  <c r="E11" i="11"/>
  <c r="F15" i="13"/>
  <c r="G15" i="13" s="1"/>
  <c r="K15" i="13" s="1"/>
  <c r="F16" i="13"/>
  <c r="G16" i="13" s="1"/>
  <c r="F17" i="13"/>
  <c r="G17" i="13"/>
  <c r="I15" i="13"/>
  <c r="J15" i="13"/>
  <c r="O15" i="13"/>
  <c r="I16" i="13"/>
  <c r="J16" i="13"/>
  <c r="O16" i="13"/>
  <c r="I17" i="13"/>
  <c r="J17" i="13"/>
  <c r="O17" i="13"/>
  <c r="B15" i="13"/>
  <c r="B16" i="13"/>
  <c r="B17" i="13"/>
  <c r="K16" i="13" l="1"/>
  <c r="K17" i="13"/>
  <c r="E26" i="12" l="1"/>
  <c r="E25" i="12"/>
  <c r="E24" i="12"/>
  <c r="E13" i="12"/>
  <c r="E5" i="12"/>
  <c r="E3" i="12"/>
  <c r="B8" i="6"/>
  <c r="G23" i="7"/>
  <c r="H23" i="7" s="1"/>
  <c r="J23" i="7"/>
  <c r="K23" i="7"/>
  <c r="L23" i="7"/>
  <c r="M23" i="7"/>
  <c r="G24" i="7"/>
  <c r="H24" i="7" s="1"/>
  <c r="J24" i="7"/>
  <c r="K24" i="7"/>
  <c r="L24" i="7"/>
  <c r="M24" i="7"/>
  <c r="R23" i="7"/>
  <c r="R24" i="7"/>
  <c r="B23" i="7"/>
  <c r="B24" i="7"/>
  <c r="B25" i="7"/>
  <c r="B26" i="7"/>
  <c r="B27" i="7"/>
  <c r="B28" i="7"/>
  <c r="B29" i="7"/>
  <c r="B30" i="7"/>
  <c r="B31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8" i="7"/>
  <c r="I15" i="15"/>
  <c r="J15" i="15"/>
  <c r="O15" i="15"/>
  <c r="N15" i="15" s="1"/>
  <c r="F15" i="15" s="1"/>
  <c r="G15" i="15" s="1"/>
  <c r="I16" i="15"/>
  <c r="J16" i="15"/>
  <c r="O16" i="15"/>
  <c r="N16" i="15" s="1"/>
  <c r="F16" i="15" s="1"/>
  <c r="G16" i="15" s="1"/>
  <c r="B9" i="15"/>
  <c r="B10" i="15"/>
  <c r="B11" i="15"/>
  <c r="B12" i="15"/>
  <c r="B13" i="15"/>
  <c r="B14" i="15"/>
  <c r="B15" i="15"/>
  <c r="B16" i="15"/>
  <c r="B17" i="15"/>
  <c r="B18" i="15"/>
  <c r="B19" i="15"/>
  <c r="B8" i="15"/>
  <c r="B9" i="14"/>
  <c r="B10" i="14"/>
  <c r="B8" i="14"/>
  <c r="J10" i="13"/>
  <c r="O10" i="13"/>
  <c r="J11" i="13"/>
  <c r="O11" i="13"/>
  <c r="J12" i="13"/>
  <c r="O12" i="13"/>
  <c r="J13" i="13"/>
  <c r="O13" i="13"/>
  <c r="J14" i="13"/>
  <c r="O14" i="13"/>
  <c r="J18" i="13"/>
  <c r="O18" i="13"/>
  <c r="J19" i="13"/>
  <c r="O19" i="13"/>
  <c r="J20" i="13"/>
  <c r="O20" i="13"/>
  <c r="F10" i="13"/>
  <c r="G10" i="13" s="1"/>
  <c r="F11" i="13"/>
  <c r="G11" i="13" s="1"/>
  <c r="F12" i="13"/>
  <c r="G12" i="13" s="1"/>
  <c r="F13" i="13"/>
  <c r="G13" i="13" s="1"/>
  <c r="F14" i="13"/>
  <c r="G14" i="13" s="1"/>
  <c r="F18" i="13"/>
  <c r="G18" i="13" s="1"/>
  <c r="F19" i="13"/>
  <c r="G19" i="13" s="1"/>
  <c r="F20" i="13"/>
  <c r="G20" i="13" s="1"/>
  <c r="B9" i="13"/>
  <c r="B10" i="13"/>
  <c r="B11" i="13"/>
  <c r="B12" i="13"/>
  <c r="B13" i="13"/>
  <c r="B14" i="13"/>
  <c r="B18" i="13"/>
  <c r="B19" i="13"/>
  <c r="B20" i="13"/>
  <c r="B8" i="13"/>
  <c r="J10" i="4"/>
  <c r="O10" i="4"/>
  <c r="N10" i="4" s="1"/>
  <c r="F10" i="4" s="1"/>
  <c r="G10" i="4" s="1"/>
  <c r="J11" i="4"/>
  <c r="O11" i="4"/>
  <c r="N11" i="4" s="1"/>
  <c r="F11" i="4" s="1"/>
  <c r="G11" i="4" s="1"/>
  <c r="J12" i="4"/>
  <c r="O12" i="4"/>
  <c r="N12" i="4" s="1"/>
  <c r="F12" i="4" s="1"/>
  <c r="G12" i="4" s="1"/>
  <c r="J13" i="4"/>
  <c r="O13" i="4"/>
  <c r="N13" i="4" s="1"/>
  <c r="F13" i="4" s="1"/>
  <c r="G13" i="4" s="1"/>
  <c r="J14" i="4"/>
  <c r="O14" i="4"/>
  <c r="N14" i="4" s="1"/>
  <c r="F14" i="4" s="1"/>
  <c r="G14" i="4" s="1"/>
  <c r="J15" i="4"/>
  <c r="O15" i="4"/>
  <c r="N15" i="4" s="1"/>
  <c r="F15" i="4" s="1"/>
  <c r="G15" i="4" s="1"/>
  <c r="J16" i="4"/>
  <c r="O16" i="4"/>
  <c r="N16" i="4" s="1"/>
  <c r="F16" i="4" s="1"/>
  <c r="G16" i="4" s="1"/>
  <c r="B14" i="4"/>
  <c r="B9" i="4"/>
  <c r="B10" i="4"/>
  <c r="B11" i="4"/>
  <c r="B12" i="4"/>
  <c r="B13" i="4"/>
  <c r="B15" i="4"/>
  <c r="B16" i="4"/>
  <c r="B8" i="4"/>
  <c r="K15" i="15" l="1"/>
  <c r="K16" i="15"/>
  <c r="N24" i="7"/>
  <c r="N23" i="7"/>
  <c r="D37" i="7" l="1"/>
  <c r="J17" i="15"/>
  <c r="O17" i="15"/>
  <c r="N17" i="15" s="1"/>
  <c r="F17" i="15" s="1"/>
  <c r="G17" i="15" s="1"/>
  <c r="F10" i="11"/>
  <c r="E7" i="12" s="1"/>
  <c r="J14" i="15" l="1"/>
  <c r="O14" i="15"/>
  <c r="N14" i="15" s="1"/>
  <c r="F14" i="15" s="1"/>
  <c r="G14" i="15" s="1"/>
  <c r="J18" i="15"/>
  <c r="O18" i="15"/>
  <c r="N18" i="15" s="1"/>
  <c r="F18" i="15" s="1"/>
  <c r="G18" i="15" s="1"/>
  <c r="J19" i="15"/>
  <c r="O19" i="15"/>
  <c r="N19" i="15" s="1"/>
  <c r="F19" i="15" s="1"/>
  <c r="G19" i="15" s="1"/>
  <c r="D14" i="11" l="1"/>
  <c r="D13" i="11"/>
  <c r="D13" i="6" l="1"/>
  <c r="D24" i="15"/>
  <c r="I17" i="15" s="1"/>
  <c r="K17" i="15" s="1"/>
  <c r="D15" i="14"/>
  <c r="D25" i="13"/>
  <c r="D21" i="4"/>
  <c r="J10" i="11"/>
  <c r="F12" i="11"/>
  <c r="E9" i="12" s="1"/>
  <c r="I14" i="13" l="1"/>
  <c r="K14" i="13" s="1"/>
  <c r="I18" i="13"/>
  <c r="K18" i="13" s="1"/>
  <c r="I10" i="13"/>
  <c r="K10" i="13" s="1"/>
  <c r="I19" i="13"/>
  <c r="K19" i="13" s="1"/>
  <c r="I11" i="13"/>
  <c r="K11" i="13" s="1"/>
  <c r="I20" i="13"/>
  <c r="K20" i="13" s="1"/>
  <c r="I12" i="13"/>
  <c r="K12" i="13" s="1"/>
  <c r="I13" i="13"/>
  <c r="K13" i="13" s="1"/>
  <c r="I10" i="4"/>
  <c r="K10" i="4" s="1"/>
  <c r="I15" i="4"/>
  <c r="K15" i="4" s="1"/>
  <c r="I11" i="4"/>
  <c r="K11" i="4" s="1"/>
  <c r="I16" i="4"/>
  <c r="K16" i="4" s="1"/>
  <c r="I12" i="4"/>
  <c r="K12" i="4" s="1"/>
  <c r="I14" i="4"/>
  <c r="K14" i="4" s="1"/>
  <c r="I13" i="4"/>
  <c r="K13" i="4" s="1"/>
  <c r="I14" i="15"/>
  <c r="K14" i="15" s="1"/>
  <c r="I18" i="15"/>
  <c r="K18" i="15" s="1"/>
  <c r="I19" i="15"/>
  <c r="K19" i="15" s="1"/>
  <c r="P9" i="12"/>
  <c r="P7" i="12"/>
  <c r="E33" i="7"/>
  <c r="E4" i="12" s="1"/>
  <c r="H21" i="15"/>
  <c r="E21" i="15"/>
  <c r="H22" i="13"/>
  <c r="E22" i="13"/>
  <c r="E13" i="11" l="1"/>
  <c r="E6" i="12" s="1"/>
  <c r="O9" i="14" l="1"/>
  <c r="N9" i="14" s="1"/>
  <c r="F9" i="14" s="1"/>
  <c r="G9" i="14" s="1"/>
  <c r="J9" i="14"/>
  <c r="F10" i="6"/>
  <c r="F18" i="11" l="1"/>
  <c r="E18" i="4"/>
  <c r="H10" i="6" l="1"/>
  <c r="D23" i="15" l="1"/>
  <c r="O13" i="15"/>
  <c r="N13" i="15" s="1"/>
  <c r="F13" i="15" s="1"/>
  <c r="G13" i="15" s="1"/>
  <c r="J13" i="15"/>
  <c r="O12" i="15"/>
  <c r="N12" i="15" s="1"/>
  <c r="F12" i="15" s="1"/>
  <c r="G12" i="15" s="1"/>
  <c r="J12" i="15"/>
  <c r="O11" i="15"/>
  <c r="N11" i="15" s="1"/>
  <c r="F11" i="15" s="1"/>
  <c r="G11" i="15" s="1"/>
  <c r="J11" i="15"/>
  <c r="O10" i="15"/>
  <c r="N10" i="15" s="1"/>
  <c r="F10" i="15" s="1"/>
  <c r="G10" i="15" s="1"/>
  <c r="J10" i="15"/>
  <c r="O9" i="15"/>
  <c r="N9" i="15" s="1"/>
  <c r="F9" i="15" s="1"/>
  <c r="G9" i="15" s="1"/>
  <c r="J9" i="15"/>
  <c r="O8" i="15"/>
  <c r="N8" i="15" s="1"/>
  <c r="F8" i="15" s="1"/>
  <c r="J8" i="15"/>
  <c r="I9" i="14"/>
  <c r="K9" i="14" s="1"/>
  <c r="D14" i="14"/>
  <c r="H12" i="14"/>
  <c r="E12" i="14"/>
  <c r="O10" i="14"/>
  <c r="N10" i="14" s="1"/>
  <c r="F10" i="14" s="1"/>
  <c r="J10" i="14"/>
  <c r="O8" i="14"/>
  <c r="N8" i="14" s="1"/>
  <c r="F8" i="14" s="1"/>
  <c r="G8" i="14" s="1"/>
  <c r="J8" i="14"/>
  <c r="O9" i="13"/>
  <c r="J9" i="13"/>
  <c r="F9" i="13"/>
  <c r="G9" i="13" s="1"/>
  <c r="O8" i="13"/>
  <c r="J8" i="13"/>
  <c r="F8" i="13"/>
  <c r="G8" i="13" l="1"/>
  <c r="G22" i="13" s="1"/>
  <c r="F22" i="13"/>
  <c r="G8" i="15"/>
  <c r="G21" i="15" s="1"/>
  <c r="F21" i="15"/>
  <c r="F12" i="14"/>
  <c r="I8" i="15"/>
  <c r="I12" i="15"/>
  <c r="K12" i="15" s="1"/>
  <c r="I10" i="15"/>
  <c r="K10" i="15" s="1"/>
  <c r="I13" i="15"/>
  <c r="K13" i="15" s="1"/>
  <c r="I9" i="15"/>
  <c r="K9" i="15" s="1"/>
  <c r="I11" i="15"/>
  <c r="K11" i="15" s="1"/>
  <c r="G10" i="14"/>
  <c r="G12" i="14" s="1"/>
  <c r="I10" i="14"/>
  <c r="I8" i="14"/>
  <c r="K8" i="14" s="1"/>
  <c r="J21" i="15"/>
  <c r="J12" i="14"/>
  <c r="J22" i="13"/>
  <c r="K8" i="15" l="1"/>
  <c r="K21" i="15" s="1"/>
  <c r="D25" i="11" s="1"/>
  <c r="E14" i="12" s="1"/>
  <c r="I21" i="15"/>
  <c r="K10" i="14"/>
  <c r="K12" i="14" s="1"/>
  <c r="D24" i="11" s="1"/>
  <c r="I12" i="14"/>
  <c r="D24" i="13" l="1"/>
  <c r="I9" i="13" l="1"/>
  <c r="K9" i="13" s="1"/>
  <c r="I8" i="13"/>
  <c r="I22" i="13" l="1"/>
  <c r="K8" i="13"/>
  <c r="O9" i="4"/>
  <c r="N9" i="4" s="1"/>
  <c r="F9" i="4" s="1"/>
  <c r="G9" i="4" s="1"/>
  <c r="J9" i="4"/>
  <c r="K22" i="13" l="1"/>
  <c r="D23" i="11" s="1"/>
  <c r="E12" i="12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8" i="7" l="1"/>
  <c r="H8" i="7" s="1"/>
  <c r="K8" i="7"/>
  <c r="L8" i="7"/>
  <c r="M8" i="7"/>
  <c r="R8" i="7"/>
  <c r="K9" i="7"/>
  <c r="L9" i="7"/>
  <c r="M9" i="7"/>
  <c r="R9" i="7"/>
  <c r="K10" i="7"/>
  <c r="L10" i="7"/>
  <c r="M10" i="7"/>
  <c r="R10" i="7"/>
  <c r="K11" i="7"/>
  <c r="L11" i="7"/>
  <c r="M11" i="7"/>
  <c r="R11" i="7"/>
  <c r="K12" i="7"/>
  <c r="L12" i="7"/>
  <c r="M12" i="7"/>
  <c r="R12" i="7"/>
  <c r="K13" i="7"/>
  <c r="L13" i="7"/>
  <c r="M13" i="7"/>
  <c r="R13" i="7"/>
  <c r="K14" i="7"/>
  <c r="L14" i="7"/>
  <c r="M14" i="7"/>
  <c r="R14" i="7"/>
  <c r="K15" i="7"/>
  <c r="L15" i="7"/>
  <c r="M15" i="7"/>
  <c r="R15" i="7"/>
  <c r="K16" i="7"/>
  <c r="L16" i="7"/>
  <c r="M16" i="7"/>
  <c r="R16" i="7"/>
  <c r="K17" i="7"/>
  <c r="L17" i="7"/>
  <c r="M17" i="7"/>
  <c r="R17" i="7"/>
  <c r="K18" i="7"/>
  <c r="L18" i="7"/>
  <c r="M18" i="7"/>
  <c r="R18" i="7"/>
  <c r="K19" i="7"/>
  <c r="L19" i="7"/>
  <c r="M19" i="7"/>
  <c r="R19" i="7"/>
  <c r="K20" i="7"/>
  <c r="L20" i="7"/>
  <c r="M20" i="7"/>
  <c r="R20" i="7"/>
  <c r="K21" i="7"/>
  <c r="L21" i="7"/>
  <c r="M21" i="7"/>
  <c r="R21" i="7"/>
  <c r="K22" i="7"/>
  <c r="L22" i="7"/>
  <c r="M22" i="7"/>
  <c r="R22" i="7"/>
  <c r="K25" i="7"/>
  <c r="L25" i="7"/>
  <c r="M25" i="7"/>
  <c r="R25" i="7"/>
  <c r="K26" i="7"/>
  <c r="L26" i="7"/>
  <c r="M26" i="7"/>
  <c r="R26" i="7"/>
  <c r="K27" i="7"/>
  <c r="L27" i="7"/>
  <c r="M27" i="7"/>
  <c r="R27" i="7"/>
  <c r="K28" i="7"/>
  <c r="L28" i="7"/>
  <c r="M28" i="7"/>
  <c r="R28" i="7"/>
  <c r="K29" i="7"/>
  <c r="L29" i="7"/>
  <c r="M29" i="7"/>
  <c r="R29" i="7"/>
  <c r="K30" i="7"/>
  <c r="L30" i="7"/>
  <c r="M30" i="7"/>
  <c r="R30" i="7"/>
  <c r="K31" i="7"/>
  <c r="L31" i="7"/>
  <c r="M31" i="7"/>
  <c r="R31" i="7"/>
  <c r="I9" i="4" l="1"/>
  <c r="K9" i="4" s="1"/>
  <c r="J8" i="7"/>
  <c r="N8" i="7" s="1"/>
  <c r="J12" i="7"/>
  <c r="N12" i="7" s="1"/>
  <c r="J16" i="7"/>
  <c r="N16" i="7" s="1"/>
  <c r="J20" i="7"/>
  <c r="N20" i="7" s="1"/>
  <c r="J26" i="7"/>
  <c r="N26" i="7" s="1"/>
  <c r="J30" i="7"/>
  <c r="N30" i="7" s="1"/>
  <c r="J9" i="7"/>
  <c r="N9" i="7" s="1"/>
  <c r="J17" i="7"/>
  <c r="N17" i="7" s="1"/>
  <c r="J27" i="7"/>
  <c r="N27" i="7" s="1"/>
  <c r="J11" i="7"/>
  <c r="N11" i="7" s="1"/>
  <c r="J15" i="7"/>
  <c r="N15" i="7" s="1"/>
  <c r="J19" i="7"/>
  <c r="N19" i="7" s="1"/>
  <c r="J25" i="7"/>
  <c r="N25" i="7" s="1"/>
  <c r="J29" i="7"/>
  <c r="N29" i="7" s="1"/>
  <c r="J10" i="7"/>
  <c r="N10" i="7" s="1"/>
  <c r="J14" i="7"/>
  <c r="N14" i="7" s="1"/>
  <c r="J18" i="7"/>
  <c r="N18" i="7" s="1"/>
  <c r="J22" i="7"/>
  <c r="N22" i="7" s="1"/>
  <c r="J28" i="7"/>
  <c r="N28" i="7" s="1"/>
  <c r="J21" i="7"/>
  <c r="N21" i="7" s="1"/>
  <c r="J13" i="7"/>
  <c r="N13" i="7" s="1"/>
  <c r="J31" i="7"/>
  <c r="N31" i="7" s="1"/>
  <c r="P5" i="12" l="1"/>
  <c r="A12" i="12"/>
  <c r="A13" i="12"/>
  <c r="A14" i="12"/>
  <c r="A15" i="12"/>
  <c r="A16" i="12"/>
  <c r="A11" i="12"/>
  <c r="P14" i="12" l="1"/>
  <c r="A30" i="12" l="1"/>
  <c r="P26" i="12"/>
  <c r="P25" i="12"/>
  <c r="P24" i="12"/>
  <c r="P13" i="12"/>
  <c r="P12" i="12"/>
  <c r="P10" i="12"/>
  <c r="P3" i="12"/>
  <c r="K28" i="5" l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33" i="7" l="1"/>
  <c r="D31" i="11" l="1"/>
  <c r="E18" i="12" s="1"/>
  <c r="P4" i="12"/>
  <c r="P6" i="12" s="1"/>
  <c r="F11" i="11"/>
  <c r="E8" i="12" s="1"/>
  <c r="J23" i="11"/>
  <c r="J25" i="11"/>
  <c r="J24" i="11"/>
  <c r="P8" i="12" l="1"/>
  <c r="P18" i="12"/>
  <c r="F13" i="11"/>
  <c r="K25" i="11"/>
  <c r="K24" i="11"/>
  <c r="K23" i="11"/>
  <c r="F29" i="2" l="1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H33" i="7" l="1"/>
  <c r="AK29" i="2" l="1"/>
  <c r="L33" i="7" l="1"/>
  <c r="D36" i="1" l="1"/>
  <c r="D35" i="1" l="1"/>
  <c r="D34" i="1"/>
  <c r="D32" i="1"/>
  <c r="D33" i="1"/>
  <c r="M8" i="6"/>
  <c r="O8" i="4"/>
  <c r="AK4" i="2"/>
  <c r="L8" i="6" l="1"/>
  <c r="E8" i="6" s="1"/>
  <c r="E10" i="6" s="1"/>
  <c r="N8" i="4"/>
  <c r="F8" i="4" s="1"/>
  <c r="AK30" i="2"/>
  <c r="I8" i="4"/>
  <c r="AK5" i="1"/>
  <c r="AK4" i="1"/>
  <c r="G8" i="6"/>
  <c r="G10" i="6" s="1"/>
  <c r="G8" i="4" l="1"/>
  <c r="K8" i="4" s="1"/>
  <c r="K18" i="4" s="1"/>
  <c r="F18" i="4"/>
  <c r="AK29" i="1"/>
  <c r="H18" i="4"/>
  <c r="J18" i="11" s="1"/>
  <c r="E27" i="12" s="1"/>
  <c r="I8" i="6"/>
  <c r="I33" i="7"/>
  <c r="J8" i="4"/>
  <c r="E39" i="2"/>
  <c r="E41" i="2" s="1"/>
  <c r="I10" i="6" l="1"/>
  <c r="D27" i="11" s="1"/>
  <c r="E16" i="12" s="1"/>
  <c r="I18" i="4"/>
  <c r="D22" i="11"/>
  <c r="E11" i="12" s="1"/>
  <c r="N33" i="7"/>
  <c r="D26" i="11" s="1"/>
  <c r="E15" i="12" s="1"/>
  <c r="M33" i="7"/>
  <c r="J33" i="7"/>
  <c r="D38" i="1"/>
  <c r="D40" i="1" s="1"/>
  <c r="K33" i="7"/>
  <c r="P15" i="12" l="1"/>
  <c r="P11" i="12"/>
  <c r="J27" i="11"/>
  <c r="K27" i="11" s="1"/>
  <c r="P16" i="12"/>
  <c r="J19" i="11"/>
  <c r="E28" i="12" s="1"/>
  <c r="D30" i="11"/>
  <c r="E17" i="12" s="1"/>
  <c r="E14" i="11"/>
  <c r="E22" i="12" s="1"/>
  <c r="J22" i="11"/>
  <c r="J26" i="11"/>
  <c r="K26" i="11" s="1"/>
  <c r="G18" i="4"/>
  <c r="J18" i="4"/>
  <c r="E20" i="12" l="1"/>
  <c r="E19" i="12"/>
  <c r="E21" i="12" s="1"/>
  <c r="F14" i="11"/>
  <c r="E23" i="12" s="1"/>
  <c r="P28" i="12"/>
  <c r="P17" i="12"/>
  <c r="P20" i="12" s="1"/>
  <c r="P27" i="12"/>
  <c r="P22" i="12" s="1"/>
  <c r="B35" i="11"/>
  <c r="D33" i="11"/>
  <c r="K22" i="11"/>
  <c r="K28" i="11" s="1"/>
  <c r="J28" i="11"/>
  <c r="D20" i="4"/>
  <c r="D36" i="7" s="1"/>
  <c r="D12" i="6" s="1"/>
  <c r="P23" i="12" l="1"/>
  <c r="P19" i="12"/>
  <c r="P21" i="12" s="1"/>
  <c r="J30" i="11"/>
  <c r="E29" i="12" s="1"/>
  <c r="J31" i="11" l="1"/>
  <c r="E30" i="12" s="1"/>
  <c r="P29" i="12"/>
  <c r="I22" i="11"/>
  <c r="I23" i="11"/>
  <c r="I27" i="11"/>
  <c r="I25" i="11"/>
  <c r="I24" i="11"/>
  <c r="I26" i="11"/>
  <c r="P30" i="12" l="1"/>
  <c r="I28" i="11"/>
</calcChain>
</file>

<file path=xl/sharedStrings.xml><?xml version="1.0" encoding="utf-8"?>
<sst xmlns="http://schemas.openxmlformats.org/spreadsheetml/2006/main" count="823" uniqueCount="360">
  <si>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</si>
  <si>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</si>
  <si>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</si>
  <si>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</si>
  <si>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</si>
  <si>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</si>
  <si>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</si>
  <si>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</si>
  <si>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</si>
  <si>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</si>
  <si>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</si>
  <si>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</si>
  <si>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</si>
  <si>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</si>
  <si>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</si>
  <si>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</si>
  <si>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</si>
  <si>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</si>
  <si>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</si>
  <si>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</si>
  <si>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</si>
  <si>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</si>
  <si>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</si>
  <si>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</si>
  <si>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</si>
  <si>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</si>
  <si>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</si>
  <si>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</si>
  <si>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</si>
  <si>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</si>
  <si>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</si>
  <si>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</si>
  <si>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</si>
  <si>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</si>
  <si>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</si>
  <si>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</si>
  <si>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</si>
  <si>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</si>
  <si>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</si>
  <si>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</si>
  <si>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</si>
  <si>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</si>
  <si>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</si>
  <si>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</si>
  <si>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</si>
  <si>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</si>
  <si>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</si>
  <si>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</si>
  <si>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</si>
  <si>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</si>
  <si>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</si>
  <si>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</si>
  <si>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</si>
  <si>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</si>
  <si>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</si>
  <si>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</si>
  <si>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</si>
  <si>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</si>
  <si>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</si>
  <si>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</si>
  <si>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</si>
  <si>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</si>
  <si>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</si>
  <si>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</si>
  <si>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</si>
  <si>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</si>
  <si>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</si>
  <si>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</si>
  <si>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</si>
  <si>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</si>
  <si>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</si>
  <si>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</si>
  <si>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</si>
  <si>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</si>
  <si>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WORKING HOUR</t>
  </si>
  <si>
    <t>ORE MINING</t>
  </si>
  <si>
    <t>MECANICAL AVAILABILITY</t>
  </si>
  <si>
    <t>STRIPING RATIO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</si>
  <si>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</si>
  <si>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</si>
  <si>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</si>
  <si>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</si>
  <si>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</si>
  <si>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</si>
  <si>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</si>
  <si>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</si>
  <si>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</si>
  <si>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</si>
  <si>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</si>
  <si>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</si>
  <si>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</si>
  <si>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</si>
  <si>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</si>
  <si>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</si>
  <si>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</si>
  <si>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</si>
  <si>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</si>
  <si>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</si>
  <si>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</si>
  <si>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</si>
  <si>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</si>
  <si>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</si>
  <si>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</si>
  <si>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</si>
  <si>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</si>
  <si>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</si>
  <si>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</si>
  <si>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</si>
  <si>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</si>
  <si>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</si>
  <si>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</si>
  <si>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</si>
  <si>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</si>
  <si>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</si>
  <si>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</si>
  <si>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</si>
  <si>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</si>
  <si>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</si>
  <si>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</si>
  <si>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</si>
  <si>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</si>
  <si>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</si>
  <si>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</si>
  <si>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</si>
  <si>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</si>
  <si>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</si>
  <si>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</si>
  <si>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</si>
  <si>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</si>
  <si>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</si>
  <si>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</si>
  <si>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</si>
  <si>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</si>
  <si>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</si>
  <si>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</si>
  <si>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</si>
  <si>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</si>
  <si>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</si>
  <si>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</si>
  <si>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</si>
  <si>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</si>
  <si>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</si>
  <si>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</si>
  <si>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</si>
  <si>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</si>
  <si>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</si>
  <si>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</si>
  <si>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</si>
  <si>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</si>
  <si>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</si>
  <si>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</si>
  <si>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</si>
  <si>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</si>
  <si>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</si>
  <si>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</si>
  <si>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</si>
  <si>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</si>
  <si>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</si>
  <si>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</si>
  <si>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</si>
  <si>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</si>
  <si>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</si>
  <si>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</si>
  <si>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</si>
  <si>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</si>
  <si>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</si>
  <si>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</si>
  <si>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</si>
  <si>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</si>
  <si>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</si>
  <si>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</si>
  <si>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</si>
  <si>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</si>
  <si>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</si>
  <si>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</si>
  <si>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</si>
  <si>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</si>
  <si>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</si>
  <si>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</si>
  <si>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</si>
  <si>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</si>
  <si>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</si>
  <si>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</si>
  <si>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</si>
  <si>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</si>
  <si>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</si>
  <si>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</si>
  <si>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</si>
  <si>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</si>
  <si>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</si>
  <si>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</si>
  <si>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</si>
  <si>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</si>
  <si>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</si>
  <si>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</si>
  <si>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</si>
  <si>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</si>
  <si>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</si>
  <si>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</si>
  <si>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</si>
  <si>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</si>
  <si>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</si>
  <si>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</si>
  <si>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</si>
  <si>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</si>
  <si>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</si>
  <si>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</si>
  <si>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</si>
  <si>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</si>
  <si>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</si>
  <si>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</si>
  <si>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</si>
  <si>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</si>
  <si>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</si>
  <si>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</si>
  <si>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</si>
  <si>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</si>
  <si>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</si>
  <si>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</si>
  <si>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</si>
  <si>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</si>
  <si>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</si>
  <si>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</si>
  <si>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</si>
  <si>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</si>
  <si>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</si>
  <si>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</si>
  <si>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</si>
  <si>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</si>
  <si>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</si>
  <si>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</si>
  <si>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</si>
  <si>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</si>
  <si>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</si>
  <si>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</si>
  <si>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</si>
  <si>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</si>
  <si>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</si>
  <si>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</si>
  <si>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</si>
  <si>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</si>
  <si>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</si>
  <si>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</si>
  <si>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</si>
  <si>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</si>
  <si>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</si>
  <si>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</si>
  <si>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</si>
  <si>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</si>
  <si>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</si>
  <si>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</si>
  <si>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</si>
  <si>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</si>
  <si>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</si>
  <si>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</si>
  <si>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</si>
  <si>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</si>
  <si>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</si>
  <si>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</si>
  <si>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</si>
  <si>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</si>
  <si>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</si>
  <si>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</si>
  <si>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</si>
  <si>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</si>
  <si>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</si>
  <si>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</si>
  <si>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</si>
  <si>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</si>
  <si>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</si>
  <si>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</si>
  <si>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</si>
  <si>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</si>
  <si>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</si>
  <si>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</si>
  <si>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</si>
  <si>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</si>
  <si>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</si>
  <si>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</si>
  <si>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</si>
  <si>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</si>
  <si>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</si>
  <si>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</si>
  <si>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</si>
  <si>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</si>
  <si>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</si>
  <si>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</si>
  <si>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</si>
  <si>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</si>
  <si>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</si>
  <si>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</si>
  <si>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</si>
  <si>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</si>
  <si>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</si>
  <si>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</si>
  <si>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</si>
  <si>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source data ( owning &amp; operating cost)</t>
  </si>
  <si>
    <t>CV. SENTOSA ABADI</t>
  </si>
  <si>
    <t>KOMATSU PC 200 - 24</t>
  </si>
  <si>
    <t>KOMATSU SK 200 - 19</t>
  </si>
  <si>
    <t>LV TRITON PUTIH - 28</t>
  </si>
  <si>
    <t>TRUCK TYRE (LT-06)</t>
  </si>
  <si>
    <t>WELDER CAR (LT-07)</t>
  </si>
  <si>
    <t>(fuel not include in contract)</t>
  </si>
  <si>
    <t>FUEL TRUCK - 02</t>
  </si>
  <si>
    <t>SAKAI - 01</t>
  </si>
  <si>
    <t>PLAN</t>
  </si>
  <si>
    <t>ACTUAL</t>
  </si>
  <si>
    <t>ACH %</t>
  </si>
  <si>
    <t>OVERBURDEN REMOVAL</t>
  </si>
  <si>
    <t>FUEL RATIO OVERALL (L/Ton)</t>
  </si>
  <si>
    <t>days</t>
  </si>
  <si>
    <t>hours</t>
  </si>
  <si>
    <t>PA</t>
  </si>
  <si>
    <t>PHYSICHAL AVAILIBILITY</t>
  </si>
  <si>
    <t>COST ITEM / TON ORE</t>
  </si>
  <si>
    <t>SUMMARY BDM BLOK 8 NAKULA</t>
  </si>
  <si>
    <t>ACH % ORE MINING</t>
  </si>
  <si>
    <t>ACH % OVERBURDEN</t>
  </si>
  <si>
    <t>ACH % QUARRY</t>
  </si>
  <si>
    <t>ACH % FUEL RATIO</t>
  </si>
  <si>
    <t>ACH % FUEL CONSUMPTION</t>
  </si>
  <si>
    <t>LV HILUX MERAH - 06</t>
  </si>
  <si>
    <t>ADT HM 400 (bcm/hour)</t>
  </si>
  <si>
    <t>PRODUCTION hauler</t>
  </si>
  <si>
    <t>bdm</t>
  </si>
  <si>
    <t>ore hauling bdm</t>
  </si>
  <si>
    <t>KOMATSU PC 400 - 07</t>
  </si>
  <si>
    <t>HONGYAN/12</t>
  </si>
  <si>
    <t>KOMATSU PC 200 - 21</t>
  </si>
  <si>
    <t>DT Hino 700 ZS 287</t>
  </si>
  <si>
    <t>DT Hino 700 ZS 292</t>
  </si>
  <si>
    <t>DT Hino 700 ZS 293</t>
  </si>
  <si>
    <t>DT Hino 700 ZS 294</t>
  </si>
  <si>
    <t>DT Hino 700 ZS 295</t>
  </si>
  <si>
    <t>DT Hino 700 ZS 296</t>
  </si>
  <si>
    <t>DT Hino 700 ZS 297</t>
  </si>
  <si>
    <t>DT Hino 700 ZS 301</t>
  </si>
  <si>
    <t>DT Hino 700 ZS 302</t>
  </si>
  <si>
    <t>DT Hino 700 ZS 308</t>
  </si>
  <si>
    <t>DT Hino 700 ZY 310</t>
  </si>
  <si>
    <t>DT Hino 700 ZY 330</t>
  </si>
  <si>
    <t>DT Hino 700 ZY 347</t>
  </si>
  <si>
    <t>DT Hino 700 ZY 378</t>
  </si>
  <si>
    <t>DT Hino 700 ZY 382</t>
  </si>
  <si>
    <t>DT Hino 700 ZY 393</t>
  </si>
  <si>
    <t>DT Hongyan 395</t>
  </si>
  <si>
    <t>DT Hongyan 396</t>
  </si>
  <si>
    <t>DT Hongyan 397</t>
  </si>
  <si>
    <t>DT Hongyan 398</t>
  </si>
  <si>
    <t>DT Hongyan 399</t>
  </si>
  <si>
    <t>WEEK</t>
  </si>
  <si>
    <t>last year (2023)</t>
  </si>
  <si>
    <t>TOTAL 2024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</si>
  <si>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(JANUARY)</t>
    </r>
  </si>
  <si>
    <t>DT Hino 700 ZY 365</t>
  </si>
  <si>
    <t>DT Hino 700 ZY 384</t>
  </si>
  <si>
    <t>February 2023</t>
  </si>
  <si>
    <t>DT Hongyan 516</t>
  </si>
  <si>
    <t>produktifitas unit OB menurun diakibatkan karena PA unit loading OB menurun, sehingga mengakibatkan target volume OB tidak tercapai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</si>
</sst>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4" fillId="0" borderId="0" xfId="2" applyNumberFormat="1" applyFont="1" applyBorder="1" applyAlignment="1">
      <alignment vertical="center"/>
    </xf>
    <xf numFmtId="170" fontId="34" fillId="0" borderId="0" xfId="0" applyNumberFormat="1" applyFont="1" applyAlignment="1">
      <alignment horizontal="center" vertical="center"/>
    </xf>
    <xf numFmtId="173" fontId="34" fillId="0" borderId="0" xfId="2" applyNumberFormat="1" applyFont="1" applyAlignment="1">
      <alignment horizontal="center" vertical="center"/>
    </xf>
    <xf numFmtId="169" fontId="34" fillId="0" borderId="0" xfId="3" applyNumberFormat="1" applyFont="1" applyBorder="1" applyAlignment="1">
      <alignment vertical="center"/>
    </xf>
    <xf numFmtId="169" fontId="34" fillId="0" borderId="0" xfId="13" applyNumberFormat="1" applyFont="1" applyAlignment="1">
      <alignment vertical="center"/>
    </xf>
    <xf numFmtId="169" fontId="34" fillId="0" borderId="0" xfId="13" applyNumberFormat="1" applyFont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165" fontId="34" fillId="0" borderId="0" xfId="2" applyFont="1" applyAlignment="1">
      <alignment horizontal="center" vertical="center"/>
    </xf>
    <xf numFmtId="0" fontId="34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9" fontId="37" fillId="0" borderId="0" xfId="13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5" borderId="0" xfId="0" quotePrefix="1" applyFont="1" applyFill="1" applyAlignment="1">
      <alignment horizontal="center" vertical="center"/>
    </xf>
    <xf numFmtId="0" fontId="40" fillId="5" borderId="0" xfId="0" applyFont="1" applyFill="1" applyAlignment="1">
      <alignment horizontal="center" vertical="center"/>
    </xf>
    <xf numFmtId="0" fontId="39" fillId="12" borderId="0" xfId="0" applyFont="1" applyFill="1" applyAlignment="1">
      <alignment horizontal="center" vertical="center"/>
    </xf>
    <xf numFmtId="43" fontId="41" fillId="12" borderId="0" xfId="0" applyNumberFormat="1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43" fontId="41" fillId="13" borderId="0" xfId="0" applyNumberFormat="1" applyFont="1" applyFill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43" fontId="41" fillId="4" borderId="0" xfId="0" applyNumberFormat="1" applyFont="1" applyFill="1" applyAlignment="1">
      <alignment horizontal="center" vertical="center"/>
    </xf>
    <xf numFmtId="43" fontId="41" fillId="0" borderId="0" xfId="0" applyNumberFormat="1" applyFont="1" applyAlignment="1">
      <alignment horizontal="center" vertical="center"/>
    </xf>
    <xf numFmtId="170" fontId="41" fillId="0" borderId="0" xfId="0" applyNumberFormat="1" applyFont="1" applyAlignment="1">
      <alignment horizontal="center" vertical="center"/>
    </xf>
    <xf numFmtId="170" fontId="42" fillId="5" borderId="0" xfId="0" applyNumberFormat="1" applyFont="1" applyFill="1" applyAlignment="1">
      <alignment horizontal="center" vertical="center"/>
    </xf>
    <xf numFmtId="9" fontId="41" fillId="0" borderId="0" xfId="3" applyFont="1" applyAlignment="1">
      <alignment horizontal="center" vertical="center"/>
    </xf>
    <xf numFmtId="4" fontId="41" fillId="0" borderId="0" xfId="0" applyNumberFormat="1" applyFont="1" applyAlignment="1">
      <alignment horizontal="center" vertical="center"/>
    </xf>
    <xf numFmtId="0" fontId="40" fillId="14" borderId="0" xfId="0" applyFont="1" applyFill="1" applyAlignment="1">
      <alignment horizontal="center" vertical="center"/>
    </xf>
    <xf numFmtId="169" fontId="42" fillId="14" borderId="0" xfId="2" applyNumberFormat="1" applyFont="1" applyFill="1" applyAlignment="1">
      <alignment horizontal="center" vertical="center"/>
    </xf>
    <xf numFmtId="0" fontId="40" fillId="15" borderId="0" xfId="0" applyFont="1" applyFill="1" applyAlignment="1">
      <alignment horizontal="center" vertical="center"/>
    </xf>
    <xf numFmtId="9" fontId="42" fillId="15" borderId="0" xfId="3" applyFont="1" applyFill="1" applyAlignment="1">
      <alignment horizontal="center" vertical="center"/>
    </xf>
    <xf numFmtId="9" fontId="40" fillId="15" borderId="0" xfId="3" applyFont="1" applyFill="1" applyAlignment="1">
      <alignment horizontal="center" vertical="center"/>
    </xf>
    <xf numFmtId="0" fontId="43" fillId="16" borderId="0" xfId="0" applyFont="1" applyFill="1" applyAlignment="1">
      <alignment horizontal="center" vertical="center"/>
    </xf>
    <xf numFmtId="43" fontId="44" fillId="16" borderId="0" xfId="1" applyFont="1" applyFill="1" applyAlignment="1">
      <alignment horizontal="center" vertical="center"/>
    </xf>
    <xf numFmtId="43" fontId="39" fillId="12" borderId="0" xfId="0" applyNumberFormat="1" applyFont="1" applyFill="1" applyAlignment="1">
      <alignment horizontal="center" vertical="center"/>
    </xf>
    <xf numFmtId="43" fontId="39" fillId="13" borderId="0" xfId="0" applyNumberFormat="1" applyFont="1" applyFill="1" applyAlignment="1">
      <alignment horizontal="center" vertical="center"/>
    </xf>
    <xf numFmtId="43" fontId="39" fillId="4" borderId="0" xfId="0" applyNumberFormat="1" applyFont="1" applyFill="1" applyAlignment="1">
      <alignment horizontal="center" vertical="center"/>
    </xf>
    <xf numFmtId="43" fontId="39" fillId="0" borderId="0" xfId="0" applyNumberFormat="1" applyFont="1" applyAlignment="1">
      <alignment horizontal="center" vertical="center"/>
    </xf>
    <xf numFmtId="170" fontId="39" fillId="0" borderId="0" xfId="0" applyNumberFormat="1" applyFont="1" applyAlignment="1">
      <alignment horizontal="center" vertical="center"/>
    </xf>
    <xf numFmtId="170" fontId="40" fillId="5" borderId="0" xfId="0" applyNumberFormat="1" applyFont="1" applyFill="1" applyAlignment="1">
      <alignment horizontal="center" vertical="center"/>
    </xf>
    <xf numFmtId="43" fontId="43" fillId="16" borderId="0" xfId="1" applyFont="1" applyFill="1" applyAlignment="1">
      <alignment horizontal="center" vertical="center"/>
    </xf>
    <xf numFmtId="9" fontId="39" fillId="0" borderId="0" xfId="3" applyFont="1" applyAlignment="1">
      <alignment horizontal="center" vertical="center"/>
    </xf>
    <xf numFmtId="4" fontId="39" fillId="0" borderId="0" xfId="0" applyNumberFormat="1" applyFont="1" applyAlignment="1">
      <alignment horizontal="center" vertical="center"/>
    </xf>
    <xf numFmtId="169" fontId="40" fillId="14" borderId="0" xfId="2" applyNumberFormat="1" applyFont="1" applyFill="1" applyAlignment="1">
      <alignment horizontal="center" vertical="center"/>
    </xf>
    <xf numFmtId="0" fontId="39" fillId="9" borderId="0" xfId="0" applyFont="1" applyFill="1" applyAlignment="1">
      <alignment horizontal="center" vertical="center"/>
    </xf>
    <xf numFmtId="43" fontId="41" fillId="9" borderId="0" xfId="0" applyNumberFormat="1" applyFont="1" applyFill="1" applyAlignment="1">
      <alignment horizontal="center" vertical="center"/>
    </xf>
    <xf numFmtId="43" fontId="39" fillId="9" borderId="0" xfId="0" applyNumberFormat="1" applyFont="1" applyFill="1" applyAlignment="1">
      <alignment horizontal="center" vertical="center"/>
    </xf>
    <xf numFmtId="165" fontId="40" fillId="14" borderId="0" xfId="2" applyFont="1" applyFill="1" applyAlignment="1">
      <alignment horizontal="center" vertical="center"/>
    </xf>
    <xf numFmtId="165" fontId="41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1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4" fontId="22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47" fillId="5" borderId="0" xfId="0" applyNumberFormat="1" applyFont="1" applyFill="1" applyAlignment="1">
      <alignment horizontal="right" vertical="center"/>
    </xf>
    <xf numFmtId="165" fontId="47" fillId="5" borderId="0" xfId="2" applyFont="1" applyFill="1" applyBorder="1" applyAlignment="1">
      <alignment horizontal="right" vertical="center"/>
    </xf>
    <xf numFmtId="169" fontId="47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5" fillId="5" borderId="0" xfId="0" applyFont="1" applyFill="1" applyAlignment="1">
      <alignment vertical="center"/>
    </xf>
    <xf numFmtId="165" fontId="45" fillId="5" borderId="0" xfId="2" applyFont="1" applyFill="1" applyBorder="1" applyAlignment="1">
      <alignment horizontal="left" vertical="center"/>
    </xf>
    <xf numFmtId="169" fontId="46" fillId="5" borderId="0" xfId="2" applyNumberFormat="1" applyFont="1" applyFill="1" applyBorder="1" applyAlignment="1">
      <alignment horizontal="center" vertical="center"/>
    </xf>
    <xf numFmtId="166" fontId="23" fillId="5" borderId="0" xfId="1" applyNumberFormat="1" applyFont="1" applyFill="1" applyBorder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46" fillId="5" borderId="0" xfId="0" applyFont="1" applyFill="1" applyAlignment="1">
      <alignment horizontal="right" vertical="center"/>
    </xf>
    <xf numFmtId="0" fontId="46" fillId="5" borderId="0" xfId="0" applyFont="1" applyFill="1" applyAlignment="1">
      <alignment vertical="center"/>
    </xf>
    <xf numFmtId="0" fontId="32" fillId="5" borderId="0" xfId="0" applyFont="1" applyFill="1" applyAlignment="1">
      <alignment vertical="center"/>
    </xf>
    <xf numFmtId="0" fontId="33" fillId="5" borderId="0" xfId="0" applyFont="1" applyFill="1" applyAlignment="1">
      <alignment horizontal="right" vertical="center"/>
    </xf>
    <xf numFmtId="169" fontId="32" fillId="5" borderId="0" xfId="2" applyNumberFormat="1" applyFont="1" applyFill="1" applyBorder="1" applyAlignment="1">
      <alignment horizontal="right" vertical="center"/>
    </xf>
    <xf numFmtId="10" fontId="39" fillId="0" borderId="0" xfId="3" applyNumberFormat="1" applyFont="1" applyAlignment="1">
      <alignment horizontal="center" vertical="center"/>
    </xf>
    <xf numFmtId="10" fontId="3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10" fontId="44" fillId="16" borderId="0" xfId="1" applyNumberFormat="1" applyFont="1" applyFill="1" applyAlignment="1">
      <alignment horizontal="center" vertical="center"/>
    </xf>
    <xf numFmtId="10" fontId="43" fillId="16" borderId="0" xfId="3" applyNumberFormat="1" applyFont="1" applyFill="1" applyAlignment="1">
      <alignment horizontal="center" vertical="center"/>
    </xf>
    <xf numFmtId="10" fontId="41" fillId="0" borderId="0" xfId="3" applyNumberFormat="1" applyFont="1" applyFill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0" fillId="5" borderId="5" xfId="1" applyFont="1" applyFill="1" applyBorder="1" applyAlignment="1">
      <alignment vertical="center"/>
    </xf>
    <xf numFmtId="43" fontId="50" fillId="5" borderId="3" xfId="1" applyFont="1" applyFill="1" applyBorder="1" applyAlignment="1">
      <alignment vertical="center"/>
    </xf>
    <xf numFmtId="10" fontId="19" fillId="5" borderId="5" xfId="3" applyNumberFormat="1" applyFont="1" applyFill="1" applyBorder="1" applyAlignment="1">
      <alignment vertical="center"/>
    </xf>
    <xf numFmtId="43" fontId="50" fillId="5" borderId="4" xfId="1" applyFont="1" applyFill="1" applyBorder="1" applyAlignment="1">
      <alignment vertical="center"/>
    </xf>
    <xf numFmtId="43" fontId="50" fillId="5" borderId="0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1" fillId="5" borderId="0" xfId="0" applyFont="1" applyFill="1" applyAlignment="1">
      <alignment horizontal="left" vertical="center"/>
    </xf>
    <xf numFmtId="10" fontId="19" fillId="5" borderId="0" xfId="3" applyNumberFormat="1" applyFont="1" applyFill="1" applyBorder="1" applyAlignment="1">
      <alignment vertical="center"/>
    </xf>
    <xf numFmtId="0" fontId="50" fillId="5" borderId="0" xfId="0" applyFont="1" applyFill="1" applyAlignment="1">
      <alignment vertical="center"/>
    </xf>
    <xf numFmtId="171" fontId="50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4" xfId="0" applyFont="1" applyFill="1" applyBorder="1" applyAlignment="1">
      <alignment horizontal="left" vertical="center"/>
    </xf>
    <xf numFmtId="4" fontId="19" fillId="5" borderId="4" xfId="0" applyNumberFormat="1" applyFont="1" applyFill="1" applyBorder="1" applyAlignment="1">
      <alignment vertical="center"/>
    </xf>
    <xf numFmtId="0" fontId="19" fillId="5" borderId="4" xfId="0" applyFont="1" applyFill="1" applyBorder="1" applyAlignment="1">
      <alignment horizontal="right" vertical="center"/>
    </xf>
    <xf numFmtId="43" fontId="50" fillId="5" borderId="4" xfId="0" applyNumberFormat="1" applyFont="1" applyFill="1" applyBorder="1" applyAlignment="1">
      <alignment vertical="center"/>
    </xf>
    <xf numFmtId="0" fontId="17" fillId="5" borderId="4" xfId="0" applyFont="1" applyFill="1" applyBorder="1" applyAlignment="1">
      <alignment horizontal="right" vertical="center"/>
    </xf>
    <xf numFmtId="0" fontId="52" fillId="5" borderId="0" xfId="1" applyNumberFormat="1" applyFont="1" applyFill="1" applyBorder="1" applyAlignment="1">
      <alignment horizontal="left" vertical="center"/>
    </xf>
    <xf numFmtId="43" fontId="0" fillId="0" borderId="0" xfId="0" applyNumberFormat="1" applyAlignment="1">
      <alignment vertical="center"/>
    </xf>
    <xf numFmtId="10" fontId="41" fillId="0" borderId="0" xfId="0" applyNumberFormat="1" applyFont="1" applyAlignment="1">
      <alignment horizontal="center" vertical="center"/>
    </xf>
    <xf numFmtId="9" fontId="41" fillId="0" borderId="0" xfId="0" applyNumberFormat="1" applyFont="1" applyAlignment="1">
      <alignment horizontal="center" vertical="center"/>
    </xf>
    <xf numFmtId="2" fontId="50" fillId="5" borderId="4" xfId="1" applyNumberFormat="1" applyFont="1" applyFill="1" applyBorder="1" applyAlignment="1">
      <alignment vertical="center"/>
    </xf>
    <xf numFmtId="0" fontId="54" fillId="0" borderId="0" xfId="0" applyFont="1" applyAlignment="1">
      <alignment horizontal="center" vertical="center"/>
    </xf>
    <xf numFmtId="10" fontId="44" fillId="16" borderId="0" xfId="3" applyNumberFormat="1" applyFont="1" applyFill="1" applyAlignment="1">
      <alignment horizontal="center" vertical="center"/>
    </xf>
    <xf numFmtId="170" fontId="16" fillId="0" borderId="0" xfId="0" applyNumberFormat="1" applyFont="1" applyAlignment="1">
      <alignment horizontal="center" vertical="center"/>
    </xf>
    <xf numFmtId="165" fontId="16" fillId="0" borderId="0" xfId="3" applyNumberFormat="1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16" fillId="0" borderId="0" xfId="2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53" fillId="5" borderId="0" xfId="2" applyFont="1" applyFill="1" applyBorder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172" fontId="18" fillId="17" borderId="0" xfId="0" quotePrefix="1" applyNumberFormat="1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4" fontId="38" fillId="5" borderId="0" xfId="1" applyNumberFormat="1" applyFont="1" applyFill="1" applyBorder="1" applyAlignment="1">
      <alignment horizontal="right" vertical="center"/>
    </xf>
    <xf numFmtId="0" fontId="38" fillId="5" borderId="0" xfId="0" applyFont="1" applyFill="1" applyAlignment="1">
      <alignment horizontal="center" vertical="center"/>
    </xf>
    <xf numFmtId="165" fontId="23" fillId="5" borderId="0" xfId="2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169" fontId="32" fillId="5" borderId="0" xfId="2" applyNumberFormat="1" applyFont="1" applyFill="1" applyBorder="1" applyAlignment="1">
      <alignment horizontal="center" vertical="center"/>
    </xf>
    <xf numFmtId="165" fontId="32" fillId="5" borderId="0" xfId="2" applyFont="1" applyFill="1" applyBorder="1" applyAlignment="1">
      <alignment horizontal="center" vertical="center"/>
    </xf>
    <xf numFmtId="169" fontId="45" fillId="5" borderId="0" xfId="2" applyNumberFormat="1" applyFont="1" applyFill="1" applyBorder="1" applyAlignment="1">
      <alignment horizontal="center" vertical="center"/>
    </xf>
    <xf numFmtId="165" fontId="45" fillId="5" borderId="0" xfId="2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165" fontId="23" fillId="5" borderId="0" xfId="2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165" fontId="31" fillId="10" borderId="0" xfId="0" applyNumberFormat="1" applyFont="1" applyFill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56" fillId="5" borderId="0" xfId="0" applyFont="1" applyFill="1" applyAlignment="1">
      <alignment horizontal="center" vertical="center" wrapText="1"/>
    </xf>
    <xf numFmtId="0" fontId="55" fillId="5" borderId="0" xfId="0" applyFont="1" applyFill="1" applyAlignment="1">
      <alignment horizontal="center" vertical="center" wrapText="1"/>
    </xf>
  </cellXfs>
  <cellStyles count="25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Currency 5" xfId="24" xr:uid="{BC37C665-CE6D-4B05-862B-0B30F6BBC98A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MTD'!$D$3:$O$3</c:f>
              <c:numCache>
                <c:formatCode>_(* #,##0.00_);_(* \(#,##0.00\);_(* "-"??_);_(@_)</c:formatCode>
                <c:ptCount val="12"/>
                <c:pt idx="0">
                  <c:v>20512</c:v>
                </c:pt>
                <c:pt idx="1">
                  <c:v>12471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  <c:pt idx="1">
                  <c:v>92991.959999999992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MTD'!$D$6:$O$6</c:f>
              <c:numCache>
                <c:formatCode>_(* #,##0.00_);_(* \(#,##0.00\);_(* "-"??_);_(@_)</c:formatCode>
                <c:ptCount val="12"/>
                <c:pt idx="0">
                  <c:v>0.26021804932877651</c:v>
                </c:pt>
                <c:pt idx="1">
                  <c:v>0.13410836807827259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MTD'!$D$17:$O$17</c:f>
              <c:numCache>
                <c:formatCode>_-[$Rp-3809]* #,##0.00_-;\-[$Rp-3809]* #,##0.00_-;_-[$Rp-3809]* "-"??_-;_-@_-</c:formatCode>
                <c:ptCount val="12"/>
                <c:pt idx="0">
                  <c:v>4002946224.4452925</c:v>
                </c:pt>
                <c:pt idx="1">
                  <c:v>4839731222.2646236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MTD'!$D$18:$O$18</c:f>
              <c:numCache>
                <c:formatCode>_-[$Rp-3809]* #,##0.00_-;\-[$Rp-3809]* #,##0.00_-;_-[$Rp-3809]* "-"??_-;_-@_-</c:formatCode>
                <c:ptCount val="12"/>
                <c:pt idx="0">
                  <c:v>9363291340.7999973</c:v>
                </c:pt>
                <c:pt idx="1">
                  <c:v>11045956976.639999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MTD'!$D$21:$O$21</c:f>
              <c:numCache>
                <c:formatCode>0%</c:formatCode>
                <c:ptCount val="12"/>
                <c:pt idx="0">
                  <c:v>0.57248513596894213</c:v>
                </c:pt>
                <c:pt idx="1">
                  <c:v>0.56185496354008146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MTD'!$D$27:$O$27</c:f>
              <c:numCache>
                <c:formatCode>#,##0.00</c:formatCode>
                <c:ptCount val="12"/>
                <c:pt idx="0">
                  <c:v>140386.8047679349</c:v>
                </c:pt>
                <c:pt idx="1">
                  <c:v>151419.80335051549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  <c:pt idx="1">
                  <c:v>92991.959999999992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MTD'!$D$22:$O$22</c:f>
              <c:numCache>
                <c:formatCode>_(* #,##0.00_);_(* \(#,##0.00\);_(* "-"??_);_(@_)</c:formatCode>
                <c:ptCount val="12"/>
                <c:pt idx="0">
                  <c:v>1.7809662874518235</c:v>
                </c:pt>
                <c:pt idx="1">
                  <c:v>1.6283106985863671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MTD'!$D$30:$O$30</c:f>
              <c:numCache>
                <c:formatCode>_([$$-409]* #,##0.00_);_([$$-409]* \(#,##0.00\);_([$$-409]* "-"??_);_(@_)</c:formatCode>
                <c:ptCount val="12"/>
                <c:pt idx="0">
                  <c:v>3.420118912248463</c:v>
                </c:pt>
                <c:pt idx="1">
                  <c:v>3.5051602916793483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MTD'!$D$7:$O$7</c:f>
              <c:numCache>
                <c:formatCode>0.00%</c:formatCode>
                <c:ptCount val="12"/>
                <c:pt idx="0">
                  <c:v>1.1016869043629207</c:v>
                </c:pt>
                <c:pt idx="1">
                  <c:v>0.33692296370309549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MTD'!$D$8:$O$8</c:f>
              <c:numCache>
                <c:formatCode>0.00%</c:formatCode>
                <c:ptCount val="12"/>
                <c:pt idx="0">
                  <c:v>1.260908391125221</c:v>
                </c:pt>
                <c:pt idx="1">
                  <c:v>1.1134909787793952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MTD'!$D$9:$O$9</c:f>
              <c:numCache>
                <c:formatCode>0.00%</c:formatCode>
                <c:ptCount val="12"/>
                <c:pt idx="0">
                  <c:v>1.8784857390841045</c:v>
                </c:pt>
                <c:pt idx="1">
                  <c:v>4.6503753116310023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MTD'!$D$23:$O$23</c:f>
              <c:numCache>
                <c:formatCode>0.00%</c:formatCode>
                <c:ptCount val="12"/>
                <c:pt idx="0">
                  <c:v>1.0344584547404849</c:v>
                </c:pt>
                <c:pt idx="1">
                  <c:v>0.9985707805339975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74F-9A30-FE87E628C430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MTD'!$D$28:$O$28</c:f>
              <c:numCache>
                <c:formatCode>0.00%</c:formatCode>
                <c:ptCount val="12"/>
                <c:pt idx="0">
                  <c:v>0.82040730478234458</c:v>
                </c:pt>
                <c:pt idx="1">
                  <c:v>0.89679287894063342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74F-9A30-FE87E628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Persentase 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254121</xdr:colOff>
      <xdr:row>4</xdr:row>
      <xdr:rowOff>46084</xdr:rowOff>
    </xdr:from>
    <xdr:to>
      <xdr:col>9</xdr:col>
      <xdr:colOff>912706</xdr:colOff>
      <xdr:row>6</xdr:row>
      <xdr:rowOff>91728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7848B-DEC2-46E5-B83C-4AE07004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814" b="93605" l="6667" r="94815">
                      <a14:foregroundMark x1="23704" y1="22093" x2="23704" y2="22093"/>
                      <a14:foregroundMark x1="36667" y1="45349" x2="36667" y2="45349"/>
                      <a14:foregroundMark x1="42222" y1="61628" x2="42222" y2="61628"/>
                      <a14:foregroundMark x1="55926" y1="28488" x2="55926" y2="28488"/>
                      <a14:foregroundMark x1="68889" y1="11628" x2="68889" y2="11628"/>
                      <a14:foregroundMark x1="41852" y1="38372" x2="41852" y2="38372"/>
                      <a14:foregroundMark x1="8148" y1="87209" x2="8148" y2="87209"/>
                      <a14:foregroundMark x1="7407" y1="94767" x2="7407" y2="94767"/>
                      <a14:foregroundMark x1="60741" y1="27326" x2="60741" y2="27326"/>
                      <a14:foregroundMark x1="80370" y1="13372" x2="80370" y2="13372"/>
                      <a14:foregroundMark x1="84815" y1="11047" x2="84815" y2="11047"/>
                      <a14:foregroundMark x1="93333" y1="6395" x2="93333" y2="6395"/>
                      <a14:foregroundMark x1="94815" y1="5814" x2="94815" y2="5814"/>
                    </a14:backgroundRemoval>
                  </a14:imgEffect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01" y="777604"/>
          <a:ext cx="658585" cy="419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550333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658707</xdr:colOff>
      <xdr:row>31</xdr:row>
      <xdr:rowOff>0</xdr:rowOff>
    </xdr:from>
    <xdr:to>
      <xdr:col>8</xdr:col>
      <xdr:colOff>154094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276014</xdr:colOff>
      <xdr:row>31</xdr:row>
      <xdr:rowOff>0</xdr:rowOff>
    </xdr:from>
    <xdr:to>
      <xdr:col>11</xdr:col>
      <xdr:colOff>856827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978747</xdr:colOff>
      <xdr:row>31</xdr:row>
      <xdr:rowOff>0</xdr:rowOff>
    </xdr:from>
    <xdr:to>
      <xdr:col>15</xdr:col>
      <xdr:colOff>471086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22859</xdr:colOff>
      <xdr:row>49</xdr:row>
      <xdr:rowOff>13124</xdr:rowOff>
    </xdr:from>
    <xdr:to>
      <xdr:col>9</xdr:col>
      <xdr:colOff>575733</xdr:colOff>
      <xdr:row>66</xdr:row>
      <xdr:rowOff>24554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36050-DE2C-FC1C-D098-18B1B8F4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8" totalsRowShown="0" headerRowDxfId="26" dataDxfId="25">
  <autoFilter ref="A3:K28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1:C36" totalsRowShown="0" headerRowDxfId="13" dataDxfId="11" headerRowBorderDxfId="12">
  <autoFilter ref="A31:C36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L39"/>
  <sheetViews>
    <sheetView tabSelected="1" topLeftCell="A4" zoomScale="85" zoomScaleNormal="85" workbookViewId="0">
      <selection activeCell="O26" sqref="O26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2" ht="19.95" customHeight="1" x14ac:dyDescent="0.3">
      <c r="B2" s="179" t="s">
        <v>354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</row>
    <row r="3" spans="2:12" ht="19.95" customHeight="1" x14ac:dyDescent="0.3"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2:12" x14ac:dyDescent="0.3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15" customHeight="1" x14ac:dyDescent="0.3">
      <c r="B5" s="105"/>
      <c r="C5" s="176" t="s">
        <v>316</v>
      </c>
      <c r="D5" s="178" t="s">
        <v>357</v>
      </c>
      <c r="E5" s="178"/>
      <c r="F5" s="178"/>
      <c r="G5" s="105"/>
      <c r="H5" s="177" t="s">
        <v>297</v>
      </c>
      <c r="I5" s="177"/>
      <c r="J5" s="177"/>
      <c r="K5" s="105"/>
      <c r="L5" s="105"/>
    </row>
    <row r="6" spans="2:12" ht="14.4" customHeight="1" x14ac:dyDescent="0.3">
      <c r="B6" s="105"/>
      <c r="C6" s="176"/>
      <c r="D6" s="178"/>
      <c r="E6" s="178"/>
      <c r="F6" s="178"/>
      <c r="G6" s="105"/>
      <c r="H6" s="177"/>
      <c r="I6" s="177"/>
      <c r="J6" s="177"/>
      <c r="K6" s="105"/>
      <c r="L6" s="105"/>
    </row>
    <row r="7" spans="2:12" ht="14.4" customHeight="1" x14ac:dyDescent="0.3">
      <c r="B7" s="105"/>
      <c r="C7" s="176"/>
      <c r="D7" s="178"/>
      <c r="E7" s="178"/>
      <c r="F7" s="178"/>
      <c r="G7" s="105"/>
      <c r="H7" s="177"/>
      <c r="I7" s="177"/>
      <c r="J7" s="177"/>
      <c r="K7" s="105"/>
      <c r="L7" s="105"/>
    </row>
    <row r="8" spans="2:12" ht="15.6" x14ac:dyDescent="0.3">
      <c r="B8" s="105"/>
      <c r="C8" s="105"/>
      <c r="D8" s="105"/>
      <c r="E8" s="105"/>
      <c r="F8" s="105"/>
      <c r="G8" s="105"/>
      <c r="H8" s="107"/>
      <c r="I8" s="107"/>
      <c r="J8" s="107"/>
      <c r="K8" s="105"/>
      <c r="L8" s="105"/>
    </row>
    <row r="9" spans="2:12" ht="15.6" x14ac:dyDescent="0.3">
      <c r="B9" s="105"/>
      <c r="C9" s="105"/>
      <c r="D9" s="143" t="s">
        <v>306</v>
      </c>
      <c r="E9" s="144" t="s">
        <v>307</v>
      </c>
      <c r="F9" s="143" t="s">
        <v>308</v>
      </c>
      <c r="G9" s="105"/>
      <c r="H9" s="107" t="s">
        <v>73</v>
      </c>
      <c r="I9" s="107"/>
      <c r="J9" s="113">
        <v>29</v>
      </c>
      <c r="K9" s="110" t="s">
        <v>311</v>
      </c>
      <c r="L9" s="105"/>
    </row>
    <row r="10" spans="2:12" ht="15.6" x14ac:dyDescent="0.3">
      <c r="B10" s="105"/>
      <c r="C10" s="107" t="s">
        <v>309</v>
      </c>
      <c r="D10" s="145">
        <v>37014.395999999993</v>
      </c>
      <c r="E10" s="146">
        <v>12471</v>
      </c>
      <c r="F10" s="147">
        <f>IFERROR(E10/D10,0)</f>
        <v>0.33692296370309549</v>
      </c>
      <c r="G10" s="105"/>
      <c r="H10" s="107" t="s">
        <v>74</v>
      </c>
      <c r="I10" s="107"/>
      <c r="J10" s="113">
        <f>9*J9</f>
        <v>261</v>
      </c>
      <c r="K10" s="110" t="s">
        <v>312</v>
      </c>
      <c r="L10" s="105"/>
    </row>
    <row r="11" spans="2:12" ht="15.6" x14ac:dyDescent="0.3">
      <c r="B11" s="105"/>
      <c r="C11" s="107" t="s">
        <v>75</v>
      </c>
      <c r="D11" s="148">
        <v>83513.887199999997</v>
      </c>
      <c r="E11" s="149">
        <f>'REPORT unit DT HAUL'!E33</f>
        <v>92991.959999999992</v>
      </c>
      <c r="F11" s="150">
        <f t="shared" ref="F11:F12" si="0">E11/D11</f>
        <v>1.1134909787793952</v>
      </c>
      <c r="G11" s="105"/>
      <c r="H11" s="107" t="s">
        <v>314</v>
      </c>
      <c r="I11" s="109"/>
      <c r="J11" s="151">
        <v>0.9</v>
      </c>
      <c r="K11" s="110" t="s">
        <v>313</v>
      </c>
      <c r="L11" s="105"/>
    </row>
    <row r="12" spans="2:12" ht="15.6" x14ac:dyDescent="0.3">
      <c r="B12" s="105"/>
      <c r="C12" s="107" t="s">
        <v>180</v>
      </c>
      <c r="D12" s="148">
        <v>4441.7275199999995</v>
      </c>
      <c r="E12" s="149">
        <v>20655.699999999997</v>
      </c>
      <c r="F12" s="150">
        <f t="shared" si="0"/>
        <v>4.6503753116310023</v>
      </c>
      <c r="G12" s="105"/>
      <c r="H12" s="107"/>
      <c r="I12" s="109"/>
      <c r="J12" s="151"/>
      <c r="K12" s="110"/>
      <c r="L12" s="105"/>
    </row>
    <row r="13" spans="2:12" ht="15.6" x14ac:dyDescent="0.3">
      <c r="B13" s="105"/>
      <c r="C13" s="107" t="s">
        <v>77</v>
      </c>
      <c r="D13" s="148">
        <f>D10/D11</f>
        <v>0.44321246730328218</v>
      </c>
      <c r="E13" s="149">
        <f>E10/E11</f>
        <v>0.13410836807827259</v>
      </c>
      <c r="F13" s="150">
        <f>D13/E13</f>
        <v>3.304883011063116</v>
      </c>
      <c r="G13" s="105"/>
      <c r="H13" s="107" t="s">
        <v>85</v>
      </c>
      <c r="I13" s="110"/>
      <c r="J13" s="152">
        <v>0</v>
      </c>
      <c r="K13" s="152"/>
      <c r="L13" s="105"/>
    </row>
    <row r="14" spans="2:12" ht="15.6" x14ac:dyDescent="0.3">
      <c r="B14" s="105"/>
      <c r="C14" s="107" t="s">
        <v>310</v>
      </c>
      <c r="D14" s="167">
        <f>J17/D11</f>
        <v>1.6259834852392474</v>
      </c>
      <c r="E14" s="149">
        <f>J18/E11</f>
        <v>1.6283106985863671</v>
      </c>
      <c r="F14" s="150">
        <f>D14/E14</f>
        <v>0.9985707805339975</v>
      </c>
      <c r="G14" s="105"/>
      <c r="H14" s="153" t="s">
        <v>303</v>
      </c>
      <c r="I14" s="110"/>
      <c r="J14" s="108"/>
      <c r="K14" s="105"/>
      <c r="L14" s="105"/>
    </row>
    <row r="15" spans="2:12" ht="15.6" x14ac:dyDescent="0.3">
      <c r="B15" s="105"/>
      <c r="C15" s="201" t="s">
        <v>359</v>
      </c>
      <c r="D15" s="202"/>
      <c r="E15" s="202"/>
      <c r="F15" s="202"/>
      <c r="G15" s="105"/>
      <c r="H15" s="153"/>
      <c r="I15" s="110"/>
      <c r="J15" s="108"/>
      <c r="K15" s="105"/>
      <c r="L15" s="105"/>
    </row>
    <row r="16" spans="2:12" ht="22.8" customHeight="1" x14ac:dyDescent="0.3">
      <c r="B16" s="105"/>
      <c r="C16" s="202"/>
      <c r="D16" s="202"/>
      <c r="E16" s="202"/>
      <c r="F16" s="202"/>
      <c r="G16" s="105"/>
      <c r="H16" s="153"/>
      <c r="I16" s="110"/>
      <c r="J16" s="108"/>
      <c r="K16" s="105"/>
      <c r="L16" s="105"/>
    </row>
    <row r="17" spans="2:12" ht="15.6" x14ac:dyDescent="0.3">
      <c r="B17" s="105"/>
      <c r="C17" s="107" t="s">
        <v>323</v>
      </c>
      <c r="D17" s="155"/>
      <c r="E17" s="156"/>
      <c r="F17" s="154"/>
      <c r="G17" s="105"/>
      <c r="H17" s="188" t="s">
        <v>139</v>
      </c>
      <c r="I17" s="158" t="s">
        <v>306</v>
      </c>
      <c r="J17" s="159">
        <v>135792.20137533336</v>
      </c>
      <c r="K17" s="160" t="s">
        <v>140</v>
      </c>
      <c r="L17" s="113"/>
    </row>
    <row r="18" spans="2:12" ht="15.6" x14ac:dyDescent="0.3">
      <c r="B18" s="105"/>
      <c r="C18" s="107" t="s">
        <v>324</v>
      </c>
      <c r="D18" s="161">
        <v>63.199999999999996</v>
      </c>
      <c r="E18" s="149">
        <v>58.396141975308637</v>
      </c>
      <c r="F18" s="150">
        <f t="shared" ref="F18" si="1">E18/D18</f>
        <v>0.92398958821690891</v>
      </c>
      <c r="G18" s="105"/>
      <c r="H18" s="188"/>
      <c r="I18" s="158" t="s">
        <v>307</v>
      </c>
      <c r="J18" s="159">
        <f>'REPORT unit OB'!H18+'REPORT unit QUARRY'!H22+'REPORT unit DEVELOP'!H12+'REPORT unit ORE GETTING'!H21+'REPORT unit DT HAUL'!I33+'REPORT unit LV &amp; support'!F10</f>
        <v>151419.80335051549</v>
      </c>
      <c r="K18" s="162" t="s">
        <v>140</v>
      </c>
      <c r="L18" s="105"/>
    </row>
    <row r="19" spans="2:12" ht="15.6" x14ac:dyDescent="0.3">
      <c r="B19" s="105"/>
      <c r="C19" s="107"/>
      <c r="D19" s="107"/>
      <c r="E19" s="111"/>
      <c r="F19" s="105"/>
      <c r="G19" s="105"/>
      <c r="H19" s="188"/>
      <c r="I19" s="158" t="s">
        <v>308</v>
      </c>
      <c r="J19" s="150">
        <f>J17/J18</f>
        <v>0.89679287894063342</v>
      </c>
      <c r="K19" s="162"/>
      <c r="L19" s="105"/>
    </row>
    <row r="20" spans="2:12" ht="7.95" customHeight="1" x14ac:dyDescent="0.3">
      <c r="B20" s="105"/>
      <c r="C20" s="107"/>
      <c r="D20" s="107"/>
      <c r="E20" s="111"/>
      <c r="F20" s="105"/>
      <c r="G20" s="105"/>
      <c r="H20" s="157"/>
      <c r="I20" s="113"/>
      <c r="J20" s="116"/>
      <c r="K20" s="110"/>
      <c r="L20" s="105"/>
    </row>
    <row r="21" spans="2:12" ht="17.399999999999999" x14ac:dyDescent="0.3">
      <c r="B21" s="105"/>
      <c r="C21" s="114" t="s">
        <v>168</v>
      </c>
      <c r="D21" s="114"/>
      <c r="E21" s="115"/>
      <c r="F21" s="105"/>
      <c r="G21" s="105"/>
      <c r="H21" s="163" t="s">
        <v>315</v>
      </c>
      <c r="I21" s="110"/>
      <c r="J21" s="116"/>
      <c r="K21" s="105"/>
      <c r="L21" s="105"/>
    </row>
    <row r="22" spans="2:12" ht="15.6" x14ac:dyDescent="0.3">
      <c r="B22" s="105"/>
      <c r="C22" s="117" t="s">
        <v>169</v>
      </c>
      <c r="D22" s="175">
        <f>'REPORT unit OB'!K18</f>
        <v>577196222.26462412</v>
      </c>
      <c r="E22" s="175"/>
      <c r="F22" s="175"/>
      <c r="G22" s="105"/>
      <c r="H22" s="107" t="s">
        <v>178</v>
      </c>
      <c r="I22" s="119">
        <f>J22/$J$30</f>
        <v>0.11926204075327565</v>
      </c>
      <c r="J22" s="120">
        <f>D22/E11</f>
        <v>6206.9475927233298</v>
      </c>
      <c r="K22" s="121">
        <f>J22/$J$32</f>
        <v>0.41803256955302598</v>
      </c>
      <c r="L22" s="121"/>
    </row>
    <row r="23" spans="2:12" ht="15.6" x14ac:dyDescent="0.3">
      <c r="B23" s="105"/>
      <c r="C23" s="117" t="s">
        <v>170</v>
      </c>
      <c r="D23" s="175">
        <f>'REPORT unit QUARRY'!K22</f>
        <v>1179000000</v>
      </c>
      <c r="E23" s="175"/>
      <c r="F23" s="175"/>
      <c r="G23" s="105"/>
      <c r="H23" s="107" t="s">
        <v>179</v>
      </c>
      <c r="I23" s="119">
        <f t="shared" ref="I23:I27" si="2">J23/$J$30</f>
        <v>0.2436085695371154</v>
      </c>
      <c r="J23" s="120">
        <f>D23/E11</f>
        <v>12678.515432947108</v>
      </c>
      <c r="K23" s="121">
        <f t="shared" ref="K23:K27" si="3">J23/$J$32</f>
        <v>0.85388708465430418</v>
      </c>
      <c r="L23" s="121"/>
    </row>
    <row r="24" spans="2:12" ht="15.6" x14ac:dyDescent="0.3">
      <c r="B24" s="105"/>
      <c r="C24" s="117" t="s">
        <v>171</v>
      </c>
      <c r="D24" s="175">
        <f>'REPORT unit DEVELOP'!K12</f>
        <v>0</v>
      </c>
      <c r="E24" s="175"/>
      <c r="F24" s="175"/>
      <c r="G24" s="105"/>
      <c r="H24" s="107" t="s">
        <v>174</v>
      </c>
      <c r="I24" s="119">
        <f t="shared" si="2"/>
        <v>0</v>
      </c>
      <c r="J24" s="120">
        <f>D24/E11</f>
        <v>0</v>
      </c>
      <c r="K24" s="121">
        <f t="shared" si="3"/>
        <v>0</v>
      </c>
      <c r="L24" s="121"/>
    </row>
    <row r="25" spans="2:12" ht="15.6" x14ac:dyDescent="0.3">
      <c r="B25" s="105"/>
      <c r="C25" s="117" t="s">
        <v>172</v>
      </c>
      <c r="D25" s="175">
        <f>'REPORT unit ORE GETTING'!K21</f>
        <v>647325000</v>
      </c>
      <c r="E25" s="175"/>
      <c r="F25" s="175"/>
      <c r="G25" s="105"/>
      <c r="H25" s="107" t="s">
        <v>175</v>
      </c>
      <c r="I25" s="119">
        <f t="shared" si="2"/>
        <v>0.13375226232028264</v>
      </c>
      <c r="J25" s="120">
        <f>D25/E11</f>
        <v>6961.0856680513034</v>
      </c>
      <c r="K25" s="121">
        <f t="shared" si="3"/>
        <v>0.46882311880733457</v>
      </c>
      <c r="L25" s="121"/>
    </row>
    <row r="26" spans="2:12" ht="15.6" x14ac:dyDescent="0.3">
      <c r="B26" s="105"/>
      <c r="C26" s="117" t="s">
        <v>173</v>
      </c>
      <c r="D26" s="175">
        <f>'REPORT unit DT HAUL'!N33</f>
        <v>2436000000</v>
      </c>
      <c r="E26" s="175"/>
      <c r="F26" s="175"/>
      <c r="G26" s="105"/>
      <c r="H26" s="107" t="s">
        <v>176</v>
      </c>
      <c r="I26" s="119">
        <f t="shared" si="2"/>
        <v>0.50333373654996871</v>
      </c>
      <c r="J26" s="120">
        <f>D26/E11</f>
        <v>26195.813057386898</v>
      </c>
      <c r="K26" s="121">
        <f t="shared" si="3"/>
        <v>1.7642654268175444</v>
      </c>
      <c r="L26" s="121"/>
    </row>
    <row r="27" spans="2:12" ht="15.6" x14ac:dyDescent="0.3">
      <c r="B27" s="105"/>
      <c r="C27" s="117" t="s">
        <v>81</v>
      </c>
      <c r="D27" s="175">
        <f>'REPORT unit LV &amp; support'!I10</f>
        <v>210000</v>
      </c>
      <c r="E27" s="175"/>
      <c r="F27" s="175"/>
      <c r="G27" s="105"/>
      <c r="H27" s="107" t="s">
        <v>177</v>
      </c>
      <c r="I27" s="119">
        <f t="shared" si="2"/>
        <v>4.3390839357755924E-5</v>
      </c>
      <c r="J27" s="120">
        <f>D27/E11</f>
        <v>2.2582597463264569</v>
      </c>
      <c r="K27" s="121">
        <f t="shared" si="3"/>
        <v>1.5209184713944348E-4</v>
      </c>
      <c r="L27" s="121"/>
    </row>
    <row r="28" spans="2:12" ht="15.6" x14ac:dyDescent="0.3">
      <c r="B28" s="105"/>
      <c r="C28" s="117"/>
      <c r="D28" s="117"/>
      <c r="E28" s="118"/>
      <c r="F28" s="105"/>
      <c r="G28" s="105"/>
      <c r="H28" s="112"/>
      <c r="I28" s="122">
        <f>SUM(I22:I27)</f>
        <v>1.0000000000000002</v>
      </c>
      <c r="J28" s="123">
        <f t="shared" ref="J28:K28" si="4">SUM(J22:J27)</f>
        <v>52044.62001085496</v>
      </c>
      <c r="K28" s="124">
        <f t="shared" si="4"/>
        <v>3.5051602916793487</v>
      </c>
      <c r="L28" s="124"/>
    </row>
    <row r="29" spans="2:12" ht="15.6" x14ac:dyDescent="0.3">
      <c r="B29" s="105"/>
      <c r="C29" s="125"/>
      <c r="D29" s="125"/>
      <c r="E29" s="126"/>
      <c r="F29" s="105"/>
      <c r="G29" s="105"/>
      <c r="H29" s="127"/>
      <c r="I29" s="119"/>
      <c r="J29" s="128"/>
      <c r="K29" s="129"/>
      <c r="L29" s="129"/>
    </row>
    <row r="30" spans="2:12" ht="18" x14ac:dyDescent="0.3">
      <c r="B30" s="105"/>
      <c r="C30" s="130" t="s">
        <v>46</v>
      </c>
      <c r="D30" s="189">
        <f>SUM(D22:F27)</f>
        <v>4839731222.2646236</v>
      </c>
      <c r="E30" s="189"/>
      <c r="F30" s="189"/>
      <c r="G30" s="131"/>
      <c r="H30" s="127" t="s">
        <v>93</v>
      </c>
      <c r="I30" s="132"/>
      <c r="J30" s="187">
        <f>D30/E11</f>
        <v>52044.62001085496</v>
      </c>
      <c r="K30" s="187"/>
      <c r="L30" s="129"/>
    </row>
    <row r="31" spans="2:12" ht="18" x14ac:dyDescent="0.3">
      <c r="B31" s="105"/>
      <c r="C31" s="130" t="s">
        <v>49</v>
      </c>
      <c r="D31" s="182">
        <f>E11*(J33*J32)</f>
        <v>11045956976.639999</v>
      </c>
      <c r="E31" s="182"/>
      <c r="F31" s="182"/>
      <c r="G31" s="131"/>
      <c r="H31" s="127" t="s">
        <v>83</v>
      </c>
      <c r="I31" s="132"/>
      <c r="J31" s="186">
        <f>J30/J32</f>
        <v>3.5051602916793483</v>
      </c>
      <c r="K31" s="186"/>
      <c r="L31" s="133"/>
    </row>
    <row r="32" spans="2:12" ht="18" x14ac:dyDescent="0.3">
      <c r="B32" s="105"/>
      <c r="C32" s="130"/>
      <c r="D32" s="182"/>
      <c r="E32" s="182"/>
      <c r="F32" s="182"/>
      <c r="G32" s="131"/>
      <c r="H32" s="134" t="s">
        <v>78</v>
      </c>
      <c r="I32" s="135"/>
      <c r="J32" s="185">
        <v>14848</v>
      </c>
      <c r="K32" s="185"/>
      <c r="L32" s="105"/>
    </row>
    <row r="33" spans="2:12" ht="18" x14ac:dyDescent="0.3">
      <c r="B33" s="105"/>
      <c r="C33" s="181" t="s">
        <v>79</v>
      </c>
      <c r="D33" s="180">
        <f>D31-D30</f>
        <v>6206225754.3753757</v>
      </c>
      <c r="E33" s="180"/>
      <c r="F33" s="180"/>
      <c r="G33" s="105"/>
      <c r="H33" s="134" t="s">
        <v>84</v>
      </c>
      <c r="I33" s="135"/>
      <c r="J33" s="184">
        <v>8</v>
      </c>
      <c r="K33" s="184"/>
      <c r="L33" s="105"/>
    </row>
    <row r="34" spans="2:12" ht="18" x14ac:dyDescent="0.3">
      <c r="B34" s="105"/>
      <c r="C34" s="181"/>
      <c r="D34" s="180"/>
      <c r="E34" s="180"/>
      <c r="F34" s="180"/>
      <c r="G34" s="105"/>
      <c r="H34" s="134"/>
      <c r="I34" s="135"/>
      <c r="J34" s="136"/>
      <c r="K34" s="105"/>
      <c r="L34" s="105"/>
    </row>
    <row r="35" spans="2:12" ht="14.4" customHeight="1" x14ac:dyDescent="0.3">
      <c r="B35" s="183" t="str">
        <f>IF(D31&lt;D30,("….RUGI …..!!!!!"),("OKE….."))</f>
        <v>OKE…..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</row>
    <row r="36" spans="2:12" ht="14.4" customHeight="1" x14ac:dyDescent="0.3"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</row>
    <row r="37" spans="2:12" ht="14.4" customHeight="1" x14ac:dyDescent="0.3"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</row>
    <row r="39" spans="2:12" x14ac:dyDescent="0.3">
      <c r="H39" s="164"/>
    </row>
  </sheetData>
  <mergeCells count="22">
    <mergeCell ref="B2:L3"/>
    <mergeCell ref="D33:F34"/>
    <mergeCell ref="C33:C34"/>
    <mergeCell ref="D31:F31"/>
    <mergeCell ref="B35:L37"/>
    <mergeCell ref="J33:K33"/>
    <mergeCell ref="J32:K32"/>
    <mergeCell ref="J31:K31"/>
    <mergeCell ref="J30:K30"/>
    <mergeCell ref="D24:F24"/>
    <mergeCell ref="D23:F23"/>
    <mergeCell ref="D22:F22"/>
    <mergeCell ref="H17:H19"/>
    <mergeCell ref="D32:F32"/>
    <mergeCell ref="D30:F30"/>
    <mergeCell ref="D27:F27"/>
    <mergeCell ref="D26:F26"/>
    <mergeCell ref="D25:F25"/>
    <mergeCell ref="C5:C7"/>
    <mergeCell ref="H5:J7"/>
    <mergeCell ref="D5:F7"/>
    <mergeCell ref="C15:F16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198" t="s">
        <v>1</v>
      </c>
      <c r="E2" s="198" t="s">
        <v>2</v>
      </c>
      <c r="F2" s="198" t="s">
        <v>22</v>
      </c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7" t="s">
        <v>23</v>
      </c>
      <c r="AL2" s="197" t="s">
        <v>24</v>
      </c>
      <c r="AN2" s="3"/>
    </row>
    <row r="3" spans="1:40" s="4" customFormat="1" x14ac:dyDescent="0.3">
      <c r="C3" s="4" t="s">
        <v>5</v>
      </c>
      <c r="D3" s="198"/>
      <c r="E3" s="198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197"/>
      <c r="AL3" s="197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143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144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141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142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145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146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147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90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91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92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199" t="s">
        <v>12</v>
      </c>
      <c r="AB33" s="199"/>
      <c r="AC33" s="199"/>
      <c r="AH33" s="199" t="s">
        <v>13</v>
      </c>
      <c r="AI33" s="199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199" t="s">
        <v>9</v>
      </c>
      <c r="U35" s="199"/>
      <c r="V35" s="199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199" t="s">
        <v>19</v>
      </c>
      <c r="AB37" s="199"/>
      <c r="AC37" s="199"/>
      <c r="AH37" s="199" t="s">
        <v>20</v>
      </c>
      <c r="AI37" s="199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AA33:AC33"/>
    <mergeCell ref="AH33:AI33"/>
    <mergeCell ref="T35:V35"/>
    <mergeCell ref="AA37:AC37"/>
    <mergeCell ref="AH37:AI37"/>
    <mergeCell ref="D2:D3"/>
    <mergeCell ref="E2:E3"/>
    <mergeCell ref="F2:AJ2"/>
    <mergeCell ref="AK2:AK3"/>
    <mergeCell ref="AL2:AL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2"/>
  <sheetViews>
    <sheetView topLeftCell="A102" workbookViewId="0">
      <selection activeCell="M130" sqref="M130"/>
    </sheetView>
  </sheetViews>
  <sheetFormatPr defaultColWidth="8.88671875" defaultRowHeight="13.8" x14ac:dyDescent="0.3"/>
  <cols>
    <col min="1" max="1" width="8.88671875" style="63"/>
    <col min="2" max="2" width="16.109375" style="63" customWidth="1"/>
    <col min="3" max="3" width="8.88671875" style="63"/>
    <col min="4" max="6" width="16.6640625" style="63" customWidth="1"/>
    <col min="7" max="7" width="12.33203125" style="63" customWidth="1"/>
    <col min="8" max="8" width="15.5546875" style="63" bestFit="1" customWidth="1"/>
    <col min="9" max="10" width="14.5546875" style="63" bestFit="1" customWidth="1"/>
    <col min="11" max="11" width="16.109375" style="63" customWidth="1"/>
    <col min="12" max="14" width="8.88671875" style="63"/>
    <col min="15" max="15" width="23.6640625" style="63" bestFit="1" customWidth="1"/>
    <col min="16" max="16" width="15.6640625" style="63" customWidth="1"/>
    <col min="17" max="16384" width="8.88671875" style="63"/>
  </cols>
  <sheetData>
    <row r="1" spans="1:16" ht="33.75" customHeight="1" x14ac:dyDescent="0.3">
      <c r="K1" s="63" t="s">
        <v>94</v>
      </c>
    </row>
    <row r="2" spans="1:16" x14ac:dyDescent="0.3">
      <c r="B2" s="63">
        <v>1</v>
      </c>
      <c r="C2" s="63">
        <v>2</v>
      </c>
      <c r="D2" s="63">
        <v>3</v>
      </c>
      <c r="E2" s="63">
        <v>4</v>
      </c>
      <c r="F2" s="63">
        <v>5</v>
      </c>
      <c r="G2" s="63">
        <v>6</v>
      </c>
      <c r="H2" s="63">
        <v>7</v>
      </c>
      <c r="I2" s="63">
        <v>8</v>
      </c>
      <c r="J2" s="63">
        <v>9</v>
      </c>
      <c r="K2" s="63">
        <v>10</v>
      </c>
      <c r="O2" s="63" t="s">
        <v>292</v>
      </c>
      <c r="P2" s="63" t="s">
        <v>293</v>
      </c>
    </row>
    <row r="3" spans="1:16" x14ac:dyDescent="0.3">
      <c r="A3" s="63" t="s">
        <v>1</v>
      </c>
      <c r="B3" s="63" t="s">
        <v>86</v>
      </c>
      <c r="C3" s="63" t="s">
        <v>95</v>
      </c>
      <c r="D3" s="63" t="s">
        <v>96</v>
      </c>
      <c r="E3" s="63" t="s">
        <v>97</v>
      </c>
      <c r="F3" s="63" t="s">
        <v>98</v>
      </c>
      <c r="G3" s="63" t="s">
        <v>99</v>
      </c>
      <c r="H3" s="63" t="s">
        <v>100</v>
      </c>
      <c r="I3" s="63" t="s">
        <v>101</v>
      </c>
      <c r="J3" s="63" t="s">
        <v>102</v>
      </c>
      <c r="K3" s="63" t="s">
        <v>103</v>
      </c>
      <c r="O3" s="63" t="s">
        <v>181</v>
      </c>
      <c r="P3" s="63" t="s">
        <v>148</v>
      </c>
    </row>
    <row r="4" spans="1:16" x14ac:dyDescent="0.3">
      <c r="B4" s="63">
        <v>1</v>
      </c>
      <c r="C4" s="63">
        <v>2</v>
      </c>
      <c r="D4" s="63">
        <v>3</v>
      </c>
      <c r="E4" s="63">
        <v>4</v>
      </c>
      <c r="F4" s="63">
        <v>5</v>
      </c>
      <c r="G4" s="63">
        <v>6</v>
      </c>
      <c r="H4" s="63">
        <v>7</v>
      </c>
      <c r="I4" s="63">
        <v>8</v>
      </c>
      <c r="J4" s="63">
        <v>9</v>
      </c>
      <c r="O4" s="63" t="s">
        <v>182</v>
      </c>
      <c r="P4" s="63" t="s">
        <v>148</v>
      </c>
    </row>
    <row r="5" spans="1:16" x14ac:dyDescent="0.3">
      <c r="D5" s="63" t="s">
        <v>104</v>
      </c>
      <c r="E5" s="63" t="s">
        <v>105</v>
      </c>
      <c r="F5" s="63" t="s">
        <v>106</v>
      </c>
      <c r="O5" s="63" t="s">
        <v>183</v>
      </c>
      <c r="P5" s="63" t="s">
        <v>148</v>
      </c>
    </row>
    <row r="6" spans="1:16" x14ac:dyDescent="0.3">
      <c r="A6" s="63">
        <v>1</v>
      </c>
      <c r="B6" s="63" t="s">
        <v>107</v>
      </c>
      <c r="C6" s="63">
        <v>20</v>
      </c>
      <c r="D6" s="51">
        <v>16.543152168668435</v>
      </c>
      <c r="E6" s="51">
        <v>19.508378654264426</v>
      </c>
      <c r="F6" s="51">
        <v>35.370447619781672</v>
      </c>
      <c r="G6" s="63" t="s">
        <v>108</v>
      </c>
      <c r="H6" s="52">
        <v>239875.70644569231</v>
      </c>
      <c r="I6" s="52">
        <v>282871.4904868342</v>
      </c>
      <c r="J6" s="52">
        <v>512871.49048683426</v>
      </c>
      <c r="K6" s="53">
        <v>275000</v>
      </c>
      <c r="M6" s="63">
        <v>200</v>
      </c>
      <c r="O6" s="63" t="s">
        <v>232</v>
      </c>
      <c r="P6" s="63" t="s">
        <v>148</v>
      </c>
    </row>
    <row r="7" spans="1:16" x14ac:dyDescent="0.3">
      <c r="A7" s="63">
        <v>2</v>
      </c>
      <c r="B7" s="63" t="s">
        <v>109</v>
      </c>
      <c r="C7" s="63">
        <v>22</v>
      </c>
      <c r="D7" s="54">
        <v>23.225358812897611</v>
      </c>
      <c r="E7" s="54">
        <v>26.190585298493609</v>
      </c>
      <c r="F7" s="54">
        <v>43.638861160562577</v>
      </c>
      <c r="G7" s="63" t="s">
        <v>108</v>
      </c>
      <c r="H7" s="52">
        <v>336767.70278701535</v>
      </c>
      <c r="I7" s="52">
        <v>379763.48682815733</v>
      </c>
      <c r="J7" s="52">
        <v>632763.48682815733</v>
      </c>
      <c r="K7" s="53">
        <v>275000</v>
      </c>
      <c r="M7" s="63">
        <v>200</v>
      </c>
      <c r="O7" s="63" t="s">
        <v>240</v>
      </c>
      <c r="P7" s="63" t="s">
        <v>111</v>
      </c>
    </row>
    <row r="8" spans="1:16" x14ac:dyDescent="0.3">
      <c r="A8" s="63">
        <v>3</v>
      </c>
      <c r="B8" s="63" t="s">
        <v>110</v>
      </c>
      <c r="C8" s="63">
        <v>30</v>
      </c>
      <c r="D8" s="51">
        <v>41.215220187976122</v>
      </c>
      <c r="E8" s="51">
        <v>44.180446673572121</v>
      </c>
      <c r="F8" s="51">
        <v>69.559757018399708</v>
      </c>
      <c r="G8" s="63" t="s">
        <v>108</v>
      </c>
      <c r="H8" s="52">
        <v>597620.69272565376</v>
      </c>
      <c r="I8" s="52">
        <v>640616.47676679573</v>
      </c>
      <c r="J8" s="52">
        <v>1008616.4767667957</v>
      </c>
      <c r="K8" s="53">
        <v>400000</v>
      </c>
      <c r="M8" s="63">
        <v>300</v>
      </c>
      <c r="O8" s="63" t="s">
        <v>266</v>
      </c>
      <c r="P8" s="63" t="s">
        <v>111</v>
      </c>
    </row>
    <row r="9" spans="1:16" x14ac:dyDescent="0.3">
      <c r="A9" s="63">
        <v>4</v>
      </c>
      <c r="B9" s="63" t="s">
        <v>111</v>
      </c>
      <c r="C9" s="63">
        <v>38</v>
      </c>
      <c r="D9" s="55">
        <v>58.29</v>
      </c>
      <c r="E9" s="55">
        <v>61.6</v>
      </c>
      <c r="F9" s="55">
        <v>87.81</v>
      </c>
      <c r="G9" s="63" t="s">
        <v>108</v>
      </c>
      <c r="H9" s="52">
        <v>845205</v>
      </c>
      <c r="I9" s="52">
        <v>893200</v>
      </c>
      <c r="J9" s="52">
        <v>1273245</v>
      </c>
      <c r="K9" s="52">
        <v>950000</v>
      </c>
      <c r="M9" s="63">
        <v>400</v>
      </c>
      <c r="O9" s="63" t="s">
        <v>233</v>
      </c>
      <c r="P9" s="63" t="s">
        <v>111</v>
      </c>
    </row>
    <row r="10" spans="1:16" x14ac:dyDescent="0.3">
      <c r="A10" s="63">
        <v>5</v>
      </c>
      <c r="B10" s="64" t="s">
        <v>148</v>
      </c>
      <c r="C10" s="64">
        <v>45</v>
      </c>
      <c r="D10" s="65">
        <v>63.54</v>
      </c>
      <c r="E10" s="65">
        <v>66.849999999999994</v>
      </c>
      <c r="F10" s="65">
        <v>98.05</v>
      </c>
      <c r="G10" s="64" t="s">
        <v>108</v>
      </c>
      <c r="H10" s="52">
        <v>921330</v>
      </c>
      <c r="I10" s="52">
        <v>969324.99999999988</v>
      </c>
      <c r="J10" s="52">
        <v>1421725</v>
      </c>
      <c r="K10" s="66">
        <v>1000000</v>
      </c>
      <c r="O10" s="63" t="s">
        <v>184</v>
      </c>
      <c r="P10" s="63" t="s">
        <v>111</v>
      </c>
    </row>
    <row r="11" spans="1:16" x14ac:dyDescent="0.3">
      <c r="A11" s="63">
        <v>6</v>
      </c>
      <c r="B11" s="63" t="s">
        <v>112</v>
      </c>
      <c r="C11" s="63">
        <v>20</v>
      </c>
      <c r="D11" s="55">
        <v>17.650196458586205</v>
      </c>
      <c r="E11" s="55">
        <v>20.6154229441822</v>
      </c>
      <c r="F11" s="55">
        <v>36.477491909699445</v>
      </c>
      <c r="G11" s="63" t="s">
        <v>108</v>
      </c>
      <c r="H11" s="52">
        <v>255927.84864949997</v>
      </c>
      <c r="I11" s="52">
        <v>298923.63269064191</v>
      </c>
      <c r="J11" s="52">
        <v>528923.63269064191</v>
      </c>
      <c r="K11" s="53">
        <v>275000</v>
      </c>
      <c r="M11" s="63">
        <v>200</v>
      </c>
      <c r="O11" s="63" t="s">
        <v>241</v>
      </c>
      <c r="P11" s="63" t="s">
        <v>111</v>
      </c>
    </row>
    <row r="12" spans="1:16" x14ac:dyDescent="0.3">
      <c r="A12" s="63">
        <v>7</v>
      </c>
      <c r="B12" s="63" t="s">
        <v>113</v>
      </c>
      <c r="C12" s="63">
        <v>28</v>
      </c>
      <c r="D12" s="55">
        <v>34.235023413986731</v>
      </c>
      <c r="E12" s="55">
        <v>37.20024989958273</v>
      </c>
      <c r="F12" s="55">
        <v>59.407146451306865</v>
      </c>
      <c r="G12" s="63" t="s">
        <v>108</v>
      </c>
      <c r="H12" s="52">
        <v>496407.83950280759</v>
      </c>
      <c r="I12" s="52">
        <v>539403.62354394956</v>
      </c>
      <c r="J12" s="52">
        <v>861403.62354394956</v>
      </c>
      <c r="K12" s="53">
        <v>400000</v>
      </c>
      <c r="O12" s="63" t="s">
        <v>185</v>
      </c>
      <c r="P12" s="63" t="s">
        <v>110</v>
      </c>
    </row>
    <row r="13" spans="1:16" x14ac:dyDescent="0.3">
      <c r="A13" s="63">
        <v>8</v>
      </c>
      <c r="B13" s="63" t="s">
        <v>114</v>
      </c>
      <c r="C13" s="63">
        <v>30</v>
      </c>
      <c r="D13" s="55">
        <v>98.227887364718683</v>
      </c>
      <c r="E13" s="55">
        <v>101.53794143652156</v>
      </c>
      <c r="F13" s="55">
        <v>127.71035522962501</v>
      </c>
      <c r="G13" s="63" t="s">
        <v>115</v>
      </c>
      <c r="H13" s="52">
        <v>1424304.3667884208</v>
      </c>
      <c r="I13" s="52">
        <v>1472300.1508295627</v>
      </c>
      <c r="J13" s="52">
        <v>1851800.1508295627</v>
      </c>
      <c r="K13" s="52">
        <v>1424304.3667884208</v>
      </c>
      <c r="O13" s="63" t="s">
        <v>288</v>
      </c>
      <c r="P13" s="63" t="s">
        <v>110</v>
      </c>
    </row>
    <row r="14" spans="1:16" x14ac:dyDescent="0.3">
      <c r="A14" s="63">
        <v>9</v>
      </c>
      <c r="B14" s="63" t="s">
        <v>116</v>
      </c>
      <c r="C14" s="63">
        <v>30</v>
      </c>
      <c r="D14" s="55">
        <v>42.330991099155035</v>
      </c>
      <c r="E14" s="55">
        <v>45.296217584751034</v>
      </c>
      <c r="F14" s="55">
        <v>69.089321033026891</v>
      </c>
      <c r="G14" s="63" t="s">
        <v>117</v>
      </c>
      <c r="H14" s="52">
        <v>613799.370937748</v>
      </c>
      <c r="I14" s="52">
        <v>656795.15497888997</v>
      </c>
      <c r="J14" s="52">
        <v>1001795.15497889</v>
      </c>
      <c r="K14" s="53">
        <v>425000</v>
      </c>
      <c r="O14" s="63" t="s">
        <v>255</v>
      </c>
      <c r="P14" s="63" t="s">
        <v>110</v>
      </c>
    </row>
    <row r="15" spans="1:16" x14ac:dyDescent="0.3">
      <c r="A15" s="63">
        <v>10</v>
      </c>
      <c r="B15" s="63" t="s">
        <v>118</v>
      </c>
      <c r="C15" s="63">
        <v>33</v>
      </c>
      <c r="D15" s="55">
        <v>42.779234898714847</v>
      </c>
      <c r="E15" s="55">
        <v>45.744461384310853</v>
      </c>
      <c r="F15" s="55">
        <v>71.916875177414298</v>
      </c>
      <c r="G15" s="63" t="s">
        <v>117</v>
      </c>
      <c r="H15" s="52">
        <v>620298.90603136527</v>
      </c>
      <c r="I15" s="52">
        <v>663294.69007250736</v>
      </c>
      <c r="J15" s="52">
        <v>1042794.6900725074</v>
      </c>
      <c r="K15" s="53">
        <v>425000</v>
      </c>
      <c r="O15" s="63" t="s">
        <v>242</v>
      </c>
      <c r="P15" s="63" t="s">
        <v>110</v>
      </c>
    </row>
    <row r="16" spans="1:16" x14ac:dyDescent="0.3">
      <c r="A16" s="63">
        <v>11</v>
      </c>
      <c r="B16" s="63" t="s">
        <v>119</v>
      </c>
      <c r="C16" s="63">
        <v>15</v>
      </c>
      <c r="D16" s="55">
        <v>32.851040611188708</v>
      </c>
      <c r="E16" s="55">
        <v>35.816267096784706</v>
      </c>
      <c r="F16" s="55">
        <v>47.712818820922635</v>
      </c>
      <c r="G16" s="63" t="s">
        <v>120</v>
      </c>
      <c r="H16" s="52">
        <v>476340.08886223624</v>
      </c>
      <c r="I16" s="52">
        <v>519335.87290337821</v>
      </c>
      <c r="J16" s="52">
        <v>691835.87290337821</v>
      </c>
      <c r="K16" s="53">
        <v>350000</v>
      </c>
      <c r="O16" s="63" t="s">
        <v>256</v>
      </c>
      <c r="P16" s="63" t="s">
        <v>110</v>
      </c>
    </row>
    <row r="17" spans="1:16" x14ac:dyDescent="0.3">
      <c r="A17" s="63">
        <v>12</v>
      </c>
      <c r="B17" s="63" t="s">
        <v>121</v>
      </c>
      <c r="C17" s="63">
        <v>11</v>
      </c>
      <c r="D17" s="55">
        <v>13.198075497496305</v>
      </c>
      <c r="E17" s="55">
        <v>16.1633019830923</v>
      </c>
      <c r="F17" s="55">
        <v>24.094336465850922</v>
      </c>
      <c r="G17" s="63" t="s">
        <v>122</v>
      </c>
      <c r="H17" s="52">
        <v>191372.09471369642</v>
      </c>
      <c r="I17" s="52">
        <v>234367.87875483834</v>
      </c>
      <c r="J17" s="52">
        <v>349367.87875483837</v>
      </c>
      <c r="K17" s="53">
        <v>220000</v>
      </c>
      <c r="O17" s="63" t="s">
        <v>257</v>
      </c>
      <c r="P17" s="63" t="s">
        <v>110</v>
      </c>
    </row>
    <row r="18" spans="1:16" x14ac:dyDescent="0.3">
      <c r="A18" s="63">
        <v>13</v>
      </c>
      <c r="B18" s="63" t="s">
        <v>123</v>
      </c>
      <c r="C18" s="63">
        <v>11</v>
      </c>
      <c r="D18" s="55">
        <v>9.9396573133956743</v>
      </c>
      <c r="E18" s="55">
        <v>12.904883798991671</v>
      </c>
      <c r="F18" s="55">
        <v>20.835918281750292</v>
      </c>
      <c r="G18" s="63" t="s">
        <v>122</v>
      </c>
      <c r="H18" s="52">
        <v>144125.03104423729</v>
      </c>
      <c r="I18" s="52">
        <v>187120.81508537923</v>
      </c>
      <c r="J18" s="52">
        <v>302120.81508537923</v>
      </c>
      <c r="K18" s="53">
        <v>220000</v>
      </c>
      <c r="O18" s="63" t="s">
        <v>267</v>
      </c>
      <c r="P18" s="63" t="s">
        <v>110</v>
      </c>
    </row>
    <row r="19" spans="1:16" x14ac:dyDescent="0.3">
      <c r="A19" s="63">
        <v>14</v>
      </c>
      <c r="B19" s="63" t="s">
        <v>124</v>
      </c>
      <c r="C19" s="63">
        <v>11</v>
      </c>
      <c r="D19" s="55">
        <v>8.6243115698869737</v>
      </c>
      <c r="E19" s="55">
        <v>11.58953805548297</v>
      </c>
      <c r="F19" s="55">
        <v>19.520572538241591</v>
      </c>
      <c r="G19" s="63" t="s">
        <v>122</v>
      </c>
      <c r="H19" s="52">
        <v>125052.51776336112</v>
      </c>
      <c r="I19" s="52">
        <v>168048.30180450308</v>
      </c>
      <c r="J19" s="52">
        <v>283048.30180450308</v>
      </c>
      <c r="O19" s="63" t="s">
        <v>186</v>
      </c>
      <c r="P19" s="63" t="s">
        <v>113</v>
      </c>
    </row>
    <row r="20" spans="1:16" x14ac:dyDescent="0.3">
      <c r="A20" s="63">
        <v>15</v>
      </c>
      <c r="B20" s="63" t="s">
        <v>125</v>
      </c>
      <c r="C20" s="63">
        <v>20</v>
      </c>
      <c r="D20" s="55">
        <v>12.869935559578513</v>
      </c>
      <c r="E20" s="55">
        <v>15.835162045174506</v>
      </c>
      <c r="F20" s="55">
        <v>31.697231010691752</v>
      </c>
      <c r="G20" s="63" t="s">
        <v>126</v>
      </c>
      <c r="H20" s="52">
        <v>186614.06561388844</v>
      </c>
      <c r="I20" s="52">
        <v>229609.84965503035</v>
      </c>
      <c r="J20" s="52">
        <v>459609.84965503041</v>
      </c>
      <c r="O20" s="63" t="s">
        <v>187</v>
      </c>
      <c r="P20" s="63" t="s">
        <v>113</v>
      </c>
    </row>
    <row r="21" spans="1:16" x14ac:dyDescent="0.3">
      <c r="A21" s="63">
        <v>16</v>
      </c>
      <c r="B21" s="63" t="s">
        <v>127</v>
      </c>
      <c r="C21" s="63">
        <v>20</v>
      </c>
      <c r="D21" s="55">
        <v>34.014481497007949</v>
      </c>
      <c r="E21" s="55">
        <v>36.979707982603948</v>
      </c>
      <c r="F21" s="55">
        <v>52.841776948121193</v>
      </c>
      <c r="G21" s="63" t="s">
        <v>126</v>
      </c>
      <c r="H21" s="52">
        <v>493209.98170661525</v>
      </c>
      <c r="I21" s="52">
        <v>536205.76574775728</v>
      </c>
      <c r="J21" s="52">
        <v>766205.76574775728</v>
      </c>
      <c r="O21" s="63" t="s">
        <v>258</v>
      </c>
      <c r="P21" s="63" t="s">
        <v>109</v>
      </c>
    </row>
    <row r="22" spans="1:16" x14ac:dyDescent="0.3">
      <c r="A22" s="63">
        <v>17</v>
      </c>
      <c r="B22" s="63" t="s">
        <v>128</v>
      </c>
      <c r="C22" s="63">
        <v>15</v>
      </c>
      <c r="D22" s="55">
        <v>17.340346563348103</v>
      </c>
      <c r="E22" s="55">
        <v>18.94828557481604</v>
      </c>
      <c r="F22" s="55">
        <v>30.051733850678108</v>
      </c>
      <c r="G22" s="63" t="s">
        <v>129</v>
      </c>
      <c r="H22" s="52">
        <v>251435.02516854749</v>
      </c>
      <c r="I22" s="52">
        <v>274750.14083483256</v>
      </c>
      <c r="J22" s="52">
        <v>435750.14083483256</v>
      </c>
      <c r="K22" s="53">
        <v>210000</v>
      </c>
      <c r="O22" s="63" t="s">
        <v>259</v>
      </c>
      <c r="P22" s="63" t="s">
        <v>109</v>
      </c>
    </row>
    <row r="23" spans="1:16" x14ac:dyDescent="0.3">
      <c r="A23" s="63">
        <v>18</v>
      </c>
      <c r="B23" s="63" t="s">
        <v>130</v>
      </c>
      <c r="C23" s="63">
        <v>20</v>
      </c>
      <c r="D23" s="55">
        <v>31.171772542920422</v>
      </c>
      <c r="E23" s="55">
        <v>32.952125347491801</v>
      </c>
      <c r="F23" s="55">
        <v>48.814194313009047</v>
      </c>
      <c r="G23" s="63" t="s">
        <v>129</v>
      </c>
      <c r="H23" s="52">
        <v>451990.70187234611</v>
      </c>
      <c r="I23" s="52">
        <v>477805.81753863109</v>
      </c>
      <c r="J23" s="52">
        <v>707805.81753863115</v>
      </c>
      <c r="K23" s="53">
        <v>460000</v>
      </c>
      <c r="O23" s="63" t="s">
        <v>260</v>
      </c>
      <c r="P23" s="63" t="s">
        <v>109</v>
      </c>
    </row>
    <row r="24" spans="1:16" x14ac:dyDescent="0.3">
      <c r="A24" s="63">
        <v>19</v>
      </c>
      <c r="B24" s="64" t="s">
        <v>149</v>
      </c>
      <c r="C24" s="64">
        <v>28</v>
      </c>
      <c r="D24" s="65">
        <v>32.42</v>
      </c>
      <c r="E24" s="65">
        <v>34.21</v>
      </c>
      <c r="F24" s="65">
        <v>53.52</v>
      </c>
      <c r="G24" s="64" t="s">
        <v>129</v>
      </c>
      <c r="H24" s="52">
        <v>470090</v>
      </c>
      <c r="I24" s="52">
        <v>496045</v>
      </c>
      <c r="J24" s="52">
        <v>776040</v>
      </c>
      <c r="K24" s="67">
        <v>500000</v>
      </c>
      <c r="O24" s="63" t="s">
        <v>261</v>
      </c>
      <c r="P24" s="63" t="s">
        <v>109</v>
      </c>
    </row>
    <row r="25" spans="1:16" x14ac:dyDescent="0.3">
      <c r="A25" s="63">
        <v>20</v>
      </c>
      <c r="B25" s="63" t="s">
        <v>328</v>
      </c>
      <c r="C25" s="168">
        <v>28</v>
      </c>
      <c r="D25" s="65">
        <v>32.42</v>
      </c>
      <c r="E25" s="65">
        <v>34.21</v>
      </c>
      <c r="F25" s="65">
        <v>53.52</v>
      </c>
      <c r="G25" s="64" t="s">
        <v>129</v>
      </c>
      <c r="H25" s="52">
        <v>470090</v>
      </c>
      <c r="I25" s="52">
        <v>496045</v>
      </c>
      <c r="J25" s="52">
        <v>776040</v>
      </c>
      <c r="K25" s="67">
        <v>500000</v>
      </c>
    </row>
    <row r="26" spans="1:16" x14ac:dyDescent="0.3">
      <c r="A26" s="63">
        <v>21</v>
      </c>
      <c r="B26" s="63" t="s">
        <v>38</v>
      </c>
      <c r="C26" s="63">
        <v>10</v>
      </c>
      <c r="D26" s="56"/>
      <c r="E26" s="56"/>
      <c r="F26" s="56"/>
      <c r="H26" s="52">
        <v>8000000</v>
      </c>
      <c r="I26" s="52"/>
      <c r="J26" s="52"/>
      <c r="K26" s="52">
        <v>8000000</v>
      </c>
      <c r="O26" s="63" t="s">
        <v>262</v>
      </c>
      <c r="P26" s="63" t="s">
        <v>109</v>
      </c>
    </row>
    <row r="27" spans="1:16" x14ac:dyDescent="0.3">
      <c r="A27" s="63">
        <v>22</v>
      </c>
      <c r="B27" s="63" t="s">
        <v>131</v>
      </c>
      <c r="C27" s="63">
        <v>4</v>
      </c>
      <c r="D27" s="56"/>
      <c r="E27" s="56"/>
      <c r="F27" s="56"/>
      <c r="H27" s="52">
        <v>3000000</v>
      </c>
      <c r="I27" s="52"/>
      <c r="J27" s="52"/>
      <c r="K27" s="52">
        <v>3000000</v>
      </c>
      <c r="O27" s="63" t="s">
        <v>188</v>
      </c>
      <c r="P27" s="63" t="s">
        <v>109</v>
      </c>
    </row>
    <row r="28" spans="1:16" x14ac:dyDescent="0.3">
      <c r="A28" s="63">
        <v>23</v>
      </c>
      <c r="B28" s="63" t="s">
        <v>150</v>
      </c>
      <c r="C28" s="64">
        <v>10</v>
      </c>
      <c r="D28" s="64"/>
      <c r="E28" s="64"/>
      <c r="F28" s="64"/>
      <c r="G28" s="64"/>
      <c r="H28" s="52">
        <v>12000000</v>
      </c>
      <c r="K28" s="52">
        <f>Table2[[#This Row],[Column4]]</f>
        <v>12000000</v>
      </c>
      <c r="O28" s="63" t="s">
        <v>189</v>
      </c>
      <c r="P28" s="63" t="s">
        <v>109</v>
      </c>
    </row>
    <row r="29" spans="1:16" x14ac:dyDescent="0.3">
      <c r="A29" s="200" t="s">
        <v>132</v>
      </c>
      <c r="B29" s="200"/>
      <c r="C29" s="200"/>
      <c r="O29" s="63" t="s">
        <v>298</v>
      </c>
      <c r="P29" s="63" t="s">
        <v>109</v>
      </c>
    </row>
    <row r="30" spans="1:16" x14ac:dyDescent="0.3">
      <c r="J30" s="139" t="s">
        <v>296</v>
      </c>
      <c r="O30" s="63" t="s">
        <v>299</v>
      </c>
      <c r="P30" s="63" t="s">
        <v>109</v>
      </c>
    </row>
    <row r="31" spans="1:16" ht="14.4" thickBot="1" x14ac:dyDescent="0.35">
      <c r="A31" s="57" t="s">
        <v>1</v>
      </c>
      <c r="B31" s="58" t="s">
        <v>86</v>
      </c>
      <c r="C31" s="58" t="s">
        <v>133</v>
      </c>
      <c r="O31" s="63" t="s">
        <v>289</v>
      </c>
      <c r="P31" s="63" t="s">
        <v>109</v>
      </c>
    </row>
    <row r="32" spans="1:16" ht="14.4" thickTop="1" x14ac:dyDescent="0.3">
      <c r="A32" s="63">
        <v>1</v>
      </c>
      <c r="B32" s="63" t="s">
        <v>134</v>
      </c>
      <c r="C32" s="59">
        <v>24</v>
      </c>
      <c r="O32" s="63" t="s">
        <v>190</v>
      </c>
      <c r="P32" s="63" t="s">
        <v>107</v>
      </c>
    </row>
    <row r="33" spans="1:16" x14ac:dyDescent="0.3">
      <c r="A33" s="63">
        <v>2</v>
      </c>
      <c r="B33" s="63" t="s">
        <v>135</v>
      </c>
      <c r="C33" s="59">
        <v>16</v>
      </c>
      <c r="O33" s="63" t="s">
        <v>191</v>
      </c>
      <c r="P33" s="63" t="s">
        <v>112</v>
      </c>
    </row>
    <row r="34" spans="1:16" x14ac:dyDescent="0.3">
      <c r="A34" s="63">
        <v>3</v>
      </c>
      <c r="B34" s="60" t="s">
        <v>136</v>
      </c>
      <c r="C34" s="59">
        <v>8</v>
      </c>
      <c r="O34" s="63" t="s">
        <v>243</v>
      </c>
      <c r="P34" s="63" t="s">
        <v>112</v>
      </c>
    </row>
    <row r="35" spans="1:16" x14ac:dyDescent="0.3">
      <c r="A35" s="63">
        <v>4</v>
      </c>
      <c r="B35" s="63" t="s">
        <v>137</v>
      </c>
      <c r="C35" s="59">
        <v>16</v>
      </c>
      <c r="O35" s="63" t="s">
        <v>192</v>
      </c>
      <c r="P35" s="63" t="s">
        <v>112</v>
      </c>
    </row>
    <row r="36" spans="1:16" x14ac:dyDescent="0.3">
      <c r="A36" s="63">
        <v>5</v>
      </c>
      <c r="B36" s="63" t="s">
        <v>138</v>
      </c>
      <c r="C36" s="59">
        <v>8</v>
      </c>
      <c r="O36" s="63" t="s">
        <v>193</v>
      </c>
      <c r="P36" s="63" t="s">
        <v>112</v>
      </c>
    </row>
    <row r="37" spans="1:16" x14ac:dyDescent="0.3">
      <c r="O37" s="63" t="s">
        <v>194</v>
      </c>
      <c r="P37" s="63" t="s">
        <v>112</v>
      </c>
    </row>
    <row r="38" spans="1:16" x14ac:dyDescent="0.3">
      <c r="O38" s="63" t="s">
        <v>195</v>
      </c>
      <c r="P38" s="63" t="s">
        <v>112</v>
      </c>
    </row>
    <row r="39" spans="1:16" x14ac:dyDescent="0.3">
      <c r="B39" s="63">
        <v>14652.34</v>
      </c>
      <c r="O39" s="63" t="s">
        <v>196</v>
      </c>
      <c r="P39" s="63" t="s">
        <v>112</v>
      </c>
    </row>
    <row r="40" spans="1:16" x14ac:dyDescent="0.3">
      <c r="O40" s="63" t="s">
        <v>197</v>
      </c>
      <c r="P40" s="63" t="s">
        <v>112</v>
      </c>
    </row>
    <row r="41" spans="1:16" x14ac:dyDescent="0.3">
      <c r="O41" s="63" t="s">
        <v>198</v>
      </c>
      <c r="P41" s="63" t="s">
        <v>112</v>
      </c>
    </row>
    <row r="42" spans="1:16" x14ac:dyDescent="0.3">
      <c r="O42" s="63" t="s">
        <v>199</v>
      </c>
      <c r="P42" s="63" t="s">
        <v>112</v>
      </c>
    </row>
    <row r="43" spans="1:16" x14ac:dyDescent="0.3">
      <c r="O43" s="63" t="s">
        <v>253</v>
      </c>
      <c r="P43" s="63" t="s">
        <v>114</v>
      </c>
    </row>
    <row r="44" spans="1:16" x14ac:dyDescent="0.3">
      <c r="O44" s="63" t="s">
        <v>271</v>
      </c>
      <c r="P44" s="63" t="s">
        <v>114</v>
      </c>
    </row>
    <row r="45" spans="1:16" x14ac:dyDescent="0.3">
      <c r="O45" s="63" t="s">
        <v>244</v>
      </c>
      <c r="P45" s="63" t="s">
        <v>114</v>
      </c>
    </row>
    <row r="46" spans="1:16" x14ac:dyDescent="0.3">
      <c r="O46" s="63" t="s">
        <v>254</v>
      </c>
      <c r="P46" s="63" t="s">
        <v>114</v>
      </c>
    </row>
    <row r="47" spans="1:16" x14ac:dyDescent="0.3">
      <c r="O47" s="63" t="s">
        <v>245</v>
      </c>
      <c r="P47" s="63" t="s">
        <v>114</v>
      </c>
    </row>
    <row r="48" spans="1:16" x14ac:dyDescent="0.3">
      <c r="O48" s="63" t="s">
        <v>246</v>
      </c>
      <c r="P48" s="63" t="s">
        <v>114</v>
      </c>
    </row>
    <row r="49" spans="15:16" x14ac:dyDescent="0.3">
      <c r="O49" s="63" t="s">
        <v>247</v>
      </c>
      <c r="P49" s="63" t="s">
        <v>114</v>
      </c>
    </row>
    <row r="50" spans="15:16" x14ac:dyDescent="0.3">
      <c r="O50" s="63" t="s">
        <v>200</v>
      </c>
      <c r="P50" s="63" t="s">
        <v>114</v>
      </c>
    </row>
    <row r="51" spans="15:16" x14ac:dyDescent="0.3">
      <c r="O51" s="63" t="s">
        <v>201</v>
      </c>
      <c r="P51" s="63" t="s">
        <v>114</v>
      </c>
    </row>
    <row r="52" spans="15:16" x14ac:dyDescent="0.3">
      <c r="O52" s="63" t="s">
        <v>202</v>
      </c>
      <c r="P52" s="63" t="s">
        <v>114</v>
      </c>
    </row>
    <row r="53" spans="15:16" x14ac:dyDescent="0.3">
      <c r="O53" s="63" t="s">
        <v>203</v>
      </c>
      <c r="P53" s="63" t="s">
        <v>114</v>
      </c>
    </row>
    <row r="54" spans="15:16" x14ac:dyDescent="0.3">
      <c r="O54" s="63" t="s">
        <v>204</v>
      </c>
      <c r="P54" s="63" t="s">
        <v>114</v>
      </c>
    </row>
    <row r="55" spans="15:16" x14ac:dyDescent="0.3">
      <c r="O55" s="63" t="s">
        <v>205</v>
      </c>
      <c r="P55" s="63" t="s">
        <v>114</v>
      </c>
    </row>
    <row r="56" spans="15:16" x14ac:dyDescent="0.3">
      <c r="O56" s="63" t="s">
        <v>206</v>
      </c>
      <c r="P56" s="63" t="s">
        <v>114</v>
      </c>
    </row>
    <row r="57" spans="15:16" x14ac:dyDescent="0.3">
      <c r="O57" s="63" t="s">
        <v>207</v>
      </c>
      <c r="P57" s="63" t="s">
        <v>114</v>
      </c>
    </row>
    <row r="58" spans="15:16" x14ac:dyDescent="0.3">
      <c r="O58" s="63" t="s">
        <v>208</v>
      </c>
      <c r="P58" s="63" t="s">
        <v>114</v>
      </c>
    </row>
    <row r="59" spans="15:16" x14ac:dyDescent="0.3">
      <c r="O59" s="63" t="s">
        <v>209</v>
      </c>
      <c r="P59" s="63" t="s">
        <v>114</v>
      </c>
    </row>
    <row r="60" spans="15:16" x14ac:dyDescent="0.3">
      <c r="O60" s="63" t="s">
        <v>210</v>
      </c>
      <c r="P60" s="63" t="s">
        <v>114</v>
      </c>
    </row>
    <row r="61" spans="15:16" x14ac:dyDescent="0.3">
      <c r="O61" s="63" t="s">
        <v>211</v>
      </c>
      <c r="P61" s="63" t="s">
        <v>114</v>
      </c>
    </row>
    <row r="62" spans="15:16" x14ac:dyDescent="0.3">
      <c r="O62" s="63" t="s">
        <v>212</v>
      </c>
      <c r="P62" s="63" t="s">
        <v>114</v>
      </c>
    </row>
    <row r="63" spans="15:16" x14ac:dyDescent="0.3">
      <c r="O63" s="63" t="s">
        <v>213</v>
      </c>
      <c r="P63" s="63" t="s">
        <v>114</v>
      </c>
    </row>
    <row r="64" spans="15:16" x14ac:dyDescent="0.3">
      <c r="O64" s="63" t="s">
        <v>234</v>
      </c>
      <c r="P64" s="63" t="s">
        <v>114</v>
      </c>
    </row>
    <row r="65" spans="15:16" x14ac:dyDescent="0.3">
      <c r="O65" s="63" t="s">
        <v>235</v>
      </c>
      <c r="P65" s="63" t="s">
        <v>114</v>
      </c>
    </row>
    <row r="66" spans="15:16" x14ac:dyDescent="0.3">
      <c r="O66" s="63" t="s">
        <v>236</v>
      </c>
      <c r="P66" s="63" t="s">
        <v>114</v>
      </c>
    </row>
    <row r="67" spans="15:16" x14ac:dyDescent="0.3">
      <c r="O67" s="63" t="s">
        <v>278</v>
      </c>
      <c r="P67" s="63" t="s">
        <v>118</v>
      </c>
    </row>
    <row r="68" spans="15:16" x14ac:dyDescent="0.3">
      <c r="O68" s="63" t="s">
        <v>248</v>
      </c>
      <c r="P68" s="63" t="s">
        <v>118</v>
      </c>
    </row>
    <row r="69" spans="15:16" x14ac:dyDescent="0.3">
      <c r="O69" s="63" t="s">
        <v>249</v>
      </c>
      <c r="P69" s="63" t="s">
        <v>118</v>
      </c>
    </row>
    <row r="70" spans="15:16" x14ac:dyDescent="0.3">
      <c r="O70" s="63" t="s">
        <v>214</v>
      </c>
      <c r="P70" s="63" t="s">
        <v>118</v>
      </c>
    </row>
    <row r="71" spans="15:16" x14ac:dyDescent="0.3">
      <c r="O71" s="63" t="s">
        <v>215</v>
      </c>
      <c r="P71" s="63" t="s">
        <v>118</v>
      </c>
    </row>
    <row r="72" spans="15:16" x14ac:dyDescent="0.3">
      <c r="O72" s="63" t="s">
        <v>216</v>
      </c>
      <c r="P72" s="63" t="s">
        <v>118</v>
      </c>
    </row>
    <row r="73" spans="15:16" x14ac:dyDescent="0.3">
      <c r="O73" s="63" t="s">
        <v>217</v>
      </c>
      <c r="P73" s="63" t="s">
        <v>118</v>
      </c>
    </row>
    <row r="74" spans="15:16" x14ac:dyDescent="0.3">
      <c r="O74" s="63" t="s">
        <v>237</v>
      </c>
      <c r="P74" s="63" t="s">
        <v>118</v>
      </c>
    </row>
    <row r="75" spans="15:16" x14ac:dyDescent="0.3">
      <c r="O75" s="63" t="s">
        <v>263</v>
      </c>
      <c r="P75" s="63" t="s">
        <v>116</v>
      </c>
    </row>
    <row r="76" spans="15:16" x14ac:dyDescent="0.3">
      <c r="O76" s="63" t="s">
        <v>218</v>
      </c>
      <c r="P76" s="63" t="s">
        <v>116</v>
      </c>
    </row>
    <row r="77" spans="15:16" x14ac:dyDescent="0.3">
      <c r="O77" s="63" t="s">
        <v>250</v>
      </c>
      <c r="P77" s="63" t="s">
        <v>116</v>
      </c>
    </row>
    <row r="78" spans="15:16" x14ac:dyDescent="0.3">
      <c r="O78" s="63" t="s">
        <v>219</v>
      </c>
      <c r="P78" s="63" t="s">
        <v>116</v>
      </c>
    </row>
    <row r="79" spans="15:16" x14ac:dyDescent="0.3">
      <c r="O79" s="63" t="s">
        <v>238</v>
      </c>
      <c r="P79" s="63" t="s">
        <v>116</v>
      </c>
    </row>
    <row r="80" spans="15:16" x14ac:dyDescent="0.3">
      <c r="O80" s="63" t="s">
        <v>220</v>
      </c>
      <c r="P80" s="63" t="s">
        <v>119</v>
      </c>
    </row>
    <row r="81" spans="15:16" x14ac:dyDescent="0.3">
      <c r="O81" s="63" t="s">
        <v>268</v>
      </c>
      <c r="P81" s="63" t="s">
        <v>127</v>
      </c>
    </row>
    <row r="82" spans="15:16" x14ac:dyDescent="0.3">
      <c r="O82" s="63" t="s">
        <v>305</v>
      </c>
      <c r="P82" s="63" t="s">
        <v>121</v>
      </c>
    </row>
    <row r="83" spans="15:16" x14ac:dyDescent="0.3">
      <c r="O83" s="63" t="s">
        <v>269</v>
      </c>
      <c r="P83" s="63" t="s">
        <v>121</v>
      </c>
    </row>
    <row r="84" spans="15:16" x14ac:dyDescent="0.3">
      <c r="O84" s="63" t="s">
        <v>279</v>
      </c>
      <c r="P84" s="63" t="s">
        <v>121</v>
      </c>
    </row>
    <row r="85" spans="15:16" x14ac:dyDescent="0.3">
      <c r="O85" s="63" t="s">
        <v>221</v>
      </c>
      <c r="P85" s="63" t="s">
        <v>121</v>
      </c>
    </row>
    <row r="86" spans="15:16" x14ac:dyDescent="0.3">
      <c r="O86" s="63" t="s">
        <v>283</v>
      </c>
      <c r="P86" s="63" t="s">
        <v>38</v>
      </c>
    </row>
    <row r="87" spans="15:16" x14ac:dyDescent="0.3">
      <c r="O87" s="63" t="s">
        <v>224</v>
      </c>
      <c r="P87" s="63" t="s">
        <v>38</v>
      </c>
    </row>
    <row r="88" spans="15:16" x14ac:dyDescent="0.3">
      <c r="O88" s="63" t="s">
        <v>225</v>
      </c>
      <c r="P88" s="63" t="s">
        <v>38</v>
      </c>
    </row>
    <row r="89" spans="15:16" x14ac:dyDescent="0.3">
      <c r="O89" s="63" t="s">
        <v>226</v>
      </c>
      <c r="P89" s="63" t="s">
        <v>38</v>
      </c>
    </row>
    <row r="90" spans="15:16" x14ac:dyDescent="0.3">
      <c r="O90" s="63" t="s">
        <v>239</v>
      </c>
      <c r="P90" s="63" t="s">
        <v>38</v>
      </c>
    </row>
    <row r="91" spans="15:16" x14ac:dyDescent="0.3">
      <c r="O91" s="63" t="s">
        <v>284</v>
      </c>
      <c r="P91" s="63" t="s">
        <v>38</v>
      </c>
    </row>
    <row r="92" spans="15:16" x14ac:dyDescent="0.3">
      <c r="O92" s="63" t="s">
        <v>222</v>
      </c>
      <c r="P92" s="63" t="s">
        <v>38</v>
      </c>
    </row>
    <row r="93" spans="15:16" x14ac:dyDescent="0.3">
      <c r="O93" s="63" t="s">
        <v>265</v>
      </c>
      <c r="P93" s="63" t="s">
        <v>38</v>
      </c>
    </row>
    <row r="94" spans="15:16" x14ac:dyDescent="0.3">
      <c r="O94" s="63" t="s">
        <v>272</v>
      </c>
      <c r="P94" s="63" t="s">
        <v>38</v>
      </c>
    </row>
    <row r="95" spans="15:16" x14ac:dyDescent="0.3">
      <c r="O95" s="63" t="s">
        <v>290</v>
      </c>
      <c r="P95" s="63" t="s">
        <v>38</v>
      </c>
    </row>
    <row r="96" spans="15:16" x14ac:dyDescent="0.3">
      <c r="O96" s="63" t="s">
        <v>273</v>
      </c>
      <c r="P96" s="63" t="s">
        <v>38</v>
      </c>
    </row>
    <row r="97" spans="15:16" x14ac:dyDescent="0.3">
      <c r="O97" s="63" t="s">
        <v>274</v>
      </c>
      <c r="P97" s="63" t="s">
        <v>38</v>
      </c>
    </row>
    <row r="98" spans="15:16" x14ac:dyDescent="0.3">
      <c r="O98" s="63" t="s">
        <v>275</v>
      </c>
      <c r="P98" s="63" t="s">
        <v>38</v>
      </c>
    </row>
    <row r="99" spans="15:16" x14ac:dyDescent="0.3">
      <c r="O99" s="63" t="s">
        <v>295</v>
      </c>
      <c r="P99" s="63" t="s">
        <v>38</v>
      </c>
    </row>
    <row r="100" spans="15:16" x14ac:dyDescent="0.3">
      <c r="O100" s="63" t="s">
        <v>223</v>
      </c>
      <c r="P100" s="63" t="s">
        <v>38</v>
      </c>
    </row>
    <row r="101" spans="15:16" x14ac:dyDescent="0.3">
      <c r="O101" s="63" t="s">
        <v>276</v>
      </c>
      <c r="P101" s="63" t="s">
        <v>38</v>
      </c>
    </row>
    <row r="102" spans="15:16" x14ac:dyDescent="0.3">
      <c r="O102" s="63" t="s">
        <v>291</v>
      </c>
      <c r="P102" s="63" t="s">
        <v>38</v>
      </c>
    </row>
    <row r="103" spans="15:16" x14ac:dyDescent="0.3">
      <c r="O103" s="63" t="s">
        <v>251</v>
      </c>
      <c r="P103" s="63" t="s">
        <v>38</v>
      </c>
    </row>
    <row r="104" spans="15:16" x14ac:dyDescent="0.3">
      <c r="O104" s="63" t="s">
        <v>264</v>
      </c>
      <c r="P104" s="63" t="s">
        <v>38</v>
      </c>
    </row>
    <row r="105" spans="15:16" x14ac:dyDescent="0.3">
      <c r="O105" s="63" t="s">
        <v>277</v>
      </c>
      <c r="P105" s="63" t="s">
        <v>38</v>
      </c>
    </row>
    <row r="106" spans="15:16" x14ac:dyDescent="0.3">
      <c r="O106" s="63" t="s">
        <v>227</v>
      </c>
      <c r="P106" s="63" t="s">
        <v>128</v>
      </c>
    </row>
    <row r="107" spans="15:16" x14ac:dyDescent="0.3">
      <c r="O107" s="63" t="s">
        <v>280</v>
      </c>
      <c r="P107" s="63" t="s">
        <v>150</v>
      </c>
    </row>
    <row r="108" spans="15:16" x14ac:dyDescent="0.3">
      <c r="O108" s="63" t="s">
        <v>304</v>
      </c>
      <c r="P108" s="63" t="s">
        <v>128</v>
      </c>
    </row>
    <row r="109" spans="15:16" x14ac:dyDescent="0.3">
      <c r="O109" s="63" t="s">
        <v>228</v>
      </c>
      <c r="P109" s="63" t="s">
        <v>128</v>
      </c>
    </row>
    <row r="110" spans="15:16" x14ac:dyDescent="0.3">
      <c r="O110" s="63" t="s">
        <v>229</v>
      </c>
      <c r="P110" s="63" t="s">
        <v>128</v>
      </c>
    </row>
    <row r="111" spans="15:16" x14ac:dyDescent="0.3">
      <c r="O111" s="63" t="s">
        <v>294</v>
      </c>
      <c r="P111" s="63" t="s">
        <v>128</v>
      </c>
    </row>
    <row r="112" spans="15:16" x14ac:dyDescent="0.3">
      <c r="O112" s="63" t="s">
        <v>285</v>
      </c>
      <c r="P112" s="63" t="s">
        <v>150</v>
      </c>
    </row>
    <row r="113" spans="15:16" x14ac:dyDescent="0.3">
      <c r="O113" s="63" t="s">
        <v>230</v>
      </c>
      <c r="P113" s="63" t="s">
        <v>150</v>
      </c>
    </row>
    <row r="114" spans="15:16" x14ac:dyDescent="0.3">
      <c r="O114" s="63" t="s">
        <v>231</v>
      </c>
      <c r="P114" s="63" t="s">
        <v>150</v>
      </c>
    </row>
    <row r="115" spans="15:16" x14ac:dyDescent="0.3">
      <c r="O115" s="63" t="s">
        <v>281</v>
      </c>
      <c r="P115" s="63" t="s">
        <v>150</v>
      </c>
    </row>
    <row r="116" spans="15:16" x14ac:dyDescent="0.3">
      <c r="O116" s="63" t="s">
        <v>287</v>
      </c>
    </row>
    <row r="117" spans="15:16" x14ac:dyDescent="0.3">
      <c r="O117" s="63" t="s">
        <v>300</v>
      </c>
      <c r="P117" s="63" t="s">
        <v>38</v>
      </c>
    </row>
    <row r="118" spans="15:16" x14ac:dyDescent="0.3">
      <c r="O118" s="63" t="s">
        <v>301</v>
      </c>
      <c r="P118" s="63" t="s">
        <v>150</v>
      </c>
    </row>
    <row r="119" spans="15:16" x14ac:dyDescent="0.3">
      <c r="O119" s="63" t="s">
        <v>302</v>
      </c>
      <c r="P119" s="63" t="s">
        <v>150</v>
      </c>
    </row>
    <row r="120" spans="15:16" x14ac:dyDescent="0.3">
      <c r="O120" s="63" t="s">
        <v>322</v>
      </c>
      <c r="P120" s="63" t="s">
        <v>38</v>
      </c>
    </row>
    <row r="121" spans="15:16" x14ac:dyDescent="0.3">
      <c r="O121" s="63" t="s">
        <v>327</v>
      </c>
      <c r="P121" s="63" t="s">
        <v>111</v>
      </c>
    </row>
    <row r="122" spans="15:16" x14ac:dyDescent="0.3">
      <c r="O122" s="63" t="s">
        <v>329</v>
      </c>
      <c r="P122" s="63" t="s">
        <v>109</v>
      </c>
    </row>
  </sheetData>
  <mergeCells count="1">
    <mergeCell ref="A29:C29"/>
  </mergeCells>
  <dataValidations count="1">
    <dataValidation type="list" allowBlank="1" showInputMessage="1" showErrorMessage="1" sqref="P1:P1048576" xr:uid="{36C518E1-E374-4D0C-9CAA-E2513EA46D10}">
      <formula1>$B$6:$B$28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R43"/>
  <sheetViews>
    <sheetView zoomScale="90" zoomScaleNormal="9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G26" sqref="G26"/>
    </sheetView>
  </sheetViews>
  <sheetFormatPr defaultRowHeight="12" x14ac:dyDescent="0.3"/>
  <cols>
    <col min="1" max="1" width="26" style="68" customWidth="1"/>
    <col min="2" max="3" width="17.77734375" style="68" customWidth="1"/>
    <col min="4" max="4" width="15.77734375" style="73" customWidth="1"/>
    <col min="5" max="5" width="17" style="73" bestFit="1" customWidth="1"/>
    <col min="6" max="10" width="15.77734375" style="73" customWidth="1"/>
    <col min="11" max="11" width="17" style="73" bestFit="1" customWidth="1"/>
    <col min="12" max="12" width="15.77734375" style="73" customWidth="1"/>
    <col min="13" max="15" width="17" style="73" bestFit="1" customWidth="1"/>
    <col min="16" max="16" width="17.77734375" style="73" customWidth="1"/>
    <col min="17" max="16384" width="8.88671875" style="73"/>
  </cols>
  <sheetData>
    <row r="1" spans="1:18" x14ac:dyDescent="0.3">
      <c r="D1" s="73">
        <v>1</v>
      </c>
      <c r="E1" s="73">
        <v>2</v>
      </c>
      <c r="F1" s="73">
        <v>3</v>
      </c>
      <c r="G1" s="73">
        <v>4</v>
      </c>
      <c r="H1" s="73">
        <v>5</v>
      </c>
      <c r="I1" s="73">
        <v>6</v>
      </c>
      <c r="J1" s="73">
        <v>7</v>
      </c>
      <c r="K1" s="73">
        <v>8</v>
      </c>
      <c r="L1" s="73">
        <v>9</v>
      </c>
      <c r="M1" s="73">
        <v>10</v>
      </c>
      <c r="N1" s="73">
        <v>11</v>
      </c>
      <c r="O1" s="73">
        <v>12</v>
      </c>
    </row>
    <row r="2" spans="1:18" s="68" customFormat="1" x14ac:dyDescent="0.3">
      <c r="B2" s="69">
        <v>2022</v>
      </c>
      <c r="C2" s="69" t="s">
        <v>352</v>
      </c>
      <c r="D2" s="69" t="s">
        <v>151</v>
      </c>
      <c r="E2" s="69" t="s">
        <v>152</v>
      </c>
      <c r="F2" s="69" t="s">
        <v>153</v>
      </c>
      <c r="G2" s="69" t="s">
        <v>154</v>
      </c>
      <c r="H2" s="69" t="s">
        <v>155</v>
      </c>
      <c r="I2" s="69" t="s">
        <v>156</v>
      </c>
      <c r="J2" s="69" t="s">
        <v>157</v>
      </c>
      <c r="K2" s="69" t="s">
        <v>158</v>
      </c>
      <c r="L2" s="69" t="s">
        <v>159</v>
      </c>
      <c r="M2" s="69" t="s">
        <v>160</v>
      </c>
      <c r="N2" s="69" t="s">
        <v>161</v>
      </c>
      <c r="O2" s="69" t="s">
        <v>162</v>
      </c>
      <c r="P2" s="70" t="s">
        <v>353</v>
      </c>
    </row>
    <row r="3" spans="1:18" x14ac:dyDescent="0.3">
      <c r="A3" s="71" t="s">
        <v>309</v>
      </c>
      <c r="B3" s="90">
        <v>25551.1</v>
      </c>
      <c r="C3" s="90">
        <v>234846.15</v>
      </c>
      <c r="D3" s="72">
        <v>20512</v>
      </c>
      <c r="E3" s="72">
        <f>SUMMARY!$E10</f>
        <v>12471</v>
      </c>
      <c r="F3" s="72"/>
      <c r="G3" s="72"/>
      <c r="H3" s="72"/>
      <c r="I3" s="72"/>
      <c r="J3" s="72"/>
      <c r="K3" s="72"/>
      <c r="L3" s="72"/>
      <c r="M3" s="72"/>
      <c r="N3" s="72"/>
      <c r="O3" s="72"/>
      <c r="P3" s="90">
        <f>SUM(D3:O3)</f>
        <v>32983</v>
      </c>
    </row>
    <row r="4" spans="1:18" x14ac:dyDescent="0.3">
      <c r="A4" s="74" t="s">
        <v>75</v>
      </c>
      <c r="B4" s="91">
        <v>125448.88</v>
      </c>
      <c r="C4" s="91">
        <v>897600.33</v>
      </c>
      <c r="D4" s="75">
        <v>78826.199999999983</v>
      </c>
      <c r="E4" s="75">
        <f>SUMMARY!$E11</f>
        <v>92991.959999999992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91">
        <f>SUM(D4:O4)</f>
        <v>171818.15999999997</v>
      </c>
    </row>
    <row r="5" spans="1:18" x14ac:dyDescent="0.3">
      <c r="A5" s="100" t="s">
        <v>180</v>
      </c>
      <c r="B5" s="102">
        <v>12871.52</v>
      </c>
      <c r="C5" s="102">
        <v>49755.05999999999</v>
      </c>
      <c r="D5" s="101">
        <v>4197</v>
      </c>
      <c r="E5" s="101">
        <f>SUMMARY!$E12</f>
        <v>20655.699999999997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2">
        <f>SUM(D5:O5)</f>
        <v>24852.699999999997</v>
      </c>
    </row>
    <row r="6" spans="1:18" x14ac:dyDescent="0.3">
      <c r="A6" s="76" t="s">
        <v>77</v>
      </c>
      <c r="B6" s="92">
        <v>0.2036773863584912</v>
      </c>
      <c r="C6" s="92">
        <v>0.2616377714567017</v>
      </c>
      <c r="D6" s="77">
        <v>0.26021804932877651</v>
      </c>
      <c r="E6" s="77">
        <f>SUMMARY!$E13</f>
        <v>0.13410836807827259</v>
      </c>
      <c r="F6" s="77"/>
      <c r="G6" s="77"/>
      <c r="H6" s="77"/>
      <c r="I6" s="77"/>
      <c r="J6" s="77"/>
      <c r="K6" s="77"/>
      <c r="L6" s="77"/>
      <c r="M6" s="77"/>
      <c r="N6" s="77"/>
      <c r="O6" s="77"/>
      <c r="P6" s="92">
        <f>P3/P4</f>
        <v>0.19196457464100422</v>
      </c>
    </row>
    <row r="7" spans="1:18" x14ac:dyDescent="0.3">
      <c r="A7" s="68" t="s">
        <v>318</v>
      </c>
      <c r="B7" s="93"/>
      <c r="C7" s="93">
        <v>0.48055605799732221</v>
      </c>
      <c r="D7" s="142">
        <v>1.1016869043629207</v>
      </c>
      <c r="E7" s="142">
        <f>SUMMARY!$F10</f>
        <v>0.33692296370309549</v>
      </c>
      <c r="F7" s="142"/>
      <c r="G7" s="142"/>
      <c r="H7" s="165"/>
      <c r="I7" s="165"/>
      <c r="J7" s="165"/>
      <c r="K7" s="165"/>
      <c r="L7" s="78"/>
      <c r="M7" s="78"/>
      <c r="N7" s="78"/>
      <c r="O7" s="78"/>
      <c r="P7" s="97">
        <f>AVERAGE(D7:O7)</f>
        <v>0.7193049340330081</v>
      </c>
    </row>
    <row r="8" spans="1:18" x14ac:dyDescent="0.3">
      <c r="A8" s="68" t="s">
        <v>317</v>
      </c>
      <c r="B8" s="93"/>
      <c r="C8" s="93">
        <v>0.92485313234829303</v>
      </c>
      <c r="D8" s="142">
        <v>1.260908391125221</v>
      </c>
      <c r="E8" s="142">
        <f>SUMMARY!$F11</f>
        <v>1.1134909787793952</v>
      </c>
      <c r="F8" s="142"/>
      <c r="G8" s="142"/>
      <c r="H8" s="165"/>
      <c r="I8" s="165"/>
      <c r="J8" s="165"/>
      <c r="K8" s="165"/>
      <c r="L8" s="78"/>
      <c r="M8" s="78"/>
      <c r="N8" s="78"/>
      <c r="O8" s="78"/>
      <c r="P8" s="97">
        <f>AVERAGE(D8:O8)</f>
        <v>1.1871996849523081</v>
      </c>
    </row>
    <row r="9" spans="1:18" x14ac:dyDescent="0.3">
      <c r="A9" s="68" t="s">
        <v>319</v>
      </c>
      <c r="B9" s="93"/>
      <c r="C9" s="93">
        <v>0.70853266334069032</v>
      </c>
      <c r="D9" s="142">
        <v>1.8784857390841045</v>
      </c>
      <c r="E9" s="142">
        <f>SUMMARY!$F12</f>
        <v>4.6503753116310023</v>
      </c>
      <c r="F9" s="142"/>
      <c r="G9" s="142"/>
      <c r="H9" s="165"/>
      <c r="I9" s="165"/>
      <c r="J9" s="165"/>
      <c r="K9" s="165"/>
      <c r="L9" s="78"/>
      <c r="M9" s="78"/>
      <c r="N9" s="78"/>
      <c r="O9" s="78"/>
      <c r="P9" s="97">
        <f>AVERAGE(D9:O9)</f>
        <v>3.2644305253575534</v>
      </c>
    </row>
    <row r="10" spans="1:18" x14ac:dyDescent="0.3">
      <c r="A10" s="68" t="s">
        <v>324</v>
      </c>
      <c r="B10" s="93">
        <v>249.91699783903579</v>
      </c>
      <c r="C10" s="93">
        <v>137.3074211513935</v>
      </c>
      <c r="D10" s="78">
        <v>63.199999999999996</v>
      </c>
      <c r="E10" s="78">
        <f>SUMMARY!E18</f>
        <v>58.396141975308637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93">
        <f>AVERAGE(D10:O10)</f>
        <v>60.798070987654313</v>
      </c>
    </row>
    <row r="11" spans="1:18" x14ac:dyDescent="0.3">
      <c r="A11" s="93" t="str">
        <f>SUMMARY!C22</f>
        <v>COST OB REMOVAL</v>
      </c>
      <c r="B11" s="94">
        <v>980772683.17614365</v>
      </c>
      <c r="C11" s="94">
        <v>10524898835.250507</v>
      </c>
      <c r="D11" s="79">
        <v>769281224.44529259</v>
      </c>
      <c r="E11" s="79">
        <f>SUMMARY!$D22</f>
        <v>577196222.26462412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94">
        <f t="shared" ref="P11:P30" si="0">SUM(D11:O11)</f>
        <v>1346477446.7099166</v>
      </c>
      <c r="R11" s="106"/>
    </row>
    <row r="12" spans="1:18" x14ac:dyDescent="0.3">
      <c r="A12" s="93" t="str">
        <f>SUMMARY!C23</f>
        <v>COST QUARRY HAULING</v>
      </c>
      <c r="B12" s="94">
        <v>747900000</v>
      </c>
      <c r="C12" s="94">
        <v>2903850000</v>
      </c>
      <c r="D12" s="79">
        <v>304000000</v>
      </c>
      <c r="E12" s="79">
        <f>SUMMARY!$D23</f>
        <v>1179000000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94">
        <f t="shared" si="0"/>
        <v>1483000000</v>
      </c>
      <c r="R12" s="106"/>
    </row>
    <row r="13" spans="1:18" x14ac:dyDescent="0.3">
      <c r="A13" s="93" t="str">
        <f>SUMMARY!C24</f>
        <v>COST DEVELOP ACT.</v>
      </c>
      <c r="B13" s="94">
        <v>0</v>
      </c>
      <c r="C13" s="94">
        <v>0</v>
      </c>
      <c r="D13" s="79">
        <v>0</v>
      </c>
      <c r="E13" s="79">
        <f>SUMMARY!$D24</f>
        <v>0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94">
        <f t="shared" si="0"/>
        <v>0</v>
      </c>
      <c r="R13" s="106"/>
    </row>
    <row r="14" spans="1:18" x14ac:dyDescent="0.3">
      <c r="A14" s="93" t="str">
        <f>SUMMARY!C25</f>
        <v>COST ORE GETTING</v>
      </c>
      <c r="B14" s="94">
        <v>1089025000</v>
      </c>
      <c r="C14" s="94">
        <v>7233067500</v>
      </c>
      <c r="D14" s="79">
        <v>493455000</v>
      </c>
      <c r="E14" s="79">
        <f>SUMMARY!$D25</f>
        <v>647325000</v>
      </c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4">
        <f t="shared" si="0"/>
        <v>1140780000</v>
      </c>
      <c r="R14" s="106"/>
    </row>
    <row r="15" spans="1:18" x14ac:dyDescent="0.3">
      <c r="A15" s="93" t="str">
        <f>SUMMARY!C26</f>
        <v>COST ORE HAULING</v>
      </c>
      <c r="B15" s="94">
        <v>4733400000</v>
      </c>
      <c r="C15" s="94">
        <v>32604600000</v>
      </c>
      <c r="D15" s="79">
        <v>2436000000</v>
      </c>
      <c r="E15" s="79">
        <f>SUMMARY!$D26</f>
        <v>2436000000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94">
        <f t="shared" si="0"/>
        <v>4872000000</v>
      </c>
      <c r="R15" s="106"/>
    </row>
    <row r="16" spans="1:18" x14ac:dyDescent="0.3">
      <c r="A16" s="93" t="str">
        <f>SUMMARY!C27</f>
        <v>COST UNIT SUPPORT</v>
      </c>
      <c r="B16" s="94">
        <v>80210000</v>
      </c>
      <c r="C16" s="94">
        <v>494520000</v>
      </c>
      <c r="D16" s="79">
        <v>210000</v>
      </c>
      <c r="E16" s="79">
        <f>SUMMARY!$D27</f>
        <v>210000</v>
      </c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94">
        <f t="shared" si="0"/>
        <v>420000</v>
      </c>
      <c r="R16" s="106"/>
    </row>
    <row r="17" spans="1:16" x14ac:dyDescent="0.3">
      <c r="A17" s="68" t="s">
        <v>46</v>
      </c>
      <c r="B17" s="94">
        <v>7631307683.1761436</v>
      </c>
      <c r="C17" s="94">
        <v>53760936335.250511</v>
      </c>
      <c r="D17" s="79">
        <v>4002946224.4452925</v>
      </c>
      <c r="E17" s="79">
        <f>SUMMARY!$D30</f>
        <v>4839731222.2646236</v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94">
        <f t="shared" si="0"/>
        <v>8842677446.7099152</v>
      </c>
    </row>
    <row r="18" spans="1:16" x14ac:dyDescent="0.3">
      <c r="A18" s="68" t="s">
        <v>49</v>
      </c>
      <c r="B18" s="94">
        <v>19557982187.519997</v>
      </c>
      <c r="C18" s="94">
        <v>104910966005.76001</v>
      </c>
      <c r="D18" s="79">
        <v>9363291340.7999973</v>
      </c>
      <c r="E18" s="79">
        <f>SUMMARY!$D31</f>
        <v>11045956976.639999</v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94">
        <f t="shared" si="0"/>
        <v>20409248317.439995</v>
      </c>
    </row>
    <row r="19" spans="1:16" x14ac:dyDescent="0.3">
      <c r="A19" s="70" t="s">
        <v>163</v>
      </c>
      <c r="B19" s="95">
        <v>11926674504.343855</v>
      </c>
      <c r="C19" s="95">
        <v>51150029670.509506</v>
      </c>
      <c r="D19" s="80">
        <v>5360345116.3547049</v>
      </c>
      <c r="E19" s="80">
        <f>E18-E17</f>
        <v>6206225754.3753757</v>
      </c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95">
        <f t="shared" si="0"/>
        <v>11566570870.73008</v>
      </c>
    </row>
    <row r="20" spans="1:16" x14ac:dyDescent="0.3">
      <c r="A20" s="85" t="s">
        <v>286</v>
      </c>
      <c r="B20" s="87">
        <v>0.39018890650415372</v>
      </c>
      <c r="C20" s="87">
        <v>0.51244344020527688</v>
      </c>
      <c r="D20" s="86">
        <v>0.42751486403105787</v>
      </c>
      <c r="E20" s="86">
        <f t="shared" ref="D20:E20" si="1">E17/E18</f>
        <v>0.43814503645991848</v>
      </c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>
        <f t="shared" ref="P20" si="2">P17/P18</f>
        <v>0.43326815908029892</v>
      </c>
    </row>
    <row r="21" spans="1:16" x14ac:dyDescent="0.3">
      <c r="A21" s="85" t="s">
        <v>164</v>
      </c>
      <c r="B21" s="87">
        <v>0.60981109349584639</v>
      </c>
      <c r="C21" s="87">
        <v>0.48755655979472323</v>
      </c>
      <c r="D21" s="86">
        <v>0.57248513596894213</v>
      </c>
      <c r="E21" s="86">
        <f t="shared" ref="D21:E21" si="3">IFERROR(E19/E18,"")</f>
        <v>0.56185496354008146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7">
        <f t="shared" ref="P21" si="4">P19/P18</f>
        <v>0.56673184091970108</v>
      </c>
    </row>
    <row r="22" spans="1:16" x14ac:dyDescent="0.3">
      <c r="A22" s="88" t="s">
        <v>270</v>
      </c>
      <c r="B22" s="96">
        <v>1.8718349497565931</v>
      </c>
      <c r="C22" s="96">
        <v>1.9220070263942246</v>
      </c>
      <c r="D22" s="89">
        <v>1.7809662874518235</v>
      </c>
      <c r="E22" s="89">
        <f>SUMMARY!$E14</f>
        <v>1.6283106985863671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6">
        <f>IFERROR(P27/P4,0)</f>
        <v>1.6983455539184591</v>
      </c>
    </row>
    <row r="23" spans="1:16" x14ac:dyDescent="0.3">
      <c r="A23" s="88" t="s">
        <v>320</v>
      </c>
      <c r="B23" s="96"/>
      <c r="C23" s="96">
        <v>1.0266449575157954</v>
      </c>
      <c r="D23" s="140">
        <v>1.0344584547404849</v>
      </c>
      <c r="E23" s="140">
        <f>SUMMARY!$F14</f>
        <v>0.9985707805339975</v>
      </c>
      <c r="F23" s="140"/>
      <c r="G23" s="140"/>
      <c r="H23" s="140"/>
      <c r="I23" s="169"/>
      <c r="J23" s="169"/>
      <c r="K23" s="169"/>
      <c r="L23" s="169"/>
      <c r="M23" s="169"/>
      <c r="N23" s="169"/>
      <c r="O23" s="169"/>
      <c r="P23" s="141">
        <f>AVERAGE(D23:O23)</f>
        <v>1.0165146176372413</v>
      </c>
    </row>
    <row r="24" spans="1:16" x14ac:dyDescent="0.3">
      <c r="A24" s="68" t="s">
        <v>73</v>
      </c>
      <c r="B24" s="68">
        <v>61</v>
      </c>
      <c r="C24" s="68">
        <v>365</v>
      </c>
      <c r="D24" s="73">
        <v>29</v>
      </c>
      <c r="E24" s="73">
        <f>SUMMARY!$J9</f>
        <v>29</v>
      </c>
      <c r="P24" s="68">
        <f t="shared" si="0"/>
        <v>58</v>
      </c>
    </row>
    <row r="25" spans="1:16" x14ac:dyDescent="0.3">
      <c r="A25" s="68" t="s">
        <v>74</v>
      </c>
      <c r="B25" s="68">
        <v>549</v>
      </c>
      <c r="C25" s="68">
        <v>3276</v>
      </c>
      <c r="D25" s="73">
        <v>261</v>
      </c>
      <c r="E25" s="73">
        <f>SUMMARY!$J10</f>
        <v>261</v>
      </c>
      <c r="P25" s="68">
        <f t="shared" si="0"/>
        <v>522</v>
      </c>
    </row>
    <row r="26" spans="1:16" x14ac:dyDescent="0.3">
      <c r="A26" s="68" t="s">
        <v>76</v>
      </c>
      <c r="B26" s="97">
        <v>0.85</v>
      </c>
      <c r="C26" s="97">
        <v>0.88750000000000018</v>
      </c>
      <c r="D26" s="81">
        <v>0.9</v>
      </c>
      <c r="E26" s="81">
        <f>SUMMARY!$J11</f>
        <v>0.9</v>
      </c>
      <c r="F26" s="81"/>
      <c r="G26" s="81"/>
      <c r="H26" s="166"/>
      <c r="I26" s="81"/>
      <c r="J26" s="81"/>
      <c r="K26" s="81"/>
      <c r="L26" s="81"/>
      <c r="M26" s="81"/>
      <c r="N26" s="81"/>
      <c r="O26" s="81"/>
      <c r="P26" s="97">
        <f>AVERAGE(D26:O26)</f>
        <v>0.9</v>
      </c>
    </row>
    <row r="27" spans="1:16" x14ac:dyDescent="0.3">
      <c r="A27" s="68" t="s">
        <v>139</v>
      </c>
      <c r="B27" s="98">
        <v>234819.59799182089</v>
      </c>
      <c r="C27" s="98">
        <v>1725194.1411537747</v>
      </c>
      <c r="D27" s="82">
        <v>140386.8047679349</v>
      </c>
      <c r="E27" s="82">
        <f>SUMMARY!$J18</f>
        <v>151419.80335051549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98">
        <f t="shared" si="0"/>
        <v>291806.60811845039</v>
      </c>
    </row>
    <row r="28" spans="1:16" x14ac:dyDescent="0.3">
      <c r="A28" s="68" t="s">
        <v>321</v>
      </c>
      <c r="B28" s="98"/>
      <c r="C28" s="98">
        <v>1.1231839812850251</v>
      </c>
      <c r="D28" s="106">
        <v>0.82040730478234458</v>
      </c>
      <c r="E28" s="106">
        <f>SUMMARY!$J19</f>
        <v>0.89679287894063342</v>
      </c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37">
        <f>AVERAGE(D28:O28)</f>
        <v>0.858600091861489</v>
      </c>
    </row>
    <row r="29" spans="1:16" s="104" customFormat="1" x14ac:dyDescent="0.3">
      <c r="A29" s="103" t="s">
        <v>93</v>
      </c>
      <c r="B29" s="103">
        <v>121718.57625684212</v>
      </c>
      <c r="C29" s="103">
        <v>747837.84439954197</v>
      </c>
      <c r="D29" s="84">
        <v>50781.925609065176</v>
      </c>
      <c r="E29" s="84">
        <f>SUMMARY!$J30</f>
        <v>52044.62001085496</v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103">
        <f t="shared" si="0"/>
        <v>102826.54561992013</v>
      </c>
    </row>
    <row r="30" spans="1:16" x14ac:dyDescent="0.3">
      <c r="A30" s="83" t="str">
        <f>[1]SUMMARY!G21</f>
        <v>( USD / Ton )</v>
      </c>
      <c r="B30" s="99">
        <v>8.197641181091198</v>
      </c>
      <c r="C30" s="99">
        <v>50.366234132512247</v>
      </c>
      <c r="D30" s="84">
        <v>3.420118912248463</v>
      </c>
      <c r="E30" s="84">
        <f>SUMMARY!$J31</f>
        <v>3.5051602916793483</v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99">
        <f t="shared" si="0"/>
        <v>6.9252792039278113</v>
      </c>
    </row>
    <row r="31" spans="1:16" x14ac:dyDescent="0.3">
      <c r="J31" s="78"/>
      <c r="K31" s="81"/>
    </row>
    <row r="41" spans="1:3" x14ac:dyDescent="0.3">
      <c r="A41" s="137"/>
      <c r="B41" s="137"/>
      <c r="C41" s="137"/>
    </row>
    <row r="43" spans="1:3" x14ac:dyDescent="0.3">
      <c r="A43" s="138"/>
      <c r="B43" s="138"/>
      <c r="C43" s="138"/>
    </row>
  </sheetData>
  <pageMargins left="0.45" right="0.45" top="0.5" bottom="0.5" header="0.3" footer="0.3"/>
  <pageSetup paperSize="8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P23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I25" sqref="I25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3" t="s">
        <v>165</v>
      </c>
      <c r="C2" s="193"/>
      <c r="D2" s="193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3"/>
      <c r="C3" s="193"/>
      <c r="D3" s="193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192" t="s">
        <v>1</v>
      </c>
      <c r="C5" s="192" t="s">
        <v>351</v>
      </c>
      <c r="D5" s="192" t="s">
        <v>86</v>
      </c>
      <c r="E5" s="195" t="s">
        <v>36</v>
      </c>
      <c r="F5" s="195"/>
      <c r="G5" s="195"/>
      <c r="H5" s="196" t="s">
        <v>37</v>
      </c>
      <c r="I5" s="196"/>
      <c r="J5" s="192" t="s">
        <v>54</v>
      </c>
      <c r="K5" s="194" t="s">
        <v>80</v>
      </c>
      <c r="L5" s="31"/>
      <c r="M5" s="192" t="s">
        <v>47</v>
      </c>
      <c r="N5" s="192" t="s">
        <v>87</v>
      </c>
      <c r="O5" s="192"/>
    </row>
    <row r="6" spans="2:16" ht="15" customHeight="1" x14ac:dyDescent="0.3">
      <c r="B6" s="192"/>
      <c r="C6" s="192"/>
      <c r="D6" s="192"/>
      <c r="E6" s="38" t="s">
        <v>26</v>
      </c>
      <c r="F6" s="39" t="s">
        <v>31</v>
      </c>
      <c r="G6" s="192" t="s">
        <v>28</v>
      </c>
      <c r="H6" s="38" t="s">
        <v>27</v>
      </c>
      <c r="I6" s="192" t="s">
        <v>28</v>
      </c>
      <c r="J6" s="192"/>
      <c r="K6" s="194"/>
      <c r="L6" s="31"/>
      <c r="M6" s="192"/>
      <c r="N6" s="192"/>
      <c r="O6" s="192"/>
    </row>
    <row r="7" spans="2:16" ht="15" customHeight="1" x14ac:dyDescent="0.3">
      <c r="B7" s="192"/>
      <c r="C7" s="192"/>
      <c r="D7" s="192"/>
      <c r="E7" s="38" t="s">
        <v>29</v>
      </c>
      <c r="F7" s="39" t="s">
        <v>30</v>
      </c>
      <c r="G7" s="192"/>
      <c r="H7" s="38" t="s">
        <v>32</v>
      </c>
      <c r="I7" s="192"/>
      <c r="J7" s="38" t="s">
        <v>33</v>
      </c>
      <c r="K7" s="194"/>
      <c r="L7" s="31"/>
      <c r="M7" s="192"/>
      <c r="N7" s="192"/>
      <c r="O7" s="192"/>
    </row>
    <row r="8" spans="2:16" x14ac:dyDescent="0.3">
      <c r="B8" s="40">
        <f>ROW(B8)-7</f>
        <v>1</v>
      </c>
      <c r="C8" s="40"/>
      <c r="D8" s="40" t="s">
        <v>327</v>
      </c>
      <c r="E8" s="41">
        <v>158</v>
      </c>
      <c r="F8" s="61">
        <f>IF(P8="K",VLOOKUP(N8,Table2[[#All],[UNIT]:[Column7]],10,FALSE),0)</f>
        <v>950000</v>
      </c>
      <c r="G8" s="42">
        <f>E8*F8</f>
        <v>150100000</v>
      </c>
      <c r="H8" s="41">
        <v>4290.3076923076924</v>
      </c>
      <c r="I8" s="43">
        <f>H8*$D$21</f>
        <v>0</v>
      </c>
      <c r="J8" s="41">
        <f t="shared" ref="J8:J18" si="0">IFERROR(H8/E8,0)</f>
        <v>27.153846153846153</v>
      </c>
      <c r="K8" s="44">
        <f>G8+I8</f>
        <v>150100000</v>
      </c>
      <c r="L8" s="35"/>
      <c r="M8" s="40" t="s">
        <v>325</v>
      </c>
      <c r="N8" s="40" t="str">
        <f>VLOOKUP(O8,'list rate unit'!O:P,2,FALSE)</f>
        <v>PC 400 LC SE-8</v>
      </c>
      <c r="O8" s="40" t="str">
        <f>D8</f>
        <v>KOMATSU PC 400 - 07</v>
      </c>
      <c r="P8" s="15" t="s">
        <v>56</v>
      </c>
    </row>
    <row r="9" spans="2:16" x14ac:dyDescent="0.3">
      <c r="B9" s="40">
        <f t="shared" ref="B9:B16" si="1">ROW(B9)-7</f>
        <v>2</v>
      </c>
      <c r="C9" s="40"/>
      <c r="D9" s="40" t="s">
        <v>255</v>
      </c>
      <c r="E9" s="41">
        <v>6</v>
      </c>
      <c r="F9" s="61">
        <f>IF(P9="K",VLOOKUP(N9,Table2[[#All],[UNIT]:[Column7]],10,FALSE),0)</f>
        <v>400000</v>
      </c>
      <c r="G9" s="42">
        <f t="shared" ref="G9" si="2">E9*F9</f>
        <v>2400000</v>
      </c>
      <c r="H9" s="41">
        <v>169.65758754863813</v>
      </c>
      <c r="I9" s="43">
        <f>H9*$D$21</f>
        <v>0</v>
      </c>
      <c r="J9" s="41">
        <f t="shared" ref="J9" si="3">IFERROR(H9/E9,0)</f>
        <v>28.276264591439688</v>
      </c>
      <c r="K9" s="44">
        <f t="shared" ref="K9" si="4">G9+I9</f>
        <v>2400000</v>
      </c>
      <c r="L9" s="35"/>
      <c r="M9" s="40" t="s">
        <v>325</v>
      </c>
      <c r="N9" s="40" t="str">
        <f>VLOOKUP(O9,'list rate unit'!O:P,2,FALSE)</f>
        <v>PC 300 SE-8</v>
      </c>
      <c r="O9" s="40" t="str">
        <f t="shared" ref="O9" si="5">D9</f>
        <v>KOMATSU PC 300 - 12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245</v>
      </c>
      <c r="E10" s="41">
        <v>55</v>
      </c>
      <c r="F10" s="61">
        <f>IF(P10="K",VLOOKUP(N10,Table2[[#All],[UNIT]:[Column7]],10,FALSE),0)</f>
        <v>1424304.3667884208</v>
      </c>
      <c r="G10" s="42">
        <f t="shared" ref="G10:G16" si="6">E10*F10</f>
        <v>78336740.173363149</v>
      </c>
      <c r="H10" s="41">
        <v>832.58620689655174</v>
      </c>
      <c r="I10" s="43">
        <f>H10*$D$21</f>
        <v>0</v>
      </c>
      <c r="J10" s="41">
        <f t="shared" ref="J10:J16" si="7">IFERROR(H10/E10,0)</f>
        <v>15.13793103448276</v>
      </c>
      <c r="K10" s="44">
        <f t="shared" ref="K10:K16" si="8">G10+I10</f>
        <v>78336740.173363149</v>
      </c>
      <c r="L10" s="35"/>
      <c r="M10" s="40" t="s">
        <v>325</v>
      </c>
      <c r="N10" s="40" t="str">
        <f>VLOOKUP(O10,'list rate unit'!O:P,2,FALSE)</f>
        <v>HM 400-3R</v>
      </c>
      <c r="O10" s="40" t="str">
        <f t="shared" ref="O10:O16" si="9">D10</f>
        <v>KOMATSU HM 400 - 06</v>
      </c>
      <c r="P10" s="15" t="s">
        <v>56</v>
      </c>
    </row>
    <row r="11" spans="2:16" x14ac:dyDescent="0.3">
      <c r="B11" s="40">
        <f t="shared" si="1"/>
        <v>4</v>
      </c>
      <c r="C11" s="40"/>
      <c r="D11" s="40" t="s">
        <v>246</v>
      </c>
      <c r="E11" s="41">
        <v>4</v>
      </c>
      <c r="F11" s="61">
        <f>IF(P11="K",VLOOKUP(N11,Table2[[#All],[UNIT]:[Column7]],10,FALSE),0)</f>
        <v>1424304.3667884208</v>
      </c>
      <c r="G11" s="42">
        <f t="shared" si="6"/>
        <v>5697217.4671536833</v>
      </c>
      <c r="H11" s="41">
        <v>50.882681564245807</v>
      </c>
      <c r="I11" s="43">
        <f>H11*$D$21</f>
        <v>0</v>
      </c>
      <c r="J11" s="41">
        <f t="shared" si="7"/>
        <v>12.720670391061452</v>
      </c>
      <c r="K11" s="44">
        <f t="shared" si="8"/>
        <v>5697217.4671536833</v>
      </c>
      <c r="L11" s="35"/>
      <c r="M11" s="40" t="s">
        <v>325</v>
      </c>
      <c r="N11" s="40" t="str">
        <f>VLOOKUP(O11,'list rate unit'!O:P,2,FALSE)</f>
        <v>HM 400-3R</v>
      </c>
      <c r="O11" s="40" t="str">
        <f t="shared" si="9"/>
        <v>KOMATSU HM 400 - 07</v>
      </c>
      <c r="P11" s="15" t="s">
        <v>56</v>
      </c>
    </row>
    <row r="12" spans="2:16" x14ac:dyDescent="0.3">
      <c r="B12" s="40">
        <f t="shared" si="1"/>
        <v>5</v>
      </c>
      <c r="C12" s="40"/>
      <c r="D12" s="40" t="s">
        <v>247</v>
      </c>
      <c r="E12" s="41">
        <v>112</v>
      </c>
      <c r="F12" s="61">
        <f>IF(P12="K",VLOOKUP(N12,Table2[[#All],[UNIT]:[Column7]],10,FALSE),0)</f>
        <v>1424304.3667884208</v>
      </c>
      <c r="G12" s="42">
        <f t="shared" si="6"/>
        <v>159522089.08030313</v>
      </c>
      <c r="H12" s="41">
        <v>1752.1777777777777</v>
      </c>
      <c r="I12" s="43">
        <f>H12*$D$21</f>
        <v>0</v>
      </c>
      <c r="J12" s="41">
        <f t="shared" si="7"/>
        <v>15.644444444444444</v>
      </c>
      <c r="K12" s="44">
        <f t="shared" si="8"/>
        <v>159522089.08030313</v>
      </c>
      <c r="L12" s="35"/>
      <c r="M12" s="40" t="s">
        <v>325</v>
      </c>
      <c r="N12" s="40" t="str">
        <f>VLOOKUP(O12,'list rate unit'!O:P,2,FALSE)</f>
        <v>HM 400-3R</v>
      </c>
      <c r="O12" s="40" t="str">
        <f t="shared" si="9"/>
        <v>KOMATSU HM 400 - 08</v>
      </c>
      <c r="P12" s="15" t="s">
        <v>56</v>
      </c>
    </row>
    <row r="13" spans="2:16" x14ac:dyDescent="0.3">
      <c r="B13" s="40">
        <f t="shared" si="1"/>
        <v>6</v>
      </c>
      <c r="C13" s="40"/>
      <c r="D13" s="40" t="s">
        <v>200</v>
      </c>
      <c r="E13" s="41">
        <v>38</v>
      </c>
      <c r="F13" s="61">
        <f>IF(P13="K",VLOOKUP(N13,Table2[[#All],[UNIT]:[Column7]],10,FALSE),0)</f>
        <v>1424304.3667884208</v>
      </c>
      <c r="G13" s="42">
        <f t="shared" si="6"/>
        <v>54123565.937959991</v>
      </c>
      <c r="H13" s="41">
        <v>586.22471910112358</v>
      </c>
      <c r="I13" s="43">
        <f>H13*$D$21</f>
        <v>0</v>
      </c>
      <c r="J13" s="41">
        <f t="shared" si="7"/>
        <v>15.42696629213483</v>
      </c>
      <c r="K13" s="44">
        <f t="shared" si="8"/>
        <v>54123565.937959991</v>
      </c>
      <c r="L13" s="35"/>
      <c r="M13" s="40" t="s">
        <v>325</v>
      </c>
      <c r="N13" s="40" t="str">
        <f>VLOOKUP(O13,'list rate unit'!O:P,2,FALSE)</f>
        <v>HM 400-3R</v>
      </c>
      <c r="O13" s="40" t="str">
        <f t="shared" si="9"/>
        <v>KOMATSU HM 400 - 09</v>
      </c>
      <c r="P13" s="15" t="s">
        <v>56</v>
      </c>
    </row>
    <row r="14" spans="2:16" x14ac:dyDescent="0.3">
      <c r="B14" s="40">
        <f t="shared" si="1"/>
        <v>7</v>
      </c>
      <c r="C14" s="40"/>
      <c r="D14" s="40" t="s">
        <v>201</v>
      </c>
      <c r="E14" s="41">
        <v>48</v>
      </c>
      <c r="F14" s="61">
        <f>IF(P14="K",VLOOKUP(N14,Table2[[#All],[UNIT]:[Column7]],10,FALSE),0)</f>
        <v>1424304.3667884208</v>
      </c>
      <c r="G14" s="42">
        <f t="shared" si="6"/>
        <v>68366609.6058442</v>
      </c>
      <c r="H14" s="41">
        <v>673.98963730569949</v>
      </c>
      <c r="I14" s="43">
        <f>H14*$D$21</f>
        <v>0</v>
      </c>
      <c r="J14" s="41">
        <f t="shared" si="7"/>
        <v>14.041450777202073</v>
      </c>
      <c r="K14" s="44">
        <f t="shared" si="8"/>
        <v>68366609.6058442</v>
      </c>
      <c r="L14" s="35"/>
      <c r="M14" s="40" t="s">
        <v>325</v>
      </c>
      <c r="N14" s="40" t="str">
        <f>VLOOKUP(O14,'list rate unit'!O:P,2,FALSE)</f>
        <v>HM 400-3R</v>
      </c>
      <c r="O14" s="40" t="str">
        <f t="shared" si="9"/>
        <v>KOMATSU HM 400 - 10</v>
      </c>
      <c r="P14" s="15" t="s">
        <v>56</v>
      </c>
    </row>
    <row r="15" spans="2:16" x14ac:dyDescent="0.3">
      <c r="B15" s="40">
        <f t="shared" si="1"/>
        <v>8</v>
      </c>
      <c r="C15" s="40"/>
      <c r="D15" s="40" t="s">
        <v>249</v>
      </c>
      <c r="E15" s="41">
        <v>73</v>
      </c>
      <c r="F15" s="61">
        <f>IF(P15="K",VLOOKUP(N15,Table2[[#All],[UNIT]:[Column7]],10,FALSE),0)</f>
        <v>425000</v>
      </c>
      <c r="G15" s="42">
        <f t="shared" si="6"/>
        <v>31025000</v>
      </c>
      <c r="H15" s="41">
        <v>1308.5250000000001</v>
      </c>
      <c r="I15" s="43">
        <f>H15*$D$21</f>
        <v>0</v>
      </c>
      <c r="J15" s="41">
        <f t="shared" si="7"/>
        <v>17.925000000000001</v>
      </c>
      <c r="K15" s="44">
        <f t="shared" si="8"/>
        <v>31025000</v>
      </c>
      <c r="L15" s="35"/>
      <c r="M15" s="40" t="s">
        <v>325</v>
      </c>
      <c r="N15" s="40" t="str">
        <f>VLOOKUP(O15,'list rate unit'!O:P,2,FALSE)</f>
        <v>D 65 P-12</v>
      </c>
      <c r="O15" s="40" t="str">
        <f t="shared" si="9"/>
        <v>KOMATSU DOZER D65 - 11</v>
      </c>
      <c r="P15" s="15" t="s">
        <v>56</v>
      </c>
    </row>
    <row r="16" spans="2:16" x14ac:dyDescent="0.3">
      <c r="B16" s="40">
        <f t="shared" si="1"/>
        <v>9</v>
      </c>
      <c r="C16" s="40"/>
      <c r="D16" s="40" t="s">
        <v>214</v>
      </c>
      <c r="E16" s="41">
        <v>65</v>
      </c>
      <c r="F16" s="61">
        <f>IF(P16="K",VLOOKUP(N16,Table2[[#All],[UNIT]:[Column7]],10,FALSE),0)</f>
        <v>425000</v>
      </c>
      <c r="G16" s="42">
        <f t="shared" si="6"/>
        <v>27625000</v>
      </c>
      <c r="H16" s="41">
        <v>1178.376288659794</v>
      </c>
      <c r="I16" s="43">
        <f>H16*$D$21</f>
        <v>0</v>
      </c>
      <c r="J16" s="41">
        <f t="shared" si="7"/>
        <v>18.128865979381445</v>
      </c>
      <c r="K16" s="44">
        <f t="shared" si="8"/>
        <v>27625000</v>
      </c>
      <c r="L16" s="35"/>
      <c r="M16" s="40" t="s">
        <v>325</v>
      </c>
      <c r="N16" s="40" t="str">
        <f>VLOOKUP(O16,'list rate unit'!O:P,2,FALSE)</f>
        <v>D 65 P-12</v>
      </c>
      <c r="O16" s="40" t="str">
        <f t="shared" si="9"/>
        <v>KOMATSU DOZER D65 - 12</v>
      </c>
      <c r="P16" s="15" t="s">
        <v>56</v>
      </c>
    </row>
    <row r="17" spans="2:15" x14ac:dyDescent="0.3">
      <c r="E17" s="18"/>
      <c r="F17" s="170"/>
      <c r="G17" s="171"/>
      <c r="H17" s="18"/>
      <c r="I17" s="172"/>
      <c r="J17" s="35"/>
      <c r="K17" s="173"/>
      <c r="L17" s="35"/>
      <c r="M17" s="174"/>
      <c r="N17" s="174"/>
      <c r="O17" s="174"/>
    </row>
    <row r="18" spans="2:15" s="1" customFormat="1" ht="15.75" customHeight="1" x14ac:dyDescent="0.3">
      <c r="B18" s="191" t="s">
        <v>21</v>
      </c>
      <c r="C18" s="191"/>
      <c r="D18" s="191"/>
      <c r="E18" s="45">
        <f>SUM(E8:E17)</f>
        <v>559</v>
      </c>
      <c r="F18" s="62">
        <f>AVERAGE(F8:F17)</f>
        <v>1035724.6482157893</v>
      </c>
      <c r="G18" s="46">
        <f>SUM(G8:G17)</f>
        <v>577196222.26462412</v>
      </c>
      <c r="H18" s="45">
        <f>SUM(H8:H17)</f>
        <v>10842.727591161523</v>
      </c>
      <c r="I18" s="46">
        <f>SUM(I8:I17)</f>
        <v>0</v>
      </c>
      <c r="J18" s="45">
        <f t="shared" si="0"/>
        <v>19.396650431415964</v>
      </c>
      <c r="K18" s="47">
        <f>SUM(K8:K17)</f>
        <v>577196222.26462412</v>
      </c>
      <c r="L18" s="36"/>
    </row>
    <row r="20" spans="2:15" x14ac:dyDescent="0.3">
      <c r="B20" s="190" t="s">
        <v>34</v>
      </c>
      <c r="C20" s="190"/>
      <c r="D20" s="29">
        <f>SUMMARY!J32</f>
        <v>14848</v>
      </c>
    </row>
    <row r="21" spans="2:15" x14ac:dyDescent="0.3">
      <c r="B21" s="190" t="s">
        <v>35</v>
      </c>
      <c r="C21" s="190"/>
      <c r="D21" s="29">
        <f>SUMMARY!$J$13</f>
        <v>0</v>
      </c>
      <c r="G21" s="30"/>
      <c r="H21" s="18"/>
    </row>
    <row r="23" spans="2:15" x14ac:dyDescent="0.3">
      <c r="G23" s="18"/>
    </row>
  </sheetData>
  <autoFilter ref="B7:P18" xr:uid="{00000000-0009-0000-0000-000003000000}"/>
  <mergeCells count="16">
    <mergeCell ref="B2:D3"/>
    <mergeCell ref="N5:N7"/>
    <mergeCell ref="O5:O7"/>
    <mergeCell ref="J5:J6"/>
    <mergeCell ref="M5:M7"/>
    <mergeCell ref="K5:K7"/>
    <mergeCell ref="E5:G5"/>
    <mergeCell ref="H5:I5"/>
    <mergeCell ref="G6:G7"/>
    <mergeCell ref="I6:I7"/>
    <mergeCell ref="C5:C7"/>
    <mergeCell ref="B21:C21"/>
    <mergeCell ref="B20:C20"/>
    <mergeCell ref="B18:D18"/>
    <mergeCell ref="D5:D7"/>
    <mergeCell ref="B5:B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P27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B8" sqref="B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3" t="s">
        <v>166</v>
      </c>
      <c r="C2" s="193"/>
      <c r="D2" s="193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3"/>
      <c r="C3" s="193"/>
      <c r="D3" s="193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192" t="s">
        <v>1</v>
      </c>
      <c r="C5" s="192" t="s">
        <v>351</v>
      </c>
      <c r="D5" s="192" t="s">
        <v>86</v>
      </c>
      <c r="E5" s="195" t="s">
        <v>36</v>
      </c>
      <c r="F5" s="195"/>
      <c r="G5" s="195"/>
      <c r="H5" s="196" t="s">
        <v>37</v>
      </c>
      <c r="I5" s="196"/>
      <c r="J5" s="192" t="s">
        <v>54</v>
      </c>
      <c r="K5" s="194" t="s">
        <v>80</v>
      </c>
      <c r="L5" s="31"/>
      <c r="M5" s="192" t="s">
        <v>47</v>
      </c>
      <c r="N5" s="192" t="s">
        <v>87</v>
      </c>
      <c r="O5" s="192"/>
    </row>
    <row r="6" spans="2:16" ht="15" customHeight="1" x14ac:dyDescent="0.3">
      <c r="B6" s="192"/>
      <c r="C6" s="192"/>
      <c r="D6" s="192"/>
      <c r="E6" s="38" t="s">
        <v>26</v>
      </c>
      <c r="F6" s="39" t="s">
        <v>31</v>
      </c>
      <c r="G6" s="192" t="s">
        <v>28</v>
      </c>
      <c r="H6" s="38" t="s">
        <v>27</v>
      </c>
      <c r="I6" s="192" t="s">
        <v>28</v>
      </c>
      <c r="J6" s="192"/>
      <c r="K6" s="194"/>
      <c r="L6" s="31"/>
      <c r="M6" s="192"/>
      <c r="N6" s="192"/>
      <c r="O6" s="192"/>
    </row>
    <row r="7" spans="2:16" ht="15" customHeight="1" x14ac:dyDescent="0.3">
      <c r="B7" s="192"/>
      <c r="C7" s="192"/>
      <c r="D7" s="192"/>
      <c r="E7" s="38" t="s">
        <v>29</v>
      </c>
      <c r="F7" s="39" t="s">
        <v>30</v>
      </c>
      <c r="G7" s="192"/>
      <c r="H7" s="38" t="s">
        <v>32</v>
      </c>
      <c r="I7" s="192"/>
      <c r="J7" s="38" t="s">
        <v>33</v>
      </c>
      <c r="K7" s="194"/>
      <c r="L7" s="31"/>
      <c r="M7" s="192"/>
      <c r="N7" s="192"/>
      <c r="O7" s="192"/>
    </row>
    <row r="8" spans="2:16" x14ac:dyDescent="0.3">
      <c r="B8" s="40">
        <f>ROW(B8)-7</f>
        <v>1</v>
      </c>
      <c r="C8" s="40"/>
      <c r="D8" s="40" t="s">
        <v>266</v>
      </c>
      <c r="E8" s="41">
        <v>5</v>
      </c>
      <c r="F8" s="61">
        <f>IF(P8="K",VLOOKUP(N8,Table2[[#All],[UNIT]:[Column7]],10,FALSE),0)</f>
        <v>1000000</v>
      </c>
      <c r="G8" s="42">
        <f>E8*F8</f>
        <v>5000000</v>
      </c>
      <c r="H8" s="41">
        <v>137.04000000000002</v>
      </c>
      <c r="I8" s="43">
        <f>H8*$D$25</f>
        <v>0</v>
      </c>
      <c r="J8" s="41">
        <f t="shared" ref="J8:J9" si="0">IFERROR(H8/E8,0)</f>
        <v>27.408000000000005</v>
      </c>
      <c r="K8" s="44">
        <f>G8+I8</f>
        <v>5000000</v>
      </c>
      <c r="L8" s="35"/>
      <c r="M8" s="40" t="s">
        <v>325</v>
      </c>
      <c r="N8" s="40" t="s">
        <v>148</v>
      </c>
      <c r="O8" s="40" t="str">
        <f>D8</f>
        <v>KOMATSU PC 400 - 03</v>
      </c>
      <c r="P8" s="15" t="s">
        <v>56</v>
      </c>
    </row>
    <row r="9" spans="2:16" x14ac:dyDescent="0.3">
      <c r="B9" s="40">
        <f t="shared" ref="B9:B20" si="1">ROW(B9)-7</f>
        <v>2</v>
      </c>
      <c r="C9" s="40"/>
      <c r="D9" s="40" t="s">
        <v>327</v>
      </c>
      <c r="E9" s="41">
        <v>44</v>
      </c>
      <c r="F9" s="61">
        <f>IF(P9="K",VLOOKUP(N9,Table2[[#All],[UNIT]:[Column7]],10,FALSE),0)</f>
        <v>1000000</v>
      </c>
      <c r="G9" s="42">
        <f t="shared" ref="G9" si="2">E9*F9</f>
        <v>44000000</v>
      </c>
      <c r="H9" s="41">
        <v>1194.7692307692307</v>
      </c>
      <c r="I9" s="43">
        <f>H9*$D$25</f>
        <v>0</v>
      </c>
      <c r="J9" s="41">
        <f t="shared" si="0"/>
        <v>27.153846153846153</v>
      </c>
      <c r="K9" s="44">
        <f t="shared" ref="K9" si="3">G9+I9</f>
        <v>44000000</v>
      </c>
      <c r="L9" s="35"/>
      <c r="M9" s="40" t="s">
        <v>325</v>
      </c>
      <c r="N9" s="40" t="s">
        <v>148</v>
      </c>
      <c r="O9" s="40" t="str">
        <f t="shared" ref="O9" si="4">D9</f>
        <v>KOMATSU PC 400 - 07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255</v>
      </c>
      <c r="E10" s="41">
        <v>136</v>
      </c>
      <c r="F10" s="61">
        <f>IF(P10="K",VLOOKUP(N10,Table2[[#All],[UNIT]:[Column7]],10,FALSE),0)</f>
        <v>1000000</v>
      </c>
      <c r="G10" s="42">
        <f t="shared" ref="G10:G20" si="5">E10*F10</f>
        <v>136000000</v>
      </c>
      <c r="H10" s="41">
        <v>3845.5719844357977</v>
      </c>
      <c r="I10" s="43">
        <f>H10*$D$25</f>
        <v>0</v>
      </c>
      <c r="J10" s="41">
        <f t="shared" ref="J10:J20" si="6">IFERROR(H10/E10,0)</f>
        <v>28.276264591439688</v>
      </c>
      <c r="K10" s="44">
        <f t="shared" ref="K10:K20" si="7">G10+I10</f>
        <v>136000000</v>
      </c>
      <c r="L10" s="35"/>
      <c r="M10" s="40" t="s">
        <v>325</v>
      </c>
      <c r="N10" s="40" t="s">
        <v>148</v>
      </c>
      <c r="O10" s="40" t="str">
        <f t="shared" ref="O10:O20" si="8">D10</f>
        <v>KOMATSU PC 300 - 12</v>
      </c>
      <c r="P10" s="15" t="s">
        <v>56</v>
      </c>
    </row>
    <row r="11" spans="2:16" x14ac:dyDescent="0.3">
      <c r="B11" s="40">
        <f t="shared" si="1"/>
        <v>4</v>
      </c>
      <c r="C11" s="40"/>
      <c r="D11" s="40" t="s">
        <v>267</v>
      </c>
      <c r="E11" s="41">
        <v>109</v>
      </c>
      <c r="F11" s="61">
        <f>IF(P11="K",VLOOKUP(N11,Table2[[#All],[UNIT]:[Column7]],10,FALSE),0)</f>
        <v>1000000</v>
      </c>
      <c r="G11" s="42">
        <f t="shared" si="5"/>
        <v>109000000</v>
      </c>
      <c r="H11" s="41">
        <v>2730.3878326996196</v>
      </c>
      <c r="I11" s="43">
        <f>H11*$D$25</f>
        <v>0</v>
      </c>
      <c r="J11" s="41">
        <f t="shared" si="6"/>
        <v>25.049429657794676</v>
      </c>
      <c r="K11" s="44">
        <f t="shared" si="7"/>
        <v>109000000</v>
      </c>
      <c r="L11" s="35"/>
      <c r="M11" s="40" t="s">
        <v>325</v>
      </c>
      <c r="N11" s="40" t="s">
        <v>148</v>
      </c>
      <c r="O11" s="40" t="str">
        <f t="shared" si="8"/>
        <v>KOMATSU PC 300 - 17</v>
      </c>
      <c r="P11" s="15" t="s">
        <v>56</v>
      </c>
    </row>
    <row r="12" spans="2:16" x14ac:dyDescent="0.3">
      <c r="B12" s="40">
        <f t="shared" si="1"/>
        <v>5</v>
      </c>
      <c r="C12" s="40"/>
      <c r="D12" s="40" t="s">
        <v>189</v>
      </c>
      <c r="E12" s="41">
        <v>24</v>
      </c>
      <c r="F12" s="61">
        <f>IF(P12="K",VLOOKUP(N12,Table2[[#All],[UNIT]:[Column7]],10,FALSE),0)</f>
        <v>1000000</v>
      </c>
      <c r="G12" s="42">
        <f t="shared" si="5"/>
        <v>24000000</v>
      </c>
      <c r="H12" s="41">
        <v>347.62331838565024</v>
      </c>
      <c r="I12" s="43">
        <f>H12*$D$25</f>
        <v>0</v>
      </c>
      <c r="J12" s="41">
        <f t="shared" si="6"/>
        <v>14.484304932735427</v>
      </c>
      <c r="K12" s="44">
        <f t="shared" si="7"/>
        <v>24000000</v>
      </c>
      <c r="L12" s="35"/>
      <c r="M12" s="40" t="s">
        <v>325</v>
      </c>
      <c r="N12" s="40" t="s">
        <v>148</v>
      </c>
      <c r="O12" s="40" t="str">
        <f t="shared" si="8"/>
        <v>KOMATSU PC 200 - 23</v>
      </c>
      <c r="P12" s="15" t="s">
        <v>56</v>
      </c>
    </row>
    <row r="13" spans="2:16" x14ac:dyDescent="0.3">
      <c r="B13" s="40">
        <f t="shared" si="1"/>
        <v>6</v>
      </c>
      <c r="C13" s="40"/>
      <c r="D13" s="40" t="s">
        <v>245</v>
      </c>
      <c r="E13" s="41">
        <v>119</v>
      </c>
      <c r="F13" s="61">
        <f>IF(P13="K",VLOOKUP(N13,Table2[[#All],[UNIT]:[Column7]],10,FALSE),0)</f>
        <v>1000000</v>
      </c>
      <c r="G13" s="42">
        <f t="shared" si="5"/>
        <v>119000000</v>
      </c>
      <c r="H13" s="41">
        <v>1801.4137931034481</v>
      </c>
      <c r="I13" s="43">
        <f>H13*$D$25</f>
        <v>0</v>
      </c>
      <c r="J13" s="41">
        <f t="shared" si="6"/>
        <v>15.137931034482758</v>
      </c>
      <c r="K13" s="44">
        <f t="shared" si="7"/>
        <v>119000000</v>
      </c>
      <c r="L13" s="35"/>
      <c r="M13" s="40" t="s">
        <v>325</v>
      </c>
      <c r="N13" s="40" t="s">
        <v>148</v>
      </c>
      <c r="O13" s="40" t="str">
        <f t="shared" si="8"/>
        <v>KOMATSU HM 400 - 06</v>
      </c>
      <c r="P13" s="15" t="s">
        <v>56</v>
      </c>
    </row>
    <row r="14" spans="2:16" x14ac:dyDescent="0.3">
      <c r="B14" s="40">
        <f t="shared" si="1"/>
        <v>7</v>
      </c>
      <c r="C14" s="40"/>
      <c r="D14" s="40" t="s">
        <v>246</v>
      </c>
      <c r="E14" s="41">
        <v>175</v>
      </c>
      <c r="F14" s="61">
        <f>IF(P14="K",VLOOKUP(N14,Table2[[#All],[UNIT]:[Column7]],10,FALSE),0)</f>
        <v>1000000</v>
      </c>
      <c r="G14" s="42">
        <f t="shared" si="5"/>
        <v>175000000</v>
      </c>
      <c r="H14" s="41">
        <v>2226.117318435754</v>
      </c>
      <c r="I14" s="43">
        <f>H14*$D$25</f>
        <v>0</v>
      </c>
      <c r="J14" s="41">
        <f t="shared" si="6"/>
        <v>12.720670391061452</v>
      </c>
      <c r="K14" s="44">
        <f t="shared" si="7"/>
        <v>175000000</v>
      </c>
      <c r="L14" s="35"/>
      <c r="M14" s="40" t="s">
        <v>325</v>
      </c>
      <c r="N14" s="40" t="s">
        <v>148</v>
      </c>
      <c r="O14" s="40" t="str">
        <f t="shared" si="8"/>
        <v>KOMATSU HM 400 - 07</v>
      </c>
      <c r="P14" s="15" t="s">
        <v>56</v>
      </c>
    </row>
    <row r="15" spans="2:16" x14ac:dyDescent="0.3">
      <c r="B15" s="40">
        <f t="shared" si="1"/>
        <v>8</v>
      </c>
      <c r="C15" s="40"/>
      <c r="D15" s="40" t="s">
        <v>247</v>
      </c>
      <c r="E15" s="41">
        <v>68</v>
      </c>
      <c r="F15" s="61">
        <f>IF(P15="K",VLOOKUP(N15,Table2[[#All],[UNIT]:[Column7]],10,FALSE),0)</f>
        <v>1000000</v>
      </c>
      <c r="G15" s="42">
        <f t="shared" ref="G15:G17" si="9">E15*F15</f>
        <v>68000000</v>
      </c>
      <c r="H15" s="41">
        <v>1063.8222222222221</v>
      </c>
      <c r="I15" s="43">
        <f t="shared" ref="I15:I17" si="10">H15*$D$25</f>
        <v>0</v>
      </c>
      <c r="J15" s="41">
        <f t="shared" ref="J15:J17" si="11">IFERROR(H15/E15,0)</f>
        <v>15.644444444444442</v>
      </c>
      <c r="K15" s="44">
        <f t="shared" ref="K15:K17" si="12">G15+I15</f>
        <v>68000000</v>
      </c>
      <c r="L15" s="35"/>
      <c r="M15" s="40" t="s">
        <v>325</v>
      </c>
      <c r="N15" s="40" t="s">
        <v>148</v>
      </c>
      <c r="O15" s="40" t="str">
        <f t="shared" ref="O15:O17" si="13">D15</f>
        <v>KOMATSU HM 400 - 08</v>
      </c>
      <c r="P15" s="15" t="s">
        <v>56</v>
      </c>
    </row>
    <row r="16" spans="2:16" x14ac:dyDescent="0.3">
      <c r="B16" s="40">
        <f t="shared" si="1"/>
        <v>9</v>
      </c>
      <c r="C16" s="40"/>
      <c r="D16" s="40" t="s">
        <v>200</v>
      </c>
      <c r="E16" s="41">
        <v>140</v>
      </c>
      <c r="F16" s="61">
        <f>IF(P16="K",VLOOKUP(N16,Table2[[#All],[UNIT]:[Column7]],10,FALSE),0)</f>
        <v>1000000</v>
      </c>
      <c r="G16" s="42">
        <f t="shared" si="9"/>
        <v>140000000</v>
      </c>
      <c r="H16" s="41">
        <v>2159.7752808988766</v>
      </c>
      <c r="I16" s="43">
        <f t="shared" si="10"/>
        <v>0</v>
      </c>
      <c r="J16" s="41">
        <f t="shared" si="11"/>
        <v>15.426966292134834</v>
      </c>
      <c r="K16" s="44">
        <f t="shared" si="12"/>
        <v>140000000</v>
      </c>
      <c r="L16" s="35"/>
      <c r="M16" s="40" t="s">
        <v>325</v>
      </c>
      <c r="N16" s="40" t="s">
        <v>148</v>
      </c>
      <c r="O16" s="40" t="str">
        <f t="shared" si="13"/>
        <v>KOMATSU HM 400 - 09</v>
      </c>
      <c r="P16" s="15" t="s">
        <v>56</v>
      </c>
    </row>
    <row r="17" spans="2:16" x14ac:dyDescent="0.3">
      <c r="B17" s="40">
        <f t="shared" si="1"/>
        <v>10</v>
      </c>
      <c r="C17" s="40"/>
      <c r="D17" s="40" t="s">
        <v>201</v>
      </c>
      <c r="E17" s="41">
        <v>145</v>
      </c>
      <c r="F17" s="61">
        <f>IF(P17="K",VLOOKUP(N17,Table2[[#All],[UNIT]:[Column7]],10,FALSE),0)</f>
        <v>1000000</v>
      </c>
      <c r="G17" s="42">
        <f t="shared" si="9"/>
        <v>145000000</v>
      </c>
      <c r="H17" s="41">
        <v>2036.0103626943005</v>
      </c>
      <c r="I17" s="43">
        <f t="shared" si="10"/>
        <v>0</v>
      </c>
      <c r="J17" s="41">
        <f t="shared" si="11"/>
        <v>14.041450777202073</v>
      </c>
      <c r="K17" s="44">
        <f t="shared" si="12"/>
        <v>145000000</v>
      </c>
      <c r="L17" s="35"/>
      <c r="M17" s="40" t="s">
        <v>325</v>
      </c>
      <c r="N17" s="40" t="s">
        <v>148</v>
      </c>
      <c r="O17" s="40" t="str">
        <f t="shared" si="13"/>
        <v>KOMATSU HM 400 - 10</v>
      </c>
      <c r="P17" s="15" t="s">
        <v>56</v>
      </c>
    </row>
    <row r="18" spans="2:16" x14ac:dyDescent="0.3">
      <c r="B18" s="40">
        <f t="shared" si="1"/>
        <v>11</v>
      </c>
      <c r="C18" s="40"/>
      <c r="D18" s="40" t="s">
        <v>249</v>
      </c>
      <c r="E18" s="41">
        <v>7</v>
      </c>
      <c r="F18" s="61">
        <f>IF(P18="K",VLOOKUP(N18,Table2[[#All],[UNIT]:[Column7]],10,FALSE),0)</f>
        <v>1000000</v>
      </c>
      <c r="G18" s="42">
        <f t="shared" si="5"/>
        <v>7000000</v>
      </c>
      <c r="H18" s="41"/>
      <c r="I18" s="43">
        <f>H18*$D$25</f>
        <v>0</v>
      </c>
      <c r="J18" s="41">
        <f t="shared" si="6"/>
        <v>0</v>
      </c>
      <c r="K18" s="44">
        <f t="shared" si="7"/>
        <v>7000000</v>
      </c>
      <c r="L18" s="35"/>
      <c r="M18" s="40" t="s">
        <v>325</v>
      </c>
      <c r="N18" s="40" t="s">
        <v>148</v>
      </c>
      <c r="O18" s="40" t="str">
        <f t="shared" si="8"/>
        <v>KOMATSU DOZER D65 - 11</v>
      </c>
      <c r="P18" s="15" t="s">
        <v>56</v>
      </c>
    </row>
    <row r="19" spans="2:16" x14ac:dyDescent="0.3">
      <c r="B19" s="40">
        <f t="shared" si="1"/>
        <v>12</v>
      </c>
      <c r="C19" s="40"/>
      <c r="D19" s="40" t="s">
        <v>214</v>
      </c>
      <c r="E19" s="41">
        <v>122</v>
      </c>
      <c r="F19" s="61">
        <f>IF(P19="K",VLOOKUP(N19,Table2[[#All],[UNIT]:[Column7]],10,FALSE),0)</f>
        <v>1000000</v>
      </c>
      <c r="G19" s="42">
        <f t="shared" si="5"/>
        <v>122000000</v>
      </c>
      <c r="H19" s="41"/>
      <c r="I19" s="43">
        <f>H19*$D$25</f>
        <v>0</v>
      </c>
      <c r="J19" s="41">
        <f t="shared" si="6"/>
        <v>0</v>
      </c>
      <c r="K19" s="44">
        <f t="shared" si="7"/>
        <v>122000000</v>
      </c>
      <c r="L19" s="35"/>
      <c r="M19" s="40" t="s">
        <v>325</v>
      </c>
      <c r="N19" s="40" t="s">
        <v>148</v>
      </c>
      <c r="O19" s="40" t="str">
        <f t="shared" si="8"/>
        <v>KOMATSU DOZER D65 - 12</v>
      </c>
      <c r="P19" s="15" t="s">
        <v>56</v>
      </c>
    </row>
    <row r="20" spans="2:16" x14ac:dyDescent="0.3">
      <c r="B20" s="40">
        <f t="shared" si="1"/>
        <v>13</v>
      </c>
      <c r="C20" s="40"/>
      <c r="D20" s="40" t="s">
        <v>263</v>
      </c>
      <c r="E20" s="41">
        <v>85</v>
      </c>
      <c r="F20" s="61">
        <f>IF(P20="K",VLOOKUP(N20,Table2[[#All],[UNIT]:[Column7]],10,FALSE),0)</f>
        <v>1000000</v>
      </c>
      <c r="G20" s="42">
        <f t="shared" si="5"/>
        <v>85000000</v>
      </c>
      <c r="H20" s="41"/>
      <c r="I20" s="43">
        <f>H20*$D$25</f>
        <v>0</v>
      </c>
      <c r="J20" s="41">
        <f t="shared" si="6"/>
        <v>0</v>
      </c>
      <c r="K20" s="44">
        <f t="shared" si="7"/>
        <v>85000000</v>
      </c>
      <c r="L20" s="35"/>
      <c r="M20" s="40" t="s">
        <v>325</v>
      </c>
      <c r="N20" s="40" t="s">
        <v>148</v>
      </c>
      <c r="O20" s="40" t="str">
        <f t="shared" si="8"/>
        <v>KOMATSU DOZER D85SS - 11</v>
      </c>
      <c r="P20" s="15" t="s">
        <v>56</v>
      </c>
    </row>
    <row r="21" spans="2:16" x14ac:dyDescent="0.3">
      <c r="E21" s="18"/>
      <c r="G21" s="32"/>
      <c r="H21" s="18"/>
      <c r="I21" s="30"/>
      <c r="J21" s="18"/>
      <c r="K21" s="33"/>
      <c r="L21" s="18"/>
    </row>
    <row r="22" spans="2:16" s="1" customFormat="1" ht="15.75" customHeight="1" x14ac:dyDescent="0.3">
      <c r="B22" s="191" t="s">
        <v>21</v>
      </c>
      <c r="C22" s="191"/>
      <c r="D22" s="191"/>
      <c r="E22" s="45">
        <f>SUM(E8:E21)</f>
        <v>1179</v>
      </c>
      <c r="F22" s="62">
        <f>AVERAGE(F8:F21)</f>
        <v>1000000</v>
      </c>
      <c r="G22" s="46">
        <f>SUM(G8:G21)</f>
        <v>1179000000</v>
      </c>
      <c r="H22" s="45">
        <f>SUM(H8:H21)</f>
        <v>17542.531343644903</v>
      </c>
      <c r="I22" s="46">
        <f>SUM(I8:I21)</f>
        <v>0</v>
      </c>
      <c r="J22" s="45">
        <f t="shared" ref="J22" si="14">IFERROR(H22/E22,0)</f>
        <v>14.879161444991436</v>
      </c>
      <c r="K22" s="47">
        <f>SUM(K8:K21)</f>
        <v>1179000000</v>
      </c>
      <c r="L22" s="36"/>
    </row>
    <row r="24" spans="2:16" x14ac:dyDescent="0.3">
      <c r="B24" s="190" t="s">
        <v>34</v>
      </c>
      <c r="C24" s="190"/>
      <c r="D24" s="29">
        <f>SUMMARY!J32</f>
        <v>14848</v>
      </c>
    </row>
    <row r="25" spans="2:16" x14ac:dyDescent="0.3">
      <c r="B25" s="190" t="s">
        <v>35</v>
      </c>
      <c r="C25" s="190"/>
      <c r="D25" s="29">
        <f>SUMMARY!$J$13</f>
        <v>0</v>
      </c>
      <c r="G25" s="30"/>
      <c r="H25" s="18"/>
    </row>
    <row r="27" spans="2:16" x14ac:dyDescent="0.3">
      <c r="G27" s="18"/>
    </row>
  </sheetData>
  <autoFilter ref="B7:P20" xr:uid="{00000000-0009-0000-0000-000003000000}"/>
  <mergeCells count="16">
    <mergeCell ref="B25:C25"/>
    <mergeCell ref="B24:C24"/>
    <mergeCell ref="O5:O7"/>
    <mergeCell ref="I6:I7"/>
    <mergeCell ref="J5:J6"/>
    <mergeCell ref="B22:D22"/>
    <mergeCell ref="H5:I5"/>
    <mergeCell ref="K5:K7"/>
    <mergeCell ref="M5:M7"/>
    <mergeCell ref="N5:N7"/>
    <mergeCell ref="B2:D3"/>
    <mergeCell ref="B5:B7"/>
    <mergeCell ref="D5:D7"/>
    <mergeCell ref="E5:G5"/>
    <mergeCell ref="G6:G7"/>
    <mergeCell ref="C5:C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85A75-3452-4E3E-8D5E-19E9DB95BB07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P17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H32" sqref="H32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3" t="s">
        <v>282</v>
      </c>
      <c r="C2" s="193"/>
      <c r="D2" s="193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3"/>
      <c r="C3" s="193"/>
      <c r="D3" s="193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192" t="s">
        <v>1</v>
      </c>
      <c r="C5" s="192" t="s">
        <v>351</v>
      </c>
      <c r="D5" s="192" t="s">
        <v>86</v>
      </c>
      <c r="E5" s="195" t="s">
        <v>36</v>
      </c>
      <c r="F5" s="195"/>
      <c r="G5" s="195"/>
      <c r="H5" s="196" t="s">
        <v>37</v>
      </c>
      <c r="I5" s="196"/>
      <c r="J5" s="192" t="s">
        <v>54</v>
      </c>
      <c r="K5" s="194" t="s">
        <v>80</v>
      </c>
      <c r="L5" s="31"/>
      <c r="M5" s="192" t="s">
        <v>47</v>
      </c>
      <c r="N5" s="192" t="s">
        <v>87</v>
      </c>
      <c r="O5" s="192"/>
    </row>
    <row r="6" spans="2:16" ht="15" customHeight="1" x14ac:dyDescent="0.3">
      <c r="B6" s="192"/>
      <c r="C6" s="192"/>
      <c r="D6" s="192"/>
      <c r="E6" s="38" t="s">
        <v>26</v>
      </c>
      <c r="F6" s="39" t="s">
        <v>31</v>
      </c>
      <c r="G6" s="192" t="s">
        <v>28</v>
      </c>
      <c r="H6" s="38" t="s">
        <v>27</v>
      </c>
      <c r="I6" s="192" t="s">
        <v>28</v>
      </c>
      <c r="J6" s="192"/>
      <c r="K6" s="194"/>
      <c r="L6" s="31"/>
      <c r="M6" s="192"/>
      <c r="N6" s="192"/>
      <c r="O6" s="192"/>
    </row>
    <row r="7" spans="2:16" ht="15" customHeight="1" x14ac:dyDescent="0.3">
      <c r="B7" s="192"/>
      <c r="C7" s="192"/>
      <c r="D7" s="192"/>
      <c r="E7" s="38" t="s">
        <v>29</v>
      </c>
      <c r="F7" s="39" t="s">
        <v>30</v>
      </c>
      <c r="G7" s="192"/>
      <c r="H7" s="38" t="s">
        <v>32</v>
      </c>
      <c r="I7" s="192"/>
      <c r="J7" s="38" t="s">
        <v>33</v>
      </c>
      <c r="K7" s="194"/>
      <c r="L7" s="31"/>
      <c r="M7" s="192"/>
      <c r="N7" s="192"/>
      <c r="O7" s="192"/>
    </row>
    <row r="8" spans="2:16" x14ac:dyDescent="0.3">
      <c r="B8" s="40">
        <f>ROW(B8)-7</f>
        <v>1</v>
      </c>
      <c r="C8" s="40"/>
      <c r="D8" s="40" t="s">
        <v>220</v>
      </c>
      <c r="E8" s="41"/>
      <c r="F8" s="61">
        <f>IF(P8="K",VLOOKUP(N8,Table2[[#All],[UNIT]:[Column7]],10,FALSE),0)</f>
        <v>350000</v>
      </c>
      <c r="G8" s="42">
        <f>E8*F8</f>
        <v>0</v>
      </c>
      <c r="H8" s="41"/>
      <c r="I8" s="43">
        <f>H8*$D$15</f>
        <v>0</v>
      </c>
      <c r="J8" s="41">
        <f t="shared" ref="J8:J10" si="0">IFERROR(H8/E8,0)</f>
        <v>0</v>
      </c>
      <c r="K8" s="44">
        <f>G8+I8</f>
        <v>0</v>
      </c>
      <c r="L8" s="35"/>
      <c r="M8" s="40" t="s">
        <v>252</v>
      </c>
      <c r="N8" s="40" t="str">
        <f>VLOOKUP(O8,'list rate unit'!O:P,2,FALSE)</f>
        <v>GD 511 A-1</v>
      </c>
      <c r="O8" s="40" t="str">
        <f>D8</f>
        <v>GRADER GD535 - 03</v>
      </c>
      <c r="P8" s="15" t="s">
        <v>56</v>
      </c>
    </row>
    <row r="9" spans="2:16" x14ac:dyDescent="0.3">
      <c r="B9" s="40">
        <f t="shared" ref="B9:B10" si="1">ROW(B9)-7</f>
        <v>2</v>
      </c>
      <c r="C9" s="40"/>
      <c r="D9" s="40" t="s">
        <v>279</v>
      </c>
      <c r="E9" s="41"/>
      <c r="F9" s="61">
        <f>IF(P9="K",VLOOKUP(N9,Table2[[#All],[UNIT]:[Column7]],10,FALSE),0)</f>
        <v>220000</v>
      </c>
      <c r="G9" s="42">
        <f>E9*F9</f>
        <v>0</v>
      </c>
      <c r="H9" s="41"/>
      <c r="I9" s="43">
        <f>H9*$D$15</f>
        <v>0</v>
      </c>
      <c r="J9" s="41">
        <f t="shared" si="0"/>
        <v>0</v>
      </c>
      <c r="K9" s="44">
        <f>G9+I9</f>
        <v>0</v>
      </c>
      <c r="L9" s="35"/>
      <c r="M9" s="40" t="s">
        <v>252</v>
      </c>
      <c r="N9" s="40" t="str">
        <f>VLOOKUP(O9,'list rate unit'!O:P,2,FALSE)</f>
        <v>SV 525 D</v>
      </c>
      <c r="O9" s="40" t="str">
        <f>D9</f>
        <v>SAKAI - 03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221</v>
      </c>
      <c r="E10" s="41"/>
      <c r="F10" s="61">
        <f>IF(P10="K",VLOOKUP(N10,Table2[[#All],[UNIT]:[Column7]],10,FALSE),0)</f>
        <v>220000</v>
      </c>
      <c r="G10" s="42">
        <f t="shared" ref="G10" si="2">E10*F10</f>
        <v>0</v>
      </c>
      <c r="H10" s="41"/>
      <c r="I10" s="43">
        <f>H10*$D$15</f>
        <v>0</v>
      </c>
      <c r="J10" s="41">
        <f t="shared" si="0"/>
        <v>0</v>
      </c>
      <c r="K10" s="44">
        <f t="shared" ref="K10" si="3">G10+I10</f>
        <v>0</v>
      </c>
      <c r="L10" s="35"/>
      <c r="M10" s="40" t="s">
        <v>252</v>
      </c>
      <c r="N10" s="40" t="str">
        <f>VLOOKUP(O10,'list rate unit'!O:P,2,FALSE)</f>
        <v>SV 525 D</v>
      </c>
      <c r="O10" s="40" t="str">
        <f t="shared" ref="O10" si="4">D10</f>
        <v>SAKAI - 07</v>
      </c>
      <c r="P10" s="15" t="s">
        <v>56</v>
      </c>
    </row>
    <row r="11" spans="2:16" x14ac:dyDescent="0.3">
      <c r="E11" s="18"/>
      <c r="G11" s="32"/>
      <c r="H11" s="18"/>
      <c r="I11" s="30"/>
      <c r="J11" s="18"/>
      <c r="K11" s="33"/>
      <c r="L11" s="18"/>
    </row>
    <row r="12" spans="2:16" s="1" customFormat="1" ht="15.75" customHeight="1" x14ac:dyDescent="0.3">
      <c r="B12" s="191" t="s">
        <v>21</v>
      </c>
      <c r="C12" s="191"/>
      <c r="D12" s="191"/>
      <c r="E12" s="45">
        <f>SUM(E8:E10)</f>
        <v>0</v>
      </c>
      <c r="F12" s="62">
        <f>AVERAGE(F8:F10)</f>
        <v>263333.33333333331</v>
      </c>
      <c r="G12" s="46">
        <f>SUM(G8:G10)</f>
        <v>0</v>
      </c>
      <c r="H12" s="45">
        <f>SUM(H8:H10)</f>
        <v>0</v>
      </c>
      <c r="I12" s="46">
        <f>SUM(I8:I10)</f>
        <v>0</v>
      </c>
      <c r="J12" s="45">
        <f t="shared" ref="J12" si="5">IFERROR(H12/E12,0)</f>
        <v>0</v>
      </c>
      <c r="K12" s="47">
        <f>SUM(K8:K10)</f>
        <v>0</v>
      </c>
      <c r="L12" s="36"/>
    </row>
    <row r="14" spans="2:16" x14ac:dyDescent="0.3">
      <c r="B14" s="190" t="s">
        <v>34</v>
      </c>
      <c r="C14" s="190"/>
      <c r="D14" s="29">
        <f>SUMMARY!J32</f>
        <v>14848</v>
      </c>
    </row>
    <row r="15" spans="2:16" x14ac:dyDescent="0.3">
      <c r="B15" s="190" t="s">
        <v>35</v>
      </c>
      <c r="C15" s="190"/>
      <c r="D15" s="29">
        <f>SUMMARY!$J$13</f>
        <v>0</v>
      </c>
      <c r="G15" s="30"/>
      <c r="H15" s="18"/>
    </row>
    <row r="17" spans="7:7" x14ac:dyDescent="0.3">
      <c r="G17" s="18"/>
    </row>
  </sheetData>
  <autoFilter ref="B7:P10" xr:uid="{00000000-0009-0000-0000-000003000000}"/>
  <mergeCells count="16">
    <mergeCell ref="B14:C14"/>
    <mergeCell ref="B15:C15"/>
    <mergeCell ref="O5:O7"/>
    <mergeCell ref="I6:I7"/>
    <mergeCell ref="J5:J6"/>
    <mergeCell ref="B12:D12"/>
    <mergeCell ref="H5:I5"/>
    <mergeCell ref="K5:K7"/>
    <mergeCell ref="M5:M7"/>
    <mergeCell ref="N5:N7"/>
    <mergeCell ref="B2:D3"/>
    <mergeCell ref="B5:B7"/>
    <mergeCell ref="D5:D7"/>
    <mergeCell ref="E5:G5"/>
    <mergeCell ref="G6:G7"/>
    <mergeCell ref="C5:C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D916AFC-3CA9-44A1-94DE-37E3739FB86F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P26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G30" sqref="G30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3" t="s">
        <v>167</v>
      </c>
      <c r="C2" s="193"/>
      <c r="D2" s="193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3"/>
      <c r="C3" s="193"/>
      <c r="D3" s="193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192" t="s">
        <v>1</v>
      </c>
      <c r="C5" s="192" t="s">
        <v>351</v>
      </c>
      <c r="D5" s="192" t="s">
        <v>86</v>
      </c>
      <c r="E5" s="195" t="s">
        <v>36</v>
      </c>
      <c r="F5" s="195"/>
      <c r="G5" s="195"/>
      <c r="H5" s="196" t="s">
        <v>37</v>
      </c>
      <c r="I5" s="196"/>
      <c r="J5" s="192" t="s">
        <v>54</v>
      </c>
      <c r="K5" s="194" t="s">
        <v>80</v>
      </c>
      <c r="L5" s="31"/>
      <c r="M5" s="192" t="s">
        <v>47</v>
      </c>
      <c r="N5" s="192" t="s">
        <v>87</v>
      </c>
      <c r="O5" s="192"/>
    </row>
    <row r="6" spans="2:16" ht="15" customHeight="1" x14ac:dyDescent="0.3">
      <c r="B6" s="192"/>
      <c r="C6" s="192"/>
      <c r="D6" s="192"/>
      <c r="E6" s="38" t="s">
        <v>26</v>
      </c>
      <c r="F6" s="39" t="s">
        <v>31</v>
      </c>
      <c r="G6" s="192" t="s">
        <v>28</v>
      </c>
      <c r="H6" s="38" t="s">
        <v>27</v>
      </c>
      <c r="I6" s="192" t="s">
        <v>28</v>
      </c>
      <c r="J6" s="192"/>
      <c r="K6" s="194"/>
      <c r="L6" s="31"/>
      <c r="M6" s="192"/>
      <c r="N6" s="192"/>
      <c r="O6" s="192"/>
    </row>
    <row r="7" spans="2:16" ht="15" customHeight="1" x14ac:dyDescent="0.3">
      <c r="B7" s="192"/>
      <c r="C7" s="192"/>
      <c r="D7" s="192"/>
      <c r="E7" s="38" t="s">
        <v>29</v>
      </c>
      <c r="F7" s="39" t="s">
        <v>30</v>
      </c>
      <c r="G7" s="192"/>
      <c r="H7" s="38" t="s">
        <v>32</v>
      </c>
      <c r="I7" s="192"/>
      <c r="J7" s="38" t="s">
        <v>33</v>
      </c>
      <c r="K7" s="194"/>
      <c r="L7" s="31"/>
      <c r="M7" s="192"/>
      <c r="N7" s="192"/>
      <c r="O7" s="192"/>
    </row>
    <row r="8" spans="2:16" x14ac:dyDescent="0.3">
      <c r="B8" s="40">
        <f>ROW(B8)-7</f>
        <v>1</v>
      </c>
      <c r="C8" s="40"/>
      <c r="D8" s="40" t="s">
        <v>266</v>
      </c>
      <c r="E8" s="41">
        <v>120</v>
      </c>
      <c r="F8" s="61">
        <f>IF(P8="K",VLOOKUP(N8,Table2[[#All],[UNIT]:[Column7]],10,FALSE),0)</f>
        <v>950000</v>
      </c>
      <c r="G8" s="42">
        <f>E8*F8</f>
        <v>114000000</v>
      </c>
      <c r="H8" s="41">
        <v>3288.96</v>
      </c>
      <c r="I8" s="43">
        <f t="shared" ref="I8:I19" si="0">H8*$D$24</f>
        <v>0</v>
      </c>
      <c r="J8" s="41">
        <f t="shared" ref="J8:J13" si="1">IFERROR(H8/E8,0)</f>
        <v>27.408000000000001</v>
      </c>
      <c r="K8" s="44">
        <f>G8+I8</f>
        <v>114000000</v>
      </c>
      <c r="L8" s="35"/>
      <c r="M8" s="40" t="s">
        <v>325</v>
      </c>
      <c r="N8" s="40" t="str">
        <f>VLOOKUP(O8,'list rate unit'!O:P,2,FALSE)</f>
        <v>PC 400 LC SE-8</v>
      </c>
      <c r="O8" s="40" t="str">
        <f>D8</f>
        <v>KOMATSU PC 400 - 03</v>
      </c>
      <c r="P8" s="15" t="s">
        <v>56</v>
      </c>
    </row>
    <row r="9" spans="2:16" x14ac:dyDescent="0.3">
      <c r="B9" s="40">
        <f t="shared" ref="B9:B19" si="2">ROW(B9)-7</f>
        <v>2</v>
      </c>
      <c r="C9" s="40"/>
      <c r="D9" s="40" t="s">
        <v>327</v>
      </c>
      <c r="E9" s="41">
        <v>71</v>
      </c>
      <c r="F9" s="61">
        <f>IF(P9="K",VLOOKUP(N9,Table2[[#All],[UNIT]:[Column7]],10,FALSE),0)</f>
        <v>950000</v>
      </c>
      <c r="G9" s="42">
        <f t="shared" ref="G9:G13" si="3">E9*F9</f>
        <v>67450000</v>
      </c>
      <c r="H9" s="41">
        <v>1927.9230769230769</v>
      </c>
      <c r="I9" s="43">
        <f t="shared" si="0"/>
        <v>0</v>
      </c>
      <c r="J9" s="41">
        <f t="shared" si="1"/>
        <v>27.153846153846153</v>
      </c>
      <c r="K9" s="44">
        <f t="shared" ref="K9:K13" si="4">G9+I9</f>
        <v>67450000</v>
      </c>
      <c r="L9" s="35"/>
      <c r="M9" s="40" t="s">
        <v>325</v>
      </c>
      <c r="N9" s="40" t="str">
        <f>VLOOKUP(O9,'list rate unit'!O:P,2,FALSE)</f>
        <v>PC 400 LC SE-8</v>
      </c>
      <c r="O9" s="40" t="str">
        <f t="shared" ref="O9:O13" si="5">D9</f>
        <v>KOMATSU PC 400 - 07</v>
      </c>
      <c r="P9" s="15" t="s">
        <v>56</v>
      </c>
    </row>
    <row r="10" spans="2:16" x14ac:dyDescent="0.3">
      <c r="B10" s="40">
        <f t="shared" si="2"/>
        <v>3</v>
      </c>
      <c r="C10" s="40"/>
      <c r="D10" s="40" t="s">
        <v>255</v>
      </c>
      <c r="E10" s="41">
        <v>115</v>
      </c>
      <c r="F10" s="61">
        <f>IF(P10="K",VLOOKUP(N10,Table2[[#All],[UNIT]:[Column7]],10,FALSE),0)</f>
        <v>400000</v>
      </c>
      <c r="G10" s="42">
        <f t="shared" si="3"/>
        <v>46000000</v>
      </c>
      <c r="H10" s="41">
        <v>3251.770428015564</v>
      </c>
      <c r="I10" s="43">
        <f t="shared" si="0"/>
        <v>0</v>
      </c>
      <c r="J10" s="41">
        <f t="shared" si="1"/>
        <v>28.276264591439688</v>
      </c>
      <c r="K10" s="44">
        <f t="shared" si="4"/>
        <v>46000000</v>
      </c>
      <c r="L10" s="35"/>
      <c r="M10" s="40" t="s">
        <v>325</v>
      </c>
      <c r="N10" s="40" t="str">
        <f>VLOOKUP(O10,'list rate unit'!O:P,2,FALSE)</f>
        <v>PC 300 SE-8</v>
      </c>
      <c r="O10" s="40" t="str">
        <f t="shared" si="5"/>
        <v>KOMATSU PC 300 - 12</v>
      </c>
      <c r="P10" s="15" t="s">
        <v>56</v>
      </c>
    </row>
    <row r="11" spans="2:16" x14ac:dyDescent="0.3">
      <c r="B11" s="40">
        <f t="shared" si="2"/>
        <v>4</v>
      </c>
      <c r="C11" s="40"/>
      <c r="D11" s="40" t="s">
        <v>267</v>
      </c>
      <c r="E11" s="41">
        <v>154</v>
      </c>
      <c r="F11" s="61">
        <f>IF(P11="K",VLOOKUP(N11,Table2[[#All],[UNIT]:[Column7]],10,FALSE),0)</f>
        <v>400000</v>
      </c>
      <c r="G11" s="42">
        <f t="shared" si="3"/>
        <v>61600000</v>
      </c>
      <c r="H11" s="41">
        <v>3857.61216730038</v>
      </c>
      <c r="I11" s="43">
        <f t="shared" si="0"/>
        <v>0</v>
      </c>
      <c r="J11" s="41">
        <f t="shared" si="1"/>
        <v>25.049429657794676</v>
      </c>
      <c r="K11" s="44">
        <f t="shared" si="4"/>
        <v>61600000</v>
      </c>
      <c r="L11" s="35"/>
      <c r="M11" s="40" t="s">
        <v>325</v>
      </c>
      <c r="N11" s="40" t="str">
        <f>VLOOKUP(O11,'list rate unit'!O:P,2,FALSE)</f>
        <v>PC 300 SE-8</v>
      </c>
      <c r="O11" s="40" t="str">
        <f t="shared" si="5"/>
        <v>KOMATSU PC 300 - 17</v>
      </c>
      <c r="P11" s="15" t="s">
        <v>56</v>
      </c>
    </row>
    <row r="12" spans="2:16" x14ac:dyDescent="0.3">
      <c r="B12" s="40">
        <f t="shared" si="2"/>
        <v>5</v>
      </c>
      <c r="C12" s="40"/>
      <c r="D12" s="40" t="s">
        <v>196</v>
      </c>
      <c r="E12" s="41">
        <v>11</v>
      </c>
      <c r="F12" s="61">
        <f>IF(P12="K",VLOOKUP(N12,Table2[[#All],[UNIT]:[Column7]],10,FALSE),0)</f>
        <v>275000</v>
      </c>
      <c r="G12" s="42">
        <f t="shared" si="3"/>
        <v>3025000</v>
      </c>
      <c r="H12" s="41">
        <v>150</v>
      </c>
      <c r="I12" s="43">
        <f t="shared" si="0"/>
        <v>0</v>
      </c>
      <c r="J12" s="41">
        <f t="shared" si="1"/>
        <v>13.636363636363637</v>
      </c>
      <c r="K12" s="44">
        <f t="shared" si="4"/>
        <v>3025000</v>
      </c>
      <c r="L12" s="35"/>
      <c r="M12" s="40" t="s">
        <v>325</v>
      </c>
      <c r="N12" s="40" t="str">
        <f>VLOOKUP(O12,'list rate unit'!O:P,2,FALSE)</f>
        <v>SK 200-8 SX</v>
      </c>
      <c r="O12" s="40" t="str">
        <f t="shared" si="5"/>
        <v>KOBELCO SK 200 - 16</v>
      </c>
      <c r="P12" s="15" t="s">
        <v>56</v>
      </c>
    </row>
    <row r="13" spans="2:16" x14ac:dyDescent="0.3">
      <c r="B13" s="40">
        <f t="shared" si="2"/>
        <v>6</v>
      </c>
      <c r="C13" s="40"/>
      <c r="D13" s="40" t="s">
        <v>258</v>
      </c>
      <c r="E13" s="41">
        <v>183</v>
      </c>
      <c r="F13" s="61">
        <f>IF(P13="K",VLOOKUP(N13,Table2[[#All],[UNIT]:[Column7]],10,FALSE),0)</f>
        <v>275000</v>
      </c>
      <c r="G13" s="42">
        <f t="shared" si="3"/>
        <v>50325000</v>
      </c>
      <c r="H13" s="41">
        <v>2913</v>
      </c>
      <c r="I13" s="43">
        <f t="shared" si="0"/>
        <v>0</v>
      </c>
      <c r="J13" s="41">
        <f t="shared" si="1"/>
        <v>15.918032786885245</v>
      </c>
      <c r="K13" s="44">
        <f t="shared" si="4"/>
        <v>50325000</v>
      </c>
      <c r="L13" s="35"/>
      <c r="M13" s="40" t="s">
        <v>325</v>
      </c>
      <c r="N13" s="40" t="str">
        <f>VLOOKUP(O13,'list rate unit'!O:P,2,FALSE)</f>
        <v>PC 200-8 MO</v>
      </c>
      <c r="O13" s="40" t="str">
        <f t="shared" si="5"/>
        <v>KOMATSU PC 200 - 11</v>
      </c>
      <c r="P13" s="15" t="s">
        <v>56</v>
      </c>
    </row>
    <row r="14" spans="2:16" x14ac:dyDescent="0.3">
      <c r="B14" s="40">
        <f t="shared" si="2"/>
        <v>7</v>
      </c>
      <c r="C14" s="40"/>
      <c r="D14" s="40" t="s">
        <v>261</v>
      </c>
      <c r="E14" s="41">
        <v>287</v>
      </c>
      <c r="F14" s="61">
        <f>IF(P14="K",VLOOKUP(N14,Table2[[#All],[UNIT]:[Column7]],10,FALSE),0)</f>
        <v>275000</v>
      </c>
      <c r="G14" s="42">
        <f t="shared" ref="G14:G19" si="6">E14*F14</f>
        <v>78925000</v>
      </c>
      <c r="H14" s="41">
        <v>3691</v>
      </c>
      <c r="I14" s="43">
        <f t="shared" si="0"/>
        <v>0</v>
      </c>
      <c r="J14" s="41">
        <f t="shared" ref="J14:J19" si="7">IFERROR(H14/E14,0)</f>
        <v>12.860627177700348</v>
      </c>
      <c r="K14" s="44">
        <f t="shared" ref="K14:K19" si="8">G14+I14</f>
        <v>78925000</v>
      </c>
      <c r="L14" s="35"/>
      <c r="M14" s="40" t="s">
        <v>325</v>
      </c>
      <c r="N14" s="40" t="str">
        <f>VLOOKUP(O14,'list rate unit'!O:P,2,FALSE)</f>
        <v>PC 200-8 MO</v>
      </c>
      <c r="O14" s="40" t="str">
        <f t="shared" ref="O14:O19" si="9">D14</f>
        <v>KOMATSU PC 200 - 15</v>
      </c>
      <c r="P14" s="15" t="s">
        <v>56</v>
      </c>
    </row>
    <row r="15" spans="2:16" x14ac:dyDescent="0.3">
      <c r="B15" s="40">
        <f t="shared" si="2"/>
        <v>8</v>
      </c>
      <c r="C15" s="40"/>
      <c r="D15" s="40" t="s">
        <v>329</v>
      </c>
      <c r="E15" s="41">
        <v>221</v>
      </c>
      <c r="F15" s="61">
        <f>IF(P15="K",VLOOKUP(N15,Table2[[#All],[UNIT]:[Column7]],10,FALSE),0)</f>
        <v>275000</v>
      </c>
      <c r="G15" s="42">
        <f t="shared" ref="G15:G16" si="10">E15*F15</f>
        <v>60775000</v>
      </c>
      <c r="H15" s="41">
        <v>3249</v>
      </c>
      <c r="I15" s="43">
        <f t="shared" ref="I15:I16" si="11">H15*$D$24</f>
        <v>0</v>
      </c>
      <c r="J15" s="41">
        <f t="shared" ref="J15:J16" si="12">IFERROR(H15/E15,0)</f>
        <v>14.701357466063348</v>
      </c>
      <c r="K15" s="44">
        <f t="shared" ref="K15:K16" si="13">G15+I15</f>
        <v>60775000</v>
      </c>
      <c r="L15" s="35"/>
      <c r="M15" s="40" t="s">
        <v>325</v>
      </c>
      <c r="N15" s="40" t="str">
        <f>VLOOKUP(O15,'list rate unit'!O:P,2,FALSE)</f>
        <v>PC 200-8 MO</v>
      </c>
      <c r="O15" s="40" t="str">
        <f t="shared" ref="O15:O16" si="14">D15</f>
        <v>KOMATSU PC 200 - 21</v>
      </c>
      <c r="P15" s="15" t="s">
        <v>56</v>
      </c>
    </row>
    <row r="16" spans="2:16" x14ac:dyDescent="0.3">
      <c r="B16" s="40">
        <f t="shared" si="2"/>
        <v>9</v>
      </c>
      <c r="C16" s="40"/>
      <c r="D16" s="40" t="s">
        <v>189</v>
      </c>
      <c r="E16" s="41">
        <v>199</v>
      </c>
      <c r="F16" s="61">
        <f>IF(P16="K",VLOOKUP(N16,Table2[[#All],[UNIT]:[Column7]],10,FALSE),0)</f>
        <v>275000</v>
      </c>
      <c r="G16" s="42">
        <f t="shared" si="10"/>
        <v>54725000</v>
      </c>
      <c r="H16" s="41">
        <v>2882.3766816143498</v>
      </c>
      <c r="I16" s="43">
        <f t="shared" si="11"/>
        <v>0</v>
      </c>
      <c r="J16" s="41">
        <f t="shared" si="12"/>
        <v>14.484304932735427</v>
      </c>
      <c r="K16" s="44">
        <f t="shared" si="13"/>
        <v>54725000</v>
      </c>
      <c r="L16" s="35"/>
      <c r="M16" s="40" t="s">
        <v>325</v>
      </c>
      <c r="N16" s="40" t="str">
        <f>VLOOKUP(O16,'list rate unit'!O:P,2,FALSE)</f>
        <v>PC 200-8 MO</v>
      </c>
      <c r="O16" s="40" t="str">
        <f t="shared" si="14"/>
        <v>KOMATSU PC 200 - 23</v>
      </c>
      <c r="P16" s="15" t="s">
        <v>56</v>
      </c>
    </row>
    <row r="17" spans="2:16" x14ac:dyDescent="0.3">
      <c r="B17" s="40">
        <f t="shared" si="2"/>
        <v>10</v>
      </c>
      <c r="C17" s="40"/>
      <c r="D17" s="40" t="s">
        <v>298</v>
      </c>
      <c r="E17" s="41">
        <v>287</v>
      </c>
      <c r="F17" s="61">
        <f>IF(P17="K",VLOOKUP(N17,Table2[[#All],[UNIT]:[Column7]],10,FALSE),0)</f>
        <v>275000</v>
      </c>
      <c r="G17" s="42">
        <f t="shared" ref="G17" si="15">E17*F17</f>
        <v>78925000</v>
      </c>
      <c r="H17" s="41">
        <v>3327</v>
      </c>
      <c r="I17" s="43">
        <f t="shared" ref="I17" si="16">H17*$D$24</f>
        <v>0</v>
      </c>
      <c r="J17" s="41">
        <f t="shared" ref="J17" si="17">IFERROR(H17/E17,0)</f>
        <v>11.592334494773519</v>
      </c>
      <c r="K17" s="44">
        <f t="shared" ref="K17" si="18">G17+I17</f>
        <v>78925000</v>
      </c>
      <c r="L17" s="35"/>
      <c r="M17" s="40" t="s">
        <v>325</v>
      </c>
      <c r="N17" s="40" t="str">
        <f>VLOOKUP(O17,'list rate unit'!O:P,2,FALSE)</f>
        <v>PC 200-8 MO</v>
      </c>
      <c r="O17" s="40" t="str">
        <f t="shared" ref="O17" si="19">D17</f>
        <v>KOMATSU PC 200 - 24</v>
      </c>
      <c r="P17" s="15" t="s">
        <v>56</v>
      </c>
    </row>
    <row r="18" spans="2:16" x14ac:dyDescent="0.3">
      <c r="B18" s="40">
        <f t="shared" si="2"/>
        <v>11</v>
      </c>
      <c r="C18" s="40"/>
      <c r="D18" s="40" t="s">
        <v>214</v>
      </c>
      <c r="E18" s="41">
        <v>7</v>
      </c>
      <c r="F18" s="61">
        <f>IF(P18="K",VLOOKUP(N18,Table2[[#All],[UNIT]:[Column7]],10,FALSE),0)</f>
        <v>425000</v>
      </c>
      <c r="G18" s="42">
        <f t="shared" si="6"/>
        <v>2975000</v>
      </c>
      <c r="H18" s="41">
        <v>126.90206185567011</v>
      </c>
      <c r="I18" s="43">
        <f t="shared" si="0"/>
        <v>0</v>
      </c>
      <c r="J18" s="41">
        <f t="shared" si="7"/>
        <v>18.128865979381445</v>
      </c>
      <c r="K18" s="44">
        <f t="shared" si="8"/>
        <v>2975000</v>
      </c>
      <c r="L18" s="35"/>
      <c r="M18" s="40" t="s">
        <v>325</v>
      </c>
      <c r="N18" s="40" t="str">
        <f>VLOOKUP(O18,'list rate unit'!O:P,2,FALSE)</f>
        <v>D 65 P-12</v>
      </c>
      <c r="O18" s="40" t="str">
        <f t="shared" si="9"/>
        <v>KOMATSU DOZER D65 - 12</v>
      </c>
      <c r="P18" s="15" t="s">
        <v>56</v>
      </c>
    </row>
    <row r="19" spans="2:16" x14ac:dyDescent="0.3">
      <c r="B19" s="40">
        <f t="shared" si="2"/>
        <v>12</v>
      </c>
      <c r="C19" s="40"/>
      <c r="D19" s="40" t="s">
        <v>305</v>
      </c>
      <c r="E19" s="41">
        <v>130</v>
      </c>
      <c r="F19" s="61">
        <f>IF(P19="K",VLOOKUP(N19,Table2[[#All],[UNIT]:[Column7]],10,FALSE),0)</f>
        <v>220000</v>
      </c>
      <c r="G19" s="42">
        <f t="shared" si="6"/>
        <v>28600000</v>
      </c>
      <c r="H19" s="41">
        <v>587</v>
      </c>
      <c r="I19" s="43">
        <f t="shared" si="0"/>
        <v>0</v>
      </c>
      <c r="J19" s="41">
        <f t="shared" si="7"/>
        <v>4.5153846153846153</v>
      </c>
      <c r="K19" s="44">
        <f t="shared" si="8"/>
        <v>28600000</v>
      </c>
      <c r="L19" s="35"/>
      <c r="M19" s="40" t="s">
        <v>325</v>
      </c>
      <c r="N19" s="40" t="str">
        <f>VLOOKUP(O19,'list rate unit'!O:P,2,FALSE)</f>
        <v>SV 525 D</v>
      </c>
      <c r="O19" s="40" t="str">
        <f t="shared" si="9"/>
        <v>SAKAI - 01</v>
      </c>
      <c r="P19" s="15" t="s">
        <v>56</v>
      </c>
    </row>
    <row r="20" spans="2:16" x14ac:dyDescent="0.3">
      <c r="E20" s="18"/>
      <c r="G20" s="32"/>
      <c r="H20" s="18"/>
      <c r="I20" s="30"/>
      <c r="J20" s="18"/>
      <c r="K20" s="33"/>
      <c r="L20" s="18"/>
    </row>
    <row r="21" spans="2:16" s="1" customFormat="1" ht="15.75" customHeight="1" x14ac:dyDescent="0.3">
      <c r="B21" s="191" t="s">
        <v>21</v>
      </c>
      <c r="C21" s="191"/>
      <c r="D21" s="191"/>
      <c r="E21" s="45">
        <f>SUM(E8:E20)</f>
        <v>1785</v>
      </c>
      <c r="F21" s="62">
        <f>AVERAGE(F8:F20)</f>
        <v>416250</v>
      </c>
      <c r="G21" s="46">
        <f>SUM(G8:G20)</f>
        <v>647325000</v>
      </c>
      <c r="H21" s="45">
        <f>SUM(H8:H20)</f>
        <v>29252.544415709042</v>
      </c>
      <c r="I21" s="46">
        <f>SUM(I8:I20)</f>
        <v>0</v>
      </c>
      <c r="J21" s="45">
        <f t="shared" ref="J21" si="20">IFERROR(H21/E21,0)</f>
        <v>16.387980064822994</v>
      </c>
      <c r="K21" s="47">
        <f>SUM(K8:K20)</f>
        <v>647325000</v>
      </c>
      <c r="L21" s="36"/>
    </row>
    <row r="23" spans="2:16" x14ac:dyDescent="0.3">
      <c r="B23" s="190" t="s">
        <v>34</v>
      </c>
      <c r="C23" s="190"/>
      <c r="D23" s="29">
        <f>SUMMARY!J32</f>
        <v>14848</v>
      </c>
    </row>
    <row r="24" spans="2:16" x14ac:dyDescent="0.3">
      <c r="B24" s="190" t="s">
        <v>35</v>
      </c>
      <c r="C24" s="190"/>
      <c r="D24" s="29">
        <f>SUMMARY!$J$13</f>
        <v>0</v>
      </c>
      <c r="G24" s="30"/>
      <c r="H24" s="18"/>
    </row>
    <row r="26" spans="2:16" x14ac:dyDescent="0.3">
      <c r="G26" s="18"/>
    </row>
  </sheetData>
  <autoFilter ref="B7:P19" xr:uid="{00000000-0009-0000-0000-000003000000}"/>
  <mergeCells count="16">
    <mergeCell ref="B23:C23"/>
    <mergeCell ref="B24:C24"/>
    <mergeCell ref="O5:O7"/>
    <mergeCell ref="I6:I7"/>
    <mergeCell ref="J5:J6"/>
    <mergeCell ref="B21:D21"/>
    <mergeCell ref="H5:I5"/>
    <mergeCell ref="K5:K7"/>
    <mergeCell ref="M5:M7"/>
    <mergeCell ref="N5:N7"/>
    <mergeCell ref="B2:D3"/>
    <mergeCell ref="B5:B7"/>
    <mergeCell ref="D5:D7"/>
    <mergeCell ref="E5:G5"/>
    <mergeCell ref="G6:G7"/>
    <mergeCell ref="C5:C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A23AA3-D48A-4EB0-A2D2-E518DCD0789A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R125"/>
  <sheetViews>
    <sheetView workbookViewId="0">
      <pane xSplit="4" ySplit="7" topLeftCell="E17" activePane="bottomRight" state="frozenSplit"/>
      <selection pane="topRight" activeCell="C1" sqref="C1"/>
      <selection pane="bottomLeft" activeCell="A8" sqref="A8"/>
      <selection pane="bottomRight" activeCell="J11" sqref="J11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19.5546875" style="15" bestFit="1" customWidth="1"/>
    <col min="5" max="6" width="12.6640625" style="15" customWidth="1"/>
    <col min="7" max="7" width="12" style="15" bestFit="1" customWidth="1"/>
    <col min="8" max="8" width="19.5546875" style="15" customWidth="1"/>
    <col min="9" max="9" width="12.6640625" style="15" customWidth="1"/>
    <col min="10" max="10" width="19.6640625" style="15" bestFit="1" customWidth="1"/>
    <col min="11" max="13" width="11" style="15" customWidth="1"/>
    <col min="14" max="14" width="20.77734375" style="15" customWidth="1"/>
    <col min="15" max="15" width="11" style="15" customWidth="1"/>
    <col min="16" max="16" width="18.6640625" style="15" bestFit="1" customWidth="1"/>
    <col min="17" max="17" width="12.109375" style="15" bestFit="1" customWidth="1"/>
    <col min="18" max="18" width="16.6640625" style="15" customWidth="1"/>
    <col min="19" max="16384" width="9.109375" style="15"/>
  </cols>
  <sheetData>
    <row r="2" spans="2:18" x14ac:dyDescent="0.3">
      <c r="B2" s="193" t="s">
        <v>82</v>
      </c>
      <c r="C2" s="193"/>
      <c r="D2" s="193"/>
    </row>
    <row r="3" spans="2:18" x14ac:dyDescent="0.3">
      <c r="B3" s="193"/>
      <c r="C3" s="193"/>
      <c r="D3" s="193"/>
    </row>
    <row r="4" spans="2:18" x14ac:dyDescent="0.3">
      <c r="E4" s="30"/>
      <c r="F4" s="30"/>
    </row>
    <row r="5" spans="2:18" ht="15" customHeight="1" x14ac:dyDescent="0.3">
      <c r="B5" s="192" t="s">
        <v>1</v>
      </c>
      <c r="C5" s="192" t="s">
        <v>351</v>
      </c>
      <c r="D5" s="192" t="s">
        <v>86</v>
      </c>
      <c r="E5" s="195" t="s">
        <v>39</v>
      </c>
      <c r="F5" s="195"/>
      <c r="G5" s="196" t="s">
        <v>52</v>
      </c>
      <c r="H5" s="196"/>
      <c r="I5" s="196" t="s">
        <v>37</v>
      </c>
      <c r="J5" s="196"/>
      <c r="K5" s="192" t="s">
        <v>88</v>
      </c>
      <c r="L5" s="192"/>
      <c r="M5" s="192"/>
      <c r="N5" s="194" t="s">
        <v>80</v>
      </c>
      <c r="O5" s="31"/>
      <c r="P5" s="192" t="s">
        <v>47</v>
      </c>
      <c r="Q5" s="192" t="s">
        <v>87</v>
      </c>
      <c r="R5" s="192"/>
    </row>
    <row r="6" spans="2:18" ht="15" customHeight="1" x14ac:dyDescent="0.3">
      <c r="B6" s="192"/>
      <c r="C6" s="192"/>
      <c r="D6" s="192"/>
      <c r="E6" s="192" t="s">
        <v>41</v>
      </c>
      <c r="F6" s="192"/>
      <c r="G6" s="38" t="s">
        <v>48</v>
      </c>
      <c r="H6" s="192" t="s">
        <v>28</v>
      </c>
      <c r="I6" s="38" t="s">
        <v>27</v>
      </c>
      <c r="J6" s="192" t="s">
        <v>28</v>
      </c>
      <c r="K6" s="192"/>
      <c r="L6" s="192"/>
      <c r="M6" s="192"/>
      <c r="N6" s="194"/>
      <c r="O6" s="31"/>
      <c r="P6" s="192"/>
      <c r="Q6" s="192"/>
      <c r="R6" s="192"/>
    </row>
    <row r="7" spans="2:18" ht="15" customHeight="1" x14ac:dyDescent="0.3">
      <c r="B7" s="192"/>
      <c r="C7" s="192"/>
      <c r="D7" s="192"/>
      <c r="E7" s="38" t="s">
        <v>42</v>
      </c>
      <c r="F7" s="38" t="s">
        <v>43</v>
      </c>
      <c r="G7" s="38" t="s">
        <v>30</v>
      </c>
      <c r="H7" s="192"/>
      <c r="I7" s="38" t="s">
        <v>32</v>
      </c>
      <c r="J7" s="192"/>
      <c r="K7" s="38" t="s">
        <v>40</v>
      </c>
      <c r="L7" s="38" t="s">
        <v>44</v>
      </c>
      <c r="M7" s="38" t="s">
        <v>55</v>
      </c>
      <c r="N7" s="194"/>
      <c r="O7" s="31"/>
      <c r="P7" s="192"/>
      <c r="Q7" s="192"/>
      <c r="R7" s="192"/>
    </row>
    <row r="8" spans="2:18" x14ac:dyDescent="0.3">
      <c r="B8" s="40">
        <f>ROW(B8)-7</f>
        <v>1</v>
      </c>
      <c r="C8" s="40"/>
      <c r="D8" s="40" t="s">
        <v>330</v>
      </c>
      <c r="E8" s="41">
        <v>2693.66</v>
      </c>
      <c r="F8" s="41">
        <v>72</v>
      </c>
      <c r="G8" s="48">
        <f>VLOOKUP(Q8,'list rate unit'!$B$3:$K$41,10,FALSE)</f>
        <v>460000</v>
      </c>
      <c r="H8" s="43">
        <f t="shared" ref="H8:H31" si="0">IF(E8=0,0,G8*$D$38)</f>
        <v>96600000</v>
      </c>
      <c r="I8" s="41">
        <v>3121</v>
      </c>
      <c r="J8" s="43">
        <f t="shared" ref="J8:J31" si="1">I8*$D$37</f>
        <v>0</v>
      </c>
      <c r="K8" s="41">
        <f>IFERROR(I8/E8,0)</f>
        <v>1.1586465997935895</v>
      </c>
      <c r="L8" s="41">
        <f t="shared" ref="L8:L12" si="2">IFERROR(E8/F8,0)</f>
        <v>37.411944444444444</v>
      </c>
      <c r="M8" s="41">
        <f>I8/F8</f>
        <v>43.347222222222221</v>
      </c>
      <c r="N8" s="44">
        <f>H8+J8</f>
        <v>96600000</v>
      </c>
      <c r="O8" s="18"/>
      <c r="P8" s="40" t="s">
        <v>326</v>
      </c>
      <c r="Q8" s="40" t="s">
        <v>130</v>
      </c>
      <c r="R8" s="40" t="str">
        <f t="shared" ref="R8:R22" si="3">D8</f>
        <v>DT Hino 700 ZS 287</v>
      </c>
    </row>
    <row r="9" spans="2:18" x14ac:dyDescent="0.3">
      <c r="B9" s="40">
        <f t="shared" ref="B9:B31" si="4">ROW(B9)-7</f>
        <v>2</v>
      </c>
      <c r="C9" s="40"/>
      <c r="D9" s="40" t="s">
        <v>331</v>
      </c>
      <c r="E9" s="41">
        <v>1338.57</v>
      </c>
      <c r="F9" s="41">
        <v>35</v>
      </c>
      <c r="G9" s="48">
        <f>VLOOKUP(Q9,'list rate unit'!$B$3:$K$41,10,FALSE)</f>
        <v>460000</v>
      </c>
      <c r="H9" s="43">
        <f t="shared" si="0"/>
        <v>96600000</v>
      </c>
      <c r="I9" s="41">
        <v>1466</v>
      </c>
      <c r="J9" s="43">
        <f t="shared" si="1"/>
        <v>0</v>
      </c>
      <c r="K9" s="41">
        <f t="shared" ref="K9:K12" si="5">IFERROR(I9/E9,0)</f>
        <v>1.0951986074691649</v>
      </c>
      <c r="L9" s="41">
        <f t="shared" si="2"/>
        <v>38.244857142857143</v>
      </c>
      <c r="M9" s="41">
        <f t="shared" ref="M9:M12" si="6">I9/F9</f>
        <v>41.885714285714286</v>
      </c>
      <c r="N9" s="44">
        <f t="shared" ref="N9:N12" si="7">H9+J9</f>
        <v>96600000</v>
      </c>
      <c r="O9" s="18"/>
      <c r="P9" s="40" t="s">
        <v>326</v>
      </c>
      <c r="Q9" s="40" t="s">
        <v>130</v>
      </c>
      <c r="R9" s="40" t="str">
        <f t="shared" si="3"/>
        <v>DT Hino 700 ZS 292</v>
      </c>
    </row>
    <row r="10" spans="2:18" x14ac:dyDescent="0.3">
      <c r="B10" s="40">
        <f t="shared" si="4"/>
        <v>3</v>
      </c>
      <c r="C10" s="40"/>
      <c r="D10" s="40" t="s">
        <v>332</v>
      </c>
      <c r="E10" s="41">
        <v>3175.51</v>
      </c>
      <c r="F10" s="41">
        <v>84</v>
      </c>
      <c r="G10" s="48">
        <f>VLOOKUP(Q10,'list rate unit'!$B$3:$K$41,10,FALSE)</f>
        <v>460000</v>
      </c>
      <c r="H10" s="43">
        <f t="shared" si="0"/>
        <v>96600000</v>
      </c>
      <c r="I10" s="41">
        <v>3537</v>
      </c>
      <c r="J10" s="43">
        <f t="shared" si="1"/>
        <v>0</v>
      </c>
      <c r="K10" s="41">
        <f t="shared" si="5"/>
        <v>1.1138368325087937</v>
      </c>
      <c r="L10" s="41">
        <f t="shared" si="2"/>
        <v>37.803690476190482</v>
      </c>
      <c r="M10" s="41">
        <f t="shared" si="6"/>
        <v>42.107142857142854</v>
      </c>
      <c r="N10" s="44">
        <f t="shared" si="7"/>
        <v>96600000</v>
      </c>
      <c r="O10" s="18"/>
      <c r="P10" s="40" t="s">
        <v>326</v>
      </c>
      <c r="Q10" s="40" t="s">
        <v>130</v>
      </c>
      <c r="R10" s="40" t="str">
        <f t="shared" si="3"/>
        <v>DT Hino 700 ZS 293</v>
      </c>
    </row>
    <row r="11" spans="2:18" x14ac:dyDescent="0.3">
      <c r="B11" s="40">
        <f t="shared" si="4"/>
        <v>4</v>
      </c>
      <c r="C11" s="40"/>
      <c r="D11" s="40" t="s">
        <v>333</v>
      </c>
      <c r="E11" s="41">
        <v>2119.9399999999996</v>
      </c>
      <c r="F11" s="41">
        <v>56</v>
      </c>
      <c r="G11" s="48">
        <f>VLOOKUP(Q11,'list rate unit'!$B$3:$K$41,10,FALSE)</f>
        <v>460000</v>
      </c>
      <c r="H11" s="43">
        <f t="shared" si="0"/>
        <v>96600000</v>
      </c>
      <c r="I11" s="41">
        <v>2343</v>
      </c>
      <c r="J11" s="43">
        <f t="shared" si="1"/>
        <v>0</v>
      </c>
      <c r="K11" s="41">
        <f t="shared" si="5"/>
        <v>1.1052199590554452</v>
      </c>
      <c r="L11" s="41">
        <f t="shared" si="2"/>
        <v>37.856071428571418</v>
      </c>
      <c r="M11" s="41">
        <f t="shared" si="6"/>
        <v>41.839285714285715</v>
      </c>
      <c r="N11" s="44">
        <f t="shared" si="7"/>
        <v>96600000</v>
      </c>
      <c r="O11" s="18"/>
      <c r="P11" s="40" t="s">
        <v>326</v>
      </c>
      <c r="Q11" s="40" t="s">
        <v>130</v>
      </c>
      <c r="R11" s="40" t="str">
        <f t="shared" si="3"/>
        <v>DT Hino 700 ZS 294</v>
      </c>
    </row>
    <row r="12" spans="2:18" x14ac:dyDescent="0.3">
      <c r="B12" s="40">
        <f t="shared" si="4"/>
        <v>5</v>
      </c>
      <c r="C12" s="40"/>
      <c r="D12" s="40" t="s">
        <v>334</v>
      </c>
      <c r="E12" s="41">
        <v>3649.91</v>
      </c>
      <c r="F12" s="41">
        <v>97</v>
      </c>
      <c r="G12" s="48">
        <f>VLOOKUP(Q12,'list rate unit'!$B$3:$K$41,10,FALSE)</f>
        <v>460000</v>
      </c>
      <c r="H12" s="43">
        <f t="shared" si="0"/>
        <v>96600000</v>
      </c>
      <c r="I12" s="41">
        <v>3872</v>
      </c>
      <c r="J12" s="43">
        <f t="shared" si="1"/>
        <v>0</v>
      </c>
      <c r="K12" s="41">
        <f t="shared" si="5"/>
        <v>1.0608480757059764</v>
      </c>
      <c r="L12" s="41">
        <f t="shared" si="2"/>
        <v>37.627938144329896</v>
      </c>
      <c r="M12" s="41">
        <f t="shared" si="6"/>
        <v>39.917525773195877</v>
      </c>
      <c r="N12" s="44">
        <f t="shared" si="7"/>
        <v>96600000</v>
      </c>
      <c r="O12" s="18"/>
      <c r="P12" s="40" t="s">
        <v>326</v>
      </c>
      <c r="Q12" s="40" t="s">
        <v>130</v>
      </c>
      <c r="R12" s="40" t="str">
        <f t="shared" si="3"/>
        <v>DT Hino 700 ZS 295</v>
      </c>
    </row>
    <row r="13" spans="2:18" x14ac:dyDescent="0.3">
      <c r="B13" s="40">
        <f t="shared" si="4"/>
        <v>6</v>
      </c>
      <c r="C13" s="40"/>
      <c r="D13" s="40" t="s">
        <v>335</v>
      </c>
      <c r="E13" s="41">
        <v>2772.63</v>
      </c>
      <c r="F13" s="41">
        <v>74</v>
      </c>
      <c r="G13" s="48">
        <f>VLOOKUP(Q13,'list rate unit'!$B$3:$K$41,10,FALSE)</f>
        <v>460000</v>
      </c>
      <c r="H13" s="43">
        <f t="shared" si="0"/>
        <v>96600000</v>
      </c>
      <c r="I13" s="41">
        <v>3332</v>
      </c>
      <c r="J13" s="43">
        <f t="shared" si="1"/>
        <v>0</v>
      </c>
      <c r="K13" s="41">
        <f t="shared" ref="K13:K22" si="8">IFERROR(I13/E13,0)</f>
        <v>1.2017470776843646</v>
      </c>
      <c r="L13" s="41">
        <f t="shared" ref="L13:L22" si="9">IFERROR(E13/F13,0)</f>
        <v>37.467972972972973</v>
      </c>
      <c r="M13" s="41">
        <f t="shared" ref="M13:M22" si="10">I13/F13</f>
        <v>45.027027027027025</v>
      </c>
      <c r="N13" s="44">
        <f t="shared" ref="N13:N22" si="11">H13+J13</f>
        <v>96600000</v>
      </c>
      <c r="O13" s="18"/>
      <c r="P13" s="40" t="s">
        <v>326</v>
      </c>
      <c r="Q13" s="40" t="s">
        <v>130</v>
      </c>
      <c r="R13" s="40" t="str">
        <f t="shared" si="3"/>
        <v>DT Hino 700 ZS 296</v>
      </c>
    </row>
    <row r="14" spans="2:18" x14ac:dyDescent="0.3">
      <c r="B14" s="40">
        <f t="shared" si="4"/>
        <v>7</v>
      </c>
      <c r="C14" s="40"/>
      <c r="D14" s="40" t="s">
        <v>336</v>
      </c>
      <c r="E14" s="41">
        <v>3171.5599999999995</v>
      </c>
      <c r="F14" s="41">
        <v>86</v>
      </c>
      <c r="G14" s="48">
        <f>VLOOKUP(Q14,'list rate unit'!$B$3:$K$41,10,FALSE)</f>
        <v>460000</v>
      </c>
      <c r="H14" s="43">
        <f t="shared" si="0"/>
        <v>96600000</v>
      </c>
      <c r="I14" s="41">
        <v>3531</v>
      </c>
      <c r="J14" s="43">
        <f t="shared" si="1"/>
        <v>0</v>
      </c>
      <c r="K14" s="41">
        <f t="shared" si="8"/>
        <v>1.1133322402855379</v>
      </c>
      <c r="L14" s="41">
        <f t="shared" si="9"/>
        <v>36.878604651162782</v>
      </c>
      <c r="M14" s="41">
        <f t="shared" si="10"/>
        <v>41.058139534883722</v>
      </c>
      <c r="N14" s="44">
        <f t="shared" si="11"/>
        <v>96600000</v>
      </c>
      <c r="O14" s="18"/>
      <c r="P14" s="40" t="s">
        <v>326</v>
      </c>
      <c r="Q14" s="40" t="s">
        <v>130</v>
      </c>
      <c r="R14" s="40" t="str">
        <f t="shared" si="3"/>
        <v>DT Hino 700 ZS 297</v>
      </c>
    </row>
    <row r="15" spans="2:18" x14ac:dyDescent="0.3">
      <c r="B15" s="40">
        <f t="shared" si="4"/>
        <v>8</v>
      </c>
      <c r="C15" s="40"/>
      <c r="D15" s="40" t="s">
        <v>337</v>
      </c>
      <c r="E15" s="41">
        <v>1993.3600000000001</v>
      </c>
      <c r="F15" s="41">
        <v>54</v>
      </c>
      <c r="G15" s="48">
        <f>VLOOKUP(Q15,'list rate unit'!$B$3:$K$41,10,FALSE)</f>
        <v>460000</v>
      </c>
      <c r="H15" s="43">
        <f t="shared" si="0"/>
        <v>96600000</v>
      </c>
      <c r="I15" s="41">
        <v>2463</v>
      </c>
      <c r="J15" s="43">
        <f t="shared" si="1"/>
        <v>0</v>
      </c>
      <c r="K15" s="41">
        <f t="shared" si="8"/>
        <v>1.2356021993016815</v>
      </c>
      <c r="L15" s="41">
        <f t="shared" si="9"/>
        <v>36.91407407407408</v>
      </c>
      <c r="M15" s="41">
        <f t="shared" si="10"/>
        <v>45.611111111111114</v>
      </c>
      <c r="N15" s="44">
        <f t="shared" si="11"/>
        <v>96600000</v>
      </c>
      <c r="O15" s="18"/>
      <c r="P15" s="40" t="s">
        <v>326</v>
      </c>
      <c r="Q15" s="40" t="s">
        <v>130</v>
      </c>
      <c r="R15" s="40" t="str">
        <f t="shared" si="3"/>
        <v>DT Hino 700 ZS 301</v>
      </c>
    </row>
    <row r="16" spans="2:18" x14ac:dyDescent="0.3">
      <c r="B16" s="40">
        <f t="shared" si="4"/>
        <v>9</v>
      </c>
      <c r="C16" s="40"/>
      <c r="D16" s="40" t="s">
        <v>338</v>
      </c>
      <c r="E16" s="41">
        <v>3297.62</v>
      </c>
      <c r="F16" s="41">
        <v>87</v>
      </c>
      <c r="G16" s="48">
        <f>VLOOKUP(Q16,'list rate unit'!$B$3:$K$41,10,FALSE)</f>
        <v>460000</v>
      </c>
      <c r="H16" s="43">
        <f t="shared" si="0"/>
        <v>96600000</v>
      </c>
      <c r="I16" s="41">
        <v>3649</v>
      </c>
      <c r="J16" s="43">
        <f t="shared" si="1"/>
        <v>0</v>
      </c>
      <c r="K16" s="41">
        <f t="shared" si="8"/>
        <v>1.1065556370958449</v>
      </c>
      <c r="L16" s="41">
        <f t="shared" si="9"/>
        <v>37.90367816091954</v>
      </c>
      <c r="M16" s="41">
        <f t="shared" si="10"/>
        <v>41.942528735632187</v>
      </c>
      <c r="N16" s="44">
        <f t="shared" si="11"/>
        <v>96600000</v>
      </c>
      <c r="O16" s="18"/>
      <c r="P16" s="40" t="s">
        <v>326</v>
      </c>
      <c r="Q16" s="40" t="s">
        <v>130</v>
      </c>
      <c r="R16" s="40" t="str">
        <f t="shared" si="3"/>
        <v>DT Hino 700 ZS 302</v>
      </c>
    </row>
    <row r="17" spans="2:18" x14ac:dyDescent="0.3">
      <c r="B17" s="40">
        <f t="shared" si="4"/>
        <v>10</v>
      </c>
      <c r="C17" s="40"/>
      <c r="D17" s="40" t="s">
        <v>339</v>
      </c>
      <c r="E17" s="41">
        <v>3296.2899999999995</v>
      </c>
      <c r="F17" s="41">
        <v>87</v>
      </c>
      <c r="G17" s="48">
        <f>VLOOKUP(Q17,'list rate unit'!$B$3:$K$41,10,FALSE)</f>
        <v>460000</v>
      </c>
      <c r="H17" s="43">
        <f t="shared" si="0"/>
        <v>96600000</v>
      </c>
      <c r="I17" s="41">
        <v>3528</v>
      </c>
      <c r="J17" s="43">
        <f t="shared" si="1"/>
        <v>0</v>
      </c>
      <c r="K17" s="41">
        <f t="shared" si="8"/>
        <v>1.0702941792136009</v>
      </c>
      <c r="L17" s="41">
        <f t="shared" si="9"/>
        <v>37.888390804597698</v>
      </c>
      <c r="M17" s="41">
        <f t="shared" si="10"/>
        <v>40.551724137931032</v>
      </c>
      <c r="N17" s="44">
        <f t="shared" si="11"/>
        <v>96600000</v>
      </c>
      <c r="O17" s="18"/>
      <c r="P17" s="40" t="s">
        <v>326</v>
      </c>
      <c r="Q17" s="40" t="s">
        <v>130</v>
      </c>
      <c r="R17" s="40" t="str">
        <f t="shared" si="3"/>
        <v>DT Hino 700 ZS 308</v>
      </c>
    </row>
    <row r="18" spans="2:18" x14ac:dyDescent="0.3">
      <c r="B18" s="40">
        <f t="shared" si="4"/>
        <v>11</v>
      </c>
      <c r="C18" s="40"/>
      <c r="D18" s="40" t="s">
        <v>340</v>
      </c>
      <c r="E18" s="41">
        <v>4222.3999999999996</v>
      </c>
      <c r="F18" s="41">
        <v>85</v>
      </c>
      <c r="G18" s="48">
        <f>VLOOKUP(Q18,'list rate unit'!$B$3:$K$41,10,FALSE)</f>
        <v>500000</v>
      </c>
      <c r="H18" s="43">
        <f t="shared" si="0"/>
        <v>105000000</v>
      </c>
      <c r="I18" s="41">
        <v>3918</v>
      </c>
      <c r="J18" s="43">
        <f t="shared" si="1"/>
        <v>0</v>
      </c>
      <c r="K18" s="41">
        <f t="shared" si="8"/>
        <v>0.92790829859795387</v>
      </c>
      <c r="L18" s="41">
        <f t="shared" si="9"/>
        <v>49.675294117647056</v>
      </c>
      <c r="M18" s="41">
        <f t="shared" si="10"/>
        <v>46.094117647058823</v>
      </c>
      <c r="N18" s="44">
        <f t="shared" si="11"/>
        <v>105000000</v>
      </c>
      <c r="O18" s="18"/>
      <c r="P18" s="40" t="s">
        <v>326</v>
      </c>
      <c r="Q18" s="40" t="s">
        <v>149</v>
      </c>
      <c r="R18" s="40" t="str">
        <f t="shared" si="3"/>
        <v>DT Hino 700 ZY 310</v>
      </c>
    </row>
    <row r="19" spans="2:18" x14ac:dyDescent="0.3">
      <c r="B19" s="40">
        <f t="shared" si="4"/>
        <v>12</v>
      </c>
      <c r="C19" s="40"/>
      <c r="D19" s="40" t="s">
        <v>341</v>
      </c>
      <c r="E19" s="41">
        <v>4716.0000000000009</v>
      </c>
      <c r="F19" s="41">
        <v>93</v>
      </c>
      <c r="G19" s="48">
        <f>VLOOKUP(Q19,'list rate unit'!$B$3:$K$41,10,FALSE)</f>
        <v>500000</v>
      </c>
      <c r="H19" s="43">
        <f t="shared" si="0"/>
        <v>105000000</v>
      </c>
      <c r="I19" s="41">
        <v>4242</v>
      </c>
      <c r="J19" s="43">
        <f t="shared" si="1"/>
        <v>0</v>
      </c>
      <c r="K19" s="41">
        <f t="shared" si="8"/>
        <v>0.89949109414758255</v>
      </c>
      <c r="L19" s="41">
        <f t="shared" si="9"/>
        <v>50.709677419354847</v>
      </c>
      <c r="M19" s="41">
        <f t="shared" si="10"/>
        <v>45.612903225806448</v>
      </c>
      <c r="N19" s="44">
        <f t="shared" si="11"/>
        <v>105000000</v>
      </c>
      <c r="O19" s="18"/>
      <c r="P19" s="40" t="s">
        <v>326</v>
      </c>
      <c r="Q19" s="40" t="s">
        <v>149</v>
      </c>
      <c r="R19" s="40" t="str">
        <f t="shared" si="3"/>
        <v>DT Hino 700 ZY 330</v>
      </c>
    </row>
    <row r="20" spans="2:18" x14ac:dyDescent="0.3">
      <c r="B20" s="40">
        <f t="shared" si="4"/>
        <v>13</v>
      </c>
      <c r="C20" s="40"/>
      <c r="D20" s="40" t="s">
        <v>342</v>
      </c>
      <c r="E20" s="41">
        <v>3646.98</v>
      </c>
      <c r="F20" s="41">
        <v>72</v>
      </c>
      <c r="G20" s="48">
        <f>VLOOKUP(Q20,'list rate unit'!$B$3:$K$41,10,FALSE)</f>
        <v>500000</v>
      </c>
      <c r="H20" s="43">
        <f t="shared" si="0"/>
        <v>105000000</v>
      </c>
      <c r="I20" s="41">
        <v>3451</v>
      </c>
      <c r="J20" s="43">
        <f t="shared" si="1"/>
        <v>0</v>
      </c>
      <c r="K20" s="41">
        <f t="shared" si="8"/>
        <v>0.94626238696126663</v>
      </c>
      <c r="L20" s="41">
        <f t="shared" si="9"/>
        <v>50.652500000000003</v>
      </c>
      <c r="M20" s="41">
        <f t="shared" si="10"/>
        <v>47.930555555555557</v>
      </c>
      <c r="N20" s="44">
        <f t="shared" si="11"/>
        <v>105000000</v>
      </c>
      <c r="O20" s="18"/>
      <c r="P20" s="40" t="s">
        <v>326</v>
      </c>
      <c r="Q20" s="40" t="s">
        <v>149</v>
      </c>
      <c r="R20" s="40" t="str">
        <f t="shared" si="3"/>
        <v>DT Hino 700 ZY 347</v>
      </c>
    </row>
    <row r="21" spans="2:18" x14ac:dyDescent="0.3">
      <c r="B21" s="40">
        <f t="shared" si="4"/>
        <v>14</v>
      </c>
      <c r="C21" s="40"/>
      <c r="D21" s="40" t="s">
        <v>355</v>
      </c>
      <c r="E21" s="41">
        <v>4014.7799999999997</v>
      </c>
      <c r="F21" s="41">
        <v>81</v>
      </c>
      <c r="G21" s="48">
        <f>VLOOKUP(Q21,'list rate unit'!$B$3:$K$41,10,FALSE)</f>
        <v>500000</v>
      </c>
      <c r="H21" s="43">
        <f t="shared" si="0"/>
        <v>105000000</v>
      </c>
      <c r="I21" s="41">
        <v>4343</v>
      </c>
      <c r="J21" s="43">
        <f t="shared" si="1"/>
        <v>0</v>
      </c>
      <c r="K21" s="41">
        <f t="shared" si="8"/>
        <v>1.0817529229497009</v>
      </c>
      <c r="L21" s="41">
        <f t="shared" si="9"/>
        <v>49.565185185185179</v>
      </c>
      <c r="M21" s="41">
        <f t="shared" si="10"/>
        <v>53.617283950617285</v>
      </c>
      <c r="N21" s="44">
        <f t="shared" si="11"/>
        <v>105000000</v>
      </c>
      <c r="O21" s="18"/>
      <c r="P21" s="40" t="s">
        <v>326</v>
      </c>
      <c r="Q21" s="40" t="s">
        <v>149</v>
      </c>
      <c r="R21" s="40" t="str">
        <f t="shared" si="3"/>
        <v>DT Hino 700 ZY 365</v>
      </c>
    </row>
    <row r="22" spans="2:18" x14ac:dyDescent="0.3">
      <c r="B22" s="40">
        <f t="shared" si="4"/>
        <v>15</v>
      </c>
      <c r="C22" s="40"/>
      <c r="D22" s="40" t="s">
        <v>343</v>
      </c>
      <c r="E22" s="41">
        <v>4854.99</v>
      </c>
      <c r="F22" s="41">
        <v>98</v>
      </c>
      <c r="G22" s="48">
        <f>VLOOKUP(Q22,'list rate unit'!$B$3:$K$41,10,FALSE)</f>
        <v>500000</v>
      </c>
      <c r="H22" s="43">
        <f t="shared" si="0"/>
        <v>105000000</v>
      </c>
      <c r="I22" s="41">
        <v>4795</v>
      </c>
      <c r="J22" s="43">
        <f t="shared" si="1"/>
        <v>0</v>
      </c>
      <c r="K22" s="41">
        <f t="shared" si="8"/>
        <v>0.98764364087258683</v>
      </c>
      <c r="L22" s="41">
        <f t="shared" si="9"/>
        <v>49.54071428571428</v>
      </c>
      <c r="M22" s="41">
        <f t="shared" si="10"/>
        <v>48.928571428571431</v>
      </c>
      <c r="N22" s="44">
        <f t="shared" si="11"/>
        <v>105000000</v>
      </c>
      <c r="O22" s="18"/>
      <c r="P22" s="40" t="s">
        <v>326</v>
      </c>
      <c r="Q22" s="40" t="s">
        <v>149</v>
      </c>
      <c r="R22" s="40" t="str">
        <f t="shared" si="3"/>
        <v>DT Hino 700 ZY 378</v>
      </c>
    </row>
    <row r="23" spans="2:18" x14ac:dyDescent="0.3">
      <c r="B23" s="40">
        <f t="shared" si="4"/>
        <v>16</v>
      </c>
      <c r="C23" s="40"/>
      <c r="D23" s="40" t="s">
        <v>344</v>
      </c>
      <c r="E23" s="41">
        <v>4888.7</v>
      </c>
      <c r="F23" s="41">
        <v>100</v>
      </c>
      <c r="G23" s="48">
        <f>VLOOKUP(Q23,'list rate unit'!$B$3:$K$41,10,FALSE)</f>
        <v>500000</v>
      </c>
      <c r="H23" s="43">
        <f t="shared" ref="H23:H24" si="12">IF(E23=0,0,G23*$D$38)</f>
        <v>105000000</v>
      </c>
      <c r="I23" s="41">
        <v>4519</v>
      </c>
      <c r="J23" s="43">
        <f t="shared" ref="J23:J24" si="13">I23*$D$37</f>
        <v>0</v>
      </c>
      <c r="K23" s="41">
        <f t="shared" ref="K23:K24" si="14">IFERROR(I23/E23,0)</f>
        <v>0.92437662364227713</v>
      </c>
      <c r="L23" s="41">
        <f t="shared" ref="L23:L24" si="15">IFERROR(E23/F23,0)</f>
        <v>48.887</v>
      </c>
      <c r="M23" s="41">
        <f t="shared" ref="M23:M24" si="16">I23/F23</f>
        <v>45.19</v>
      </c>
      <c r="N23" s="44">
        <f t="shared" ref="N23:N24" si="17">H23+J23</f>
        <v>105000000</v>
      </c>
      <c r="O23" s="18"/>
      <c r="P23" s="40" t="s">
        <v>326</v>
      </c>
      <c r="Q23" s="40" t="s">
        <v>149</v>
      </c>
      <c r="R23" s="40" t="str">
        <f t="shared" ref="R23:R24" si="18">D23</f>
        <v>DT Hino 700 ZY 382</v>
      </c>
    </row>
    <row r="24" spans="2:18" x14ac:dyDescent="0.3">
      <c r="B24" s="40">
        <f t="shared" si="4"/>
        <v>17</v>
      </c>
      <c r="C24" s="40"/>
      <c r="D24" s="40" t="s">
        <v>356</v>
      </c>
      <c r="E24" s="41">
        <v>3945.6200000000003</v>
      </c>
      <c r="F24" s="41">
        <v>80</v>
      </c>
      <c r="G24" s="48">
        <f>VLOOKUP(Q24,'list rate unit'!$B$3:$K$41,10,FALSE)</f>
        <v>500000</v>
      </c>
      <c r="H24" s="43">
        <f t="shared" si="12"/>
        <v>105000000</v>
      </c>
      <c r="I24" s="41">
        <v>3790</v>
      </c>
      <c r="J24" s="43">
        <f t="shared" si="13"/>
        <v>0</v>
      </c>
      <c r="K24" s="41">
        <f t="shared" si="14"/>
        <v>0.96055879684308165</v>
      </c>
      <c r="L24" s="41">
        <f t="shared" si="15"/>
        <v>49.320250000000001</v>
      </c>
      <c r="M24" s="41">
        <f t="shared" si="16"/>
        <v>47.375</v>
      </c>
      <c r="N24" s="44">
        <f t="shared" si="17"/>
        <v>105000000</v>
      </c>
      <c r="O24" s="18"/>
      <c r="P24" s="40" t="s">
        <v>326</v>
      </c>
      <c r="Q24" s="40" t="s">
        <v>149</v>
      </c>
      <c r="R24" s="40" t="str">
        <f t="shared" si="18"/>
        <v>DT Hino 700 ZY 384</v>
      </c>
    </row>
    <row r="25" spans="2:18" x14ac:dyDescent="0.3">
      <c r="B25" s="40">
        <f t="shared" si="4"/>
        <v>18</v>
      </c>
      <c r="C25" s="40"/>
      <c r="D25" s="40" t="s">
        <v>345</v>
      </c>
      <c r="E25" s="41">
        <v>4532.57</v>
      </c>
      <c r="F25" s="41">
        <v>91</v>
      </c>
      <c r="G25" s="48">
        <f>VLOOKUP(Q25,'list rate unit'!$B$3:$K$41,10,FALSE)</f>
        <v>500000</v>
      </c>
      <c r="H25" s="43">
        <f t="shared" si="0"/>
        <v>105000000</v>
      </c>
      <c r="I25" s="41">
        <v>4210</v>
      </c>
      <c r="J25" s="43">
        <f t="shared" si="1"/>
        <v>0</v>
      </c>
      <c r="K25" s="41">
        <f t="shared" ref="K25:K31" si="19">IFERROR(I25/E25,0)</f>
        <v>0.92883286965231648</v>
      </c>
      <c r="L25" s="41">
        <f t="shared" ref="L25:L31" si="20">IFERROR(E25/F25,0)</f>
        <v>49.808461538461536</v>
      </c>
      <c r="M25" s="41">
        <f t="shared" ref="M25:M31" si="21">I25/F25</f>
        <v>46.263736263736263</v>
      </c>
      <c r="N25" s="44">
        <f t="shared" ref="N25:N31" si="22">H25+J25</f>
        <v>105000000</v>
      </c>
      <c r="O25" s="18"/>
      <c r="P25" s="40" t="s">
        <v>326</v>
      </c>
      <c r="Q25" s="40" t="s">
        <v>149</v>
      </c>
      <c r="R25" s="40" t="str">
        <f t="shared" ref="R25:R31" si="23">D25</f>
        <v>DT Hino 700 ZY 393</v>
      </c>
    </row>
    <row r="26" spans="2:18" x14ac:dyDescent="0.3">
      <c r="B26" s="40">
        <f t="shared" si="4"/>
        <v>19</v>
      </c>
      <c r="C26" s="40"/>
      <c r="D26" s="40" t="s">
        <v>346</v>
      </c>
      <c r="E26" s="41">
        <v>5164.6000000000004</v>
      </c>
      <c r="F26" s="41">
        <v>91</v>
      </c>
      <c r="G26" s="48">
        <f>VLOOKUP(Q26,'list rate unit'!$B$3:$K$41,10,FALSE)</f>
        <v>500000</v>
      </c>
      <c r="H26" s="43">
        <f t="shared" si="0"/>
        <v>105000000</v>
      </c>
      <c r="I26" s="41">
        <v>4978</v>
      </c>
      <c r="J26" s="43">
        <f t="shared" si="1"/>
        <v>0</v>
      </c>
      <c r="K26" s="41">
        <f t="shared" si="19"/>
        <v>0.96386941873523602</v>
      </c>
      <c r="L26" s="41">
        <f t="shared" si="20"/>
        <v>56.753846153846155</v>
      </c>
      <c r="M26" s="41">
        <f t="shared" si="21"/>
        <v>54.703296703296701</v>
      </c>
      <c r="N26" s="44">
        <f t="shared" si="22"/>
        <v>105000000</v>
      </c>
      <c r="O26" s="18"/>
      <c r="P26" s="40" t="s">
        <v>326</v>
      </c>
      <c r="Q26" s="40" t="s">
        <v>328</v>
      </c>
      <c r="R26" s="40" t="str">
        <f t="shared" si="23"/>
        <v>DT Hongyan 395</v>
      </c>
    </row>
    <row r="27" spans="2:18" x14ac:dyDescent="0.3">
      <c r="B27" s="40">
        <f t="shared" si="4"/>
        <v>20</v>
      </c>
      <c r="C27" s="40"/>
      <c r="D27" s="40" t="s">
        <v>347</v>
      </c>
      <c r="E27" s="41">
        <v>4502.1499999999996</v>
      </c>
      <c r="F27" s="41">
        <v>81</v>
      </c>
      <c r="G27" s="48">
        <f>VLOOKUP(Q27,'list rate unit'!$B$3:$K$41,10,FALSE)</f>
        <v>500000</v>
      </c>
      <c r="H27" s="43">
        <f t="shared" si="0"/>
        <v>105000000</v>
      </c>
      <c r="I27" s="41">
        <v>3922</v>
      </c>
      <c r="J27" s="43">
        <f t="shared" si="1"/>
        <v>0</v>
      </c>
      <c r="K27" s="41">
        <f t="shared" si="19"/>
        <v>0.87113934453538877</v>
      </c>
      <c r="L27" s="41">
        <f t="shared" si="20"/>
        <v>55.582098765432093</v>
      </c>
      <c r="M27" s="41">
        <f t="shared" si="21"/>
        <v>48.419753086419753</v>
      </c>
      <c r="N27" s="44">
        <f t="shared" si="22"/>
        <v>105000000</v>
      </c>
      <c r="O27" s="18"/>
      <c r="P27" s="40" t="s">
        <v>326</v>
      </c>
      <c r="Q27" s="40" t="s">
        <v>328</v>
      </c>
      <c r="R27" s="40" t="str">
        <f t="shared" si="23"/>
        <v>DT Hongyan 396</v>
      </c>
    </row>
    <row r="28" spans="2:18" x14ac:dyDescent="0.3">
      <c r="B28" s="40">
        <f t="shared" si="4"/>
        <v>21</v>
      </c>
      <c r="C28" s="40"/>
      <c r="D28" s="40" t="s">
        <v>348</v>
      </c>
      <c r="E28" s="41">
        <v>5937.14</v>
      </c>
      <c r="F28" s="41">
        <v>105</v>
      </c>
      <c r="G28" s="48">
        <f>VLOOKUP(Q28,'list rate unit'!$B$3:$K$41,10,FALSE)</f>
        <v>500000</v>
      </c>
      <c r="H28" s="43">
        <f t="shared" si="0"/>
        <v>105000000</v>
      </c>
      <c r="I28" s="41">
        <v>5285</v>
      </c>
      <c r="J28" s="43">
        <f t="shared" si="1"/>
        <v>0</v>
      </c>
      <c r="K28" s="41">
        <f t="shared" si="19"/>
        <v>0.89015923491782234</v>
      </c>
      <c r="L28" s="41">
        <f t="shared" si="20"/>
        <v>56.544190476190479</v>
      </c>
      <c r="M28" s="41">
        <f t="shared" si="21"/>
        <v>50.333333333333336</v>
      </c>
      <c r="N28" s="44">
        <f t="shared" si="22"/>
        <v>105000000</v>
      </c>
      <c r="O28" s="18"/>
      <c r="P28" s="40" t="s">
        <v>326</v>
      </c>
      <c r="Q28" s="40" t="s">
        <v>328</v>
      </c>
      <c r="R28" s="40" t="str">
        <f t="shared" si="23"/>
        <v>DT Hongyan 397</v>
      </c>
    </row>
    <row r="29" spans="2:18" x14ac:dyDescent="0.3">
      <c r="B29" s="40">
        <f t="shared" si="4"/>
        <v>22</v>
      </c>
      <c r="C29" s="40"/>
      <c r="D29" s="40" t="s">
        <v>349</v>
      </c>
      <c r="E29" s="41">
        <v>5284.7199999999993</v>
      </c>
      <c r="F29" s="41">
        <v>94</v>
      </c>
      <c r="G29" s="48">
        <f>VLOOKUP(Q29,'list rate unit'!$B$3:$K$41,10,FALSE)</f>
        <v>500000</v>
      </c>
      <c r="H29" s="43">
        <f t="shared" si="0"/>
        <v>105000000</v>
      </c>
      <c r="I29" s="41">
        <v>5232</v>
      </c>
      <c r="J29" s="43">
        <f t="shared" si="1"/>
        <v>0</v>
      </c>
      <c r="K29" s="41">
        <f t="shared" si="19"/>
        <v>0.99002406939251286</v>
      </c>
      <c r="L29" s="41">
        <f t="shared" si="20"/>
        <v>56.220425531914884</v>
      </c>
      <c r="M29" s="41">
        <f t="shared" si="21"/>
        <v>55.659574468085104</v>
      </c>
      <c r="N29" s="44">
        <f t="shared" si="22"/>
        <v>105000000</v>
      </c>
      <c r="O29" s="18"/>
      <c r="P29" s="40" t="s">
        <v>326</v>
      </c>
      <c r="Q29" s="40" t="s">
        <v>328</v>
      </c>
      <c r="R29" s="40" t="str">
        <f t="shared" si="23"/>
        <v>DT Hongyan 398</v>
      </c>
    </row>
    <row r="30" spans="2:18" x14ac:dyDescent="0.3">
      <c r="B30" s="40">
        <f t="shared" si="4"/>
        <v>23</v>
      </c>
      <c r="C30" s="40"/>
      <c r="D30" s="40" t="s">
        <v>350</v>
      </c>
      <c r="E30" s="41">
        <v>5496.7199999999993</v>
      </c>
      <c r="F30" s="41">
        <v>97</v>
      </c>
      <c r="G30" s="48">
        <f>VLOOKUP(Q30,'list rate unit'!$B$3:$K$41,10,FALSE)</f>
        <v>500000</v>
      </c>
      <c r="H30" s="43">
        <f t="shared" si="0"/>
        <v>105000000</v>
      </c>
      <c r="I30" s="41">
        <v>5046</v>
      </c>
      <c r="J30" s="43">
        <f t="shared" si="1"/>
        <v>0</v>
      </c>
      <c r="K30" s="41">
        <f t="shared" si="19"/>
        <v>0.91800200847050617</v>
      </c>
      <c r="L30" s="41">
        <f t="shared" si="20"/>
        <v>56.667216494845356</v>
      </c>
      <c r="M30" s="41">
        <f t="shared" si="21"/>
        <v>52.020618556701031</v>
      </c>
      <c r="N30" s="44">
        <f t="shared" si="22"/>
        <v>105000000</v>
      </c>
      <c r="O30" s="18"/>
      <c r="P30" s="40" t="s">
        <v>326</v>
      </c>
      <c r="Q30" s="40" t="s">
        <v>328</v>
      </c>
      <c r="R30" s="40" t="str">
        <f t="shared" si="23"/>
        <v>DT Hongyan 399</v>
      </c>
    </row>
    <row r="31" spans="2:18" x14ac:dyDescent="0.3">
      <c r="B31" s="40">
        <f t="shared" si="4"/>
        <v>24</v>
      </c>
      <c r="C31" s="40"/>
      <c r="D31" s="40" t="s">
        <v>358</v>
      </c>
      <c r="E31" s="41">
        <v>4275.5399999999991</v>
      </c>
      <c r="F31" s="41">
        <v>77</v>
      </c>
      <c r="G31" s="48">
        <f>VLOOKUP(Q31,'list rate unit'!$B$3:$K$41,10,FALSE)</f>
        <v>500000</v>
      </c>
      <c r="H31" s="43">
        <f t="shared" si="0"/>
        <v>105000000</v>
      </c>
      <c r="I31" s="41">
        <v>4202</v>
      </c>
      <c r="J31" s="43">
        <f t="shared" si="1"/>
        <v>0</v>
      </c>
      <c r="K31" s="41">
        <f t="shared" si="19"/>
        <v>0.98279983347132782</v>
      </c>
      <c r="L31" s="41">
        <f t="shared" si="20"/>
        <v>55.526493506493495</v>
      </c>
      <c r="M31" s="41">
        <f t="shared" si="21"/>
        <v>54.571428571428569</v>
      </c>
      <c r="N31" s="44">
        <f t="shared" si="22"/>
        <v>105000000</v>
      </c>
      <c r="O31" s="18"/>
      <c r="P31" s="40" t="s">
        <v>326</v>
      </c>
      <c r="Q31" s="40" t="s">
        <v>328</v>
      </c>
      <c r="R31" s="40" t="str">
        <f t="shared" si="23"/>
        <v>DT Hongyan 516</v>
      </c>
    </row>
    <row r="32" spans="2:18" x14ac:dyDescent="0.3">
      <c r="E32" s="18"/>
      <c r="F32" s="18"/>
      <c r="I32" s="18"/>
      <c r="J32" s="30"/>
      <c r="K32" s="18"/>
      <c r="L32" s="18"/>
      <c r="M32" s="18"/>
      <c r="N32" s="33"/>
      <c r="O32" s="18"/>
    </row>
    <row r="33" spans="2:15" ht="15.75" customHeight="1" x14ac:dyDescent="0.3">
      <c r="B33" s="191" t="s">
        <v>21</v>
      </c>
      <c r="C33" s="191"/>
      <c r="D33" s="191"/>
      <c r="E33" s="45">
        <f>SUM(E8:E32)</f>
        <v>92991.959999999992</v>
      </c>
      <c r="F33" s="45">
        <f>SUM(F8:F32)</f>
        <v>1977</v>
      </c>
      <c r="G33" s="49"/>
      <c r="H33" s="50">
        <f>SUM(H8:H32)</f>
        <v>2436000000</v>
      </c>
      <c r="I33" s="45">
        <f>SUM(I8:I32)</f>
        <v>92775</v>
      </c>
      <c r="J33" s="46">
        <f>SUM(J8:J32)</f>
        <v>0</v>
      </c>
      <c r="K33" s="45">
        <f>IFERROR(I33/E33,0)</f>
        <v>0.9976668950735097</v>
      </c>
      <c r="L33" s="45">
        <f>IFERROR(E33/F33,0)</f>
        <v>47.036904400606979</v>
      </c>
      <c r="M33" s="45">
        <f>IFERROR(I33/F33,0)</f>
        <v>46.927162367223062</v>
      </c>
      <c r="N33" s="47">
        <f>SUM(N8:N32)</f>
        <v>2436000000</v>
      </c>
      <c r="O33" s="17"/>
    </row>
    <row r="35" spans="2:15" x14ac:dyDescent="0.3">
      <c r="B35" s="28"/>
      <c r="C35" s="28"/>
      <c r="D35" s="15" t="s">
        <v>58</v>
      </c>
      <c r="M35" s="18"/>
      <c r="N35" s="18"/>
      <c r="O35" s="18"/>
    </row>
    <row r="36" spans="2:15" x14ac:dyDescent="0.3">
      <c r="B36" s="190" t="s">
        <v>34</v>
      </c>
      <c r="C36" s="190"/>
      <c r="D36" s="29">
        <f>'REPORT unit OB'!D20</f>
        <v>14848</v>
      </c>
      <c r="E36" s="30"/>
    </row>
    <row r="37" spans="2:15" x14ac:dyDescent="0.3">
      <c r="B37" s="190" t="s">
        <v>35</v>
      </c>
      <c r="C37" s="190"/>
      <c r="D37" s="29">
        <f>SUMMARY!$J$13</f>
        <v>0</v>
      </c>
      <c r="E37" s="30"/>
    </row>
    <row r="38" spans="2:15" x14ac:dyDescent="0.3">
      <c r="B38" s="190" t="s">
        <v>50</v>
      </c>
      <c r="C38" s="190"/>
      <c r="D38" s="34">
        <v>210</v>
      </c>
      <c r="E38" s="29" t="s">
        <v>51</v>
      </c>
    </row>
    <row r="39" spans="2:15" x14ac:dyDescent="0.3">
      <c r="E39" s="18"/>
    </row>
    <row r="42" spans="2:15" x14ac:dyDescent="0.3">
      <c r="E42" s="18"/>
    </row>
    <row r="44" spans="2:15" x14ac:dyDescent="0.3">
      <c r="F44" s="18"/>
    </row>
    <row r="45" spans="2:15" x14ac:dyDescent="0.3">
      <c r="F45" s="18"/>
    </row>
    <row r="46" spans="2:15" x14ac:dyDescent="0.3">
      <c r="F46" s="18"/>
    </row>
    <row r="47" spans="2:15" x14ac:dyDescent="0.3">
      <c r="F47" s="18"/>
    </row>
    <row r="48" spans="2:15" x14ac:dyDescent="0.3">
      <c r="F48" s="18"/>
    </row>
    <row r="49" spans="6:6" x14ac:dyDescent="0.3">
      <c r="F49" s="18"/>
    </row>
    <row r="50" spans="6:6" x14ac:dyDescent="0.3">
      <c r="F50" s="18"/>
    </row>
    <row r="51" spans="6:6" x14ac:dyDescent="0.3">
      <c r="F51" s="18"/>
    </row>
    <row r="52" spans="6:6" x14ac:dyDescent="0.3">
      <c r="F52" s="18"/>
    </row>
    <row r="53" spans="6:6" x14ac:dyDescent="0.3">
      <c r="F53" s="18"/>
    </row>
    <row r="54" spans="6:6" x14ac:dyDescent="0.3">
      <c r="F54" s="18"/>
    </row>
    <row r="55" spans="6:6" x14ac:dyDescent="0.3">
      <c r="F55" s="18"/>
    </row>
    <row r="56" spans="6:6" x14ac:dyDescent="0.3">
      <c r="F56" s="18"/>
    </row>
    <row r="57" spans="6:6" x14ac:dyDescent="0.3">
      <c r="F57" s="18"/>
    </row>
    <row r="58" spans="6:6" x14ac:dyDescent="0.3">
      <c r="F58" s="18"/>
    </row>
    <row r="59" spans="6:6" x14ac:dyDescent="0.3">
      <c r="F59" s="18"/>
    </row>
    <row r="60" spans="6:6" x14ac:dyDescent="0.3">
      <c r="F60" s="18"/>
    </row>
    <row r="61" spans="6:6" x14ac:dyDescent="0.3">
      <c r="F61" s="18"/>
    </row>
    <row r="62" spans="6:6" x14ac:dyDescent="0.3">
      <c r="F62" s="18"/>
    </row>
    <row r="63" spans="6:6" x14ac:dyDescent="0.3">
      <c r="F63" s="18"/>
    </row>
    <row r="64" spans="6:6" x14ac:dyDescent="0.3">
      <c r="F64" s="18"/>
    </row>
    <row r="65" spans="6:6" x14ac:dyDescent="0.3">
      <c r="F65" s="18"/>
    </row>
    <row r="66" spans="6:6" x14ac:dyDescent="0.3">
      <c r="F66" s="18"/>
    </row>
    <row r="67" spans="6:6" x14ac:dyDescent="0.3">
      <c r="F67" s="18"/>
    </row>
    <row r="68" spans="6:6" x14ac:dyDescent="0.3">
      <c r="F68" s="18"/>
    </row>
    <row r="69" spans="6:6" x14ac:dyDescent="0.3">
      <c r="F69" s="18"/>
    </row>
    <row r="70" spans="6:6" x14ac:dyDescent="0.3">
      <c r="F70" s="18"/>
    </row>
    <row r="71" spans="6:6" x14ac:dyDescent="0.3">
      <c r="F71" s="18"/>
    </row>
    <row r="72" spans="6:6" x14ac:dyDescent="0.3">
      <c r="F72" s="18"/>
    </row>
    <row r="73" spans="6:6" x14ac:dyDescent="0.3">
      <c r="F73" s="18"/>
    </row>
    <row r="74" spans="6:6" x14ac:dyDescent="0.3">
      <c r="F74" s="18"/>
    </row>
    <row r="75" spans="6:6" x14ac:dyDescent="0.3">
      <c r="F75" s="18"/>
    </row>
    <row r="76" spans="6:6" x14ac:dyDescent="0.3">
      <c r="F76" s="18"/>
    </row>
    <row r="77" spans="6:6" x14ac:dyDescent="0.3">
      <c r="F77" s="18"/>
    </row>
    <row r="78" spans="6:6" x14ac:dyDescent="0.3">
      <c r="F78" s="18"/>
    </row>
    <row r="79" spans="6:6" x14ac:dyDescent="0.3">
      <c r="F79" s="18"/>
    </row>
    <row r="80" spans="6:6" x14ac:dyDescent="0.3">
      <c r="F80" s="18"/>
    </row>
    <row r="81" spans="6:6" x14ac:dyDescent="0.3">
      <c r="F81" s="18"/>
    </row>
    <row r="82" spans="6:6" x14ac:dyDescent="0.3">
      <c r="F82" s="18"/>
    </row>
    <row r="83" spans="6:6" x14ac:dyDescent="0.3">
      <c r="F83" s="18"/>
    </row>
    <row r="84" spans="6:6" x14ac:dyDescent="0.3">
      <c r="F84" s="18"/>
    </row>
    <row r="85" spans="6:6" x14ac:dyDescent="0.3">
      <c r="F85" s="18"/>
    </row>
    <row r="86" spans="6:6" x14ac:dyDescent="0.3">
      <c r="F86" s="18"/>
    </row>
    <row r="87" spans="6:6" x14ac:dyDescent="0.3">
      <c r="F87" s="18"/>
    </row>
    <row r="88" spans="6:6" x14ac:dyDescent="0.3">
      <c r="F88" s="18"/>
    </row>
    <row r="89" spans="6:6" x14ac:dyDescent="0.3">
      <c r="F89" s="18"/>
    </row>
    <row r="90" spans="6:6" x14ac:dyDescent="0.3">
      <c r="F90" s="18"/>
    </row>
    <row r="91" spans="6:6" x14ac:dyDescent="0.3">
      <c r="F91" s="18"/>
    </row>
    <row r="92" spans="6:6" x14ac:dyDescent="0.3">
      <c r="F92" s="18"/>
    </row>
    <row r="93" spans="6:6" x14ac:dyDescent="0.3">
      <c r="F93" s="18"/>
    </row>
    <row r="94" spans="6:6" x14ac:dyDescent="0.3">
      <c r="F94" s="18"/>
    </row>
    <row r="95" spans="6:6" x14ac:dyDescent="0.3">
      <c r="F95" s="18"/>
    </row>
    <row r="96" spans="6:6" x14ac:dyDescent="0.3">
      <c r="F96" s="18"/>
    </row>
    <row r="97" spans="6:6" x14ac:dyDescent="0.3">
      <c r="F97" s="18"/>
    </row>
    <row r="98" spans="6:6" x14ac:dyDescent="0.3">
      <c r="F98" s="18"/>
    </row>
    <row r="99" spans="6:6" x14ac:dyDescent="0.3">
      <c r="F99" s="18"/>
    </row>
    <row r="100" spans="6:6" x14ac:dyDescent="0.3">
      <c r="F100" s="18"/>
    </row>
    <row r="101" spans="6:6" x14ac:dyDescent="0.3">
      <c r="F101" s="18"/>
    </row>
    <row r="102" spans="6:6" x14ac:dyDescent="0.3">
      <c r="F102" s="18"/>
    </row>
    <row r="103" spans="6:6" x14ac:dyDescent="0.3">
      <c r="F103" s="18"/>
    </row>
    <row r="104" spans="6:6" x14ac:dyDescent="0.3">
      <c r="F104" s="18"/>
    </row>
    <row r="105" spans="6:6" x14ac:dyDescent="0.3">
      <c r="F105" s="18"/>
    </row>
    <row r="106" spans="6:6" x14ac:dyDescent="0.3">
      <c r="F106" s="18"/>
    </row>
    <row r="107" spans="6:6" x14ac:dyDescent="0.3">
      <c r="F107" s="18"/>
    </row>
    <row r="108" spans="6:6" x14ac:dyDescent="0.3">
      <c r="F108" s="18"/>
    </row>
    <row r="109" spans="6:6" x14ac:dyDescent="0.3">
      <c r="F109" s="18"/>
    </row>
    <row r="110" spans="6:6" x14ac:dyDescent="0.3">
      <c r="F110" s="18"/>
    </row>
    <row r="111" spans="6:6" x14ac:dyDescent="0.3">
      <c r="F111" s="18"/>
    </row>
    <row r="112" spans="6:6" x14ac:dyDescent="0.3">
      <c r="F112" s="18"/>
    </row>
    <row r="113" spans="6:6" x14ac:dyDescent="0.3">
      <c r="F113" s="18"/>
    </row>
    <row r="114" spans="6:6" x14ac:dyDescent="0.3">
      <c r="F114" s="18"/>
    </row>
    <row r="115" spans="6:6" x14ac:dyDescent="0.3">
      <c r="F115" s="18"/>
    </row>
    <row r="116" spans="6:6" x14ac:dyDescent="0.3">
      <c r="F116" s="18"/>
    </row>
    <row r="117" spans="6:6" x14ac:dyDescent="0.3">
      <c r="F117" s="18"/>
    </row>
    <row r="118" spans="6:6" x14ac:dyDescent="0.3">
      <c r="F118" s="18"/>
    </row>
    <row r="119" spans="6:6" x14ac:dyDescent="0.3">
      <c r="F119" s="18"/>
    </row>
    <row r="120" spans="6:6" x14ac:dyDescent="0.3">
      <c r="F120" s="18"/>
    </row>
    <row r="121" spans="6:6" x14ac:dyDescent="0.3">
      <c r="F121" s="18"/>
    </row>
    <row r="122" spans="6:6" x14ac:dyDescent="0.3">
      <c r="F122" s="18"/>
    </row>
    <row r="123" spans="6:6" x14ac:dyDescent="0.3">
      <c r="F123" s="18"/>
    </row>
    <row r="124" spans="6:6" x14ac:dyDescent="0.3">
      <c r="F124" s="18"/>
    </row>
    <row r="125" spans="6:6" x14ac:dyDescent="0.3">
      <c r="F125" s="18"/>
    </row>
  </sheetData>
  <autoFilter ref="B7:R31" xr:uid="{00000000-0009-0000-0000-000004000000}">
    <filterColumn colId="15" showButton="0"/>
  </autoFilter>
  <mergeCells count="18">
    <mergeCell ref="B36:C36"/>
    <mergeCell ref="B37:C37"/>
    <mergeCell ref="B38:C38"/>
    <mergeCell ref="B2:D3"/>
    <mergeCell ref="B33:D33"/>
    <mergeCell ref="G5:H5"/>
    <mergeCell ref="H6:H7"/>
    <mergeCell ref="Q5:R7"/>
    <mergeCell ref="J6:J7"/>
    <mergeCell ref="B5:B7"/>
    <mergeCell ref="D5:D7"/>
    <mergeCell ref="E5:F5"/>
    <mergeCell ref="I5:J5"/>
    <mergeCell ref="P5:P7"/>
    <mergeCell ref="E6:F6"/>
    <mergeCell ref="K5:M6"/>
    <mergeCell ref="N5:N7"/>
    <mergeCell ref="C5:C7"/>
  </mergeCells>
  <phoneticPr fontId="14" type="noConversion"/>
  <conditionalFormatting sqref="D8:D31">
    <cfRule type="duplicateValues" dxfId="1" priority="52"/>
  </conditionalFormatting>
  <conditionalFormatting sqref="K8:K31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unit'!$B$6:$B$27</xm:f>
          </x14:formula1>
          <xm:sqref>Q1:Q1048576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M14"/>
  <sheetViews>
    <sheetView workbookViewId="0">
      <pane xSplit="4" ySplit="7" topLeftCell="E8" activePane="bottomRight" state="frozenSplit"/>
      <selection pane="topRight" activeCell="C1" sqref="C1"/>
      <selection pane="bottomLeft" activeCell="A7" sqref="A7"/>
      <selection pane="bottomRight" activeCell="F18" sqref="F1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5.109375" style="15" bestFit="1" customWidth="1"/>
    <col min="5" max="5" width="19.5546875" style="15" customWidth="1"/>
    <col min="6" max="6" width="12.6640625" style="15" customWidth="1"/>
    <col min="7" max="7" width="18.6640625" style="15" customWidth="1"/>
    <col min="8" max="8" width="11" style="15" customWidth="1"/>
    <col min="9" max="9" width="20.77734375" style="15" customWidth="1"/>
    <col min="10" max="10" width="11" style="15" customWidth="1"/>
    <col min="11" max="11" width="18.5546875" style="15" customWidth="1"/>
    <col min="12" max="12" width="16.44140625" style="15" bestFit="1" customWidth="1"/>
    <col min="13" max="13" width="25.109375" style="15" bestFit="1" customWidth="1"/>
    <col min="14" max="16384" width="9.109375" style="15"/>
  </cols>
  <sheetData>
    <row r="2" spans="2:13" x14ac:dyDescent="0.3">
      <c r="B2" s="193" t="s">
        <v>81</v>
      </c>
      <c r="C2" s="193"/>
      <c r="D2" s="193"/>
    </row>
    <row r="3" spans="2:13" x14ac:dyDescent="0.3">
      <c r="B3" s="193"/>
      <c r="C3" s="193"/>
      <c r="D3" s="193"/>
    </row>
    <row r="5" spans="2:13" ht="15" customHeight="1" x14ac:dyDescent="0.3">
      <c r="B5" s="192" t="s">
        <v>1</v>
      </c>
      <c r="C5" s="192" t="s">
        <v>351</v>
      </c>
      <c r="D5" s="192" t="s">
        <v>86</v>
      </c>
      <c r="E5" s="192" t="s">
        <v>89</v>
      </c>
      <c r="F5" s="196" t="s">
        <v>37</v>
      </c>
      <c r="G5" s="196"/>
      <c r="H5" s="192" t="s">
        <v>88</v>
      </c>
      <c r="I5" s="194" t="s">
        <v>80</v>
      </c>
      <c r="J5" s="31"/>
      <c r="K5" s="192" t="s">
        <v>47</v>
      </c>
      <c r="L5" s="192" t="s">
        <v>87</v>
      </c>
      <c r="M5" s="192"/>
    </row>
    <row r="6" spans="2:13" ht="15" customHeight="1" x14ac:dyDescent="0.3">
      <c r="B6" s="192"/>
      <c r="C6" s="192"/>
      <c r="D6" s="192"/>
      <c r="E6" s="192"/>
      <c r="F6" s="38" t="s">
        <v>27</v>
      </c>
      <c r="G6" s="192" t="s">
        <v>28</v>
      </c>
      <c r="H6" s="192"/>
      <c r="I6" s="194"/>
      <c r="J6" s="31"/>
      <c r="K6" s="192"/>
      <c r="L6" s="192"/>
      <c r="M6" s="192"/>
    </row>
    <row r="7" spans="2:13" x14ac:dyDescent="0.3">
      <c r="B7" s="192"/>
      <c r="C7" s="192"/>
      <c r="D7" s="192"/>
      <c r="E7" s="38" t="s">
        <v>45</v>
      </c>
      <c r="F7" s="38" t="s">
        <v>32</v>
      </c>
      <c r="G7" s="192"/>
      <c r="H7" s="38" t="s">
        <v>53</v>
      </c>
      <c r="I7" s="194"/>
      <c r="J7" s="31"/>
      <c r="K7" s="192"/>
      <c r="L7" s="192"/>
      <c r="M7" s="192"/>
    </row>
    <row r="8" spans="2:13" x14ac:dyDescent="0.3">
      <c r="B8" s="40">
        <f>ROW(B8)-7</f>
        <v>1</v>
      </c>
      <c r="C8" s="40"/>
      <c r="D8" s="40" t="s">
        <v>304</v>
      </c>
      <c r="E8" s="43">
        <f>IFERROR(VLOOKUP(L8,'list rate unit'!$B$6:$K$28,10,FALSE),0)</f>
        <v>210000</v>
      </c>
      <c r="F8" s="41">
        <v>1007</v>
      </c>
      <c r="G8" s="43">
        <f>F8*$D$13</f>
        <v>0</v>
      </c>
      <c r="H8" s="41"/>
      <c r="I8" s="44">
        <f>E8+G8</f>
        <v>210000</v>
      </c>
      <c r="J8" s="18"/>
      <c r="K8" s="40"/>
      <c r="L8" s="40" t="str">
        <f>VLOOKUP(M8,'list rate unit'!O:P,2,FALSE)</f>
        <v>FM 260 Ti</v>
      </c>
      <c r="M8" s="40" t="str">
        <f t="shared" ref="M8" si="0">D8</f>
        <v>FUEL TRUCK - 02</v>
      </c>
    </row>
    <row r="9" spans="2:13" x14ac:dyDescent="0.3">
      <c r="E9" s="30"/>
      <c r="F9" s="18"/>
      <c r="G9" s="30"/>
      <c r="H9" s="18"/>
      <c r="I9" s="18"/>
      <c r="J9" s="18"/>
    </row>
    <row r="10" spans="2:13" ht="15.75" customHeight="1" x14ac:dyDescent="0.3">
      <c r="B10" s="191" t="s">
        <v>21</v>
      </c>
      <c r="C10" s="191"/>
      <c r="D10" s="191"/>
      <c r="E10" s="50">
        <f>SUM(E8:E9)</f>
        <v>210000</v>
      </c>
      <c r="F10" s="45">
        <f>SUM(F8:F9)</f>
        <v>1007</v>
      </c>
      <c r="G10" s="46">
        <f>SUM(G8:G9)</f>
        <v>0</v>
      </c>
      <c r="H10" s="45">
        <f>IFERROR(F10/#REF!,0)</f>
        <v>0</v>
      </c>
      <c r="I10" s="47">
        <f>SUM(I8:I9)</f>
        <v>210000</v>
      </c>
      <c r="J10" s="17"/>
    </row>
    <row r="12" spans="2:13" x14ac:dyDescent="0.3">
      <c r="B12" s="190" t="s">
        <v>34</v>
      </c>
      <c r="C12" s="190"/>
      <c r="D12" s="29">
        <f>'REPORT unit DT HAUL'!D36</f>
        <v>14848</v>
      </c>
    </row>
    <row r="13" spans="2:13" x14ac:dyDescent="0.3">
      <c r="B13" s="190" t="s">
        <v>35</v>
      </c>
      <c r="C13" s="190"/>
      <c r="D13" s="29">
        <f>SUMMARY!$J$13</f>
        <v>0</v>
      </c>
    </row>
    <row r="14" spans="2:13" x14ac:dyDescent="0.3">
      <c r="K14" s="27"/>
    </row>
  </sheetData>
  <mergeCells count="14">
    <mergeCell ref="B12:C12"/>
    <mergeCell ref="B13:C13"/>
    <mergeCell ref="B10:D10"/>
    <mergeCell ref="B2:D3"/>
    <mergeCell ref="K5:K7"/>
    <mergeCell ref="G6:G7"/>
    <mergeCell ref="L5:M7"/>
    <mergeCell ref="E5:E6"/>
    <mergeCell ref="H5:H6"/>
    <mergeCell ref="B5:B7"/>
    <mergeCell ref="D5:D7"/>
    <mergeCell ref="F5:G5"/>
    <mergeCell ref="I5:I7"/>
    <mergeCell ref="C5:C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unit'!$B$4:$B$28</xm:f>
          </x14:formula1>
          <xm:sqref>L1:L7 L9:L1048576</xm:sqref>
        </x14:dataValidation>
        <x14:dataValidation type="list" allowBlank="1" showInputMessage="1" showErrorMessage="1" xr:uid="{75B9498A-83E4-4815-A39E-ADBBDB20D76B}">
          <x14:formula1>
            <xm:f>'list rate unit'!$B$6:$B$27</xm:f>
          </x14:formula1>
          <xm:sqref>L8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198" t="s">
        <v>1</v>
      </c>
      <c r="D2" s="198" t="s">
        <v>2</v>
      </c>
      <c r="E2" s="198" t="s">
        <v>3</v>
      </c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7" t="s">
        <v>4</v>
      </c>
      <c r="AK2" s="197" t="s">
        <v>57</v>
      </c>
      <c r="AL2" s="3"/>
    </row>
    <row r="3" spans="2:38" s="4" customFormat="1" x14ac:dyDescent="0.3">
      <c r="B3" s="4" t="s">
        <v>5</v>
      </c>
      <c r="C3" s="198"/>
      <c r="D3" s="198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197"/>
      <c r="AK3" s="197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143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144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141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142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145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146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147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90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91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92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198" t="s">
        <v>21</v>
      </c>
      <c r="C29" s="198"/>
      <c r="D29" s="198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199" t="s">
        <v>12</v>
      </c>
      <c r="AA32" s="199"/>
      <c r="AB32" s="199"/>
      <c r="AG32" s="199" t="s">
        <v>13</v>
      </c>
      <c r="AH32" s="199"/>
      <c r="AI32" s="199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199" t="s">
        <v>19</v>
      </c>
      <c r="AA36" s="199"/>
      <c r="AB36" s="199"/>
      <c r="AG36" s="199" t="s">
        <v>20</v>
      </c>
      <c r="AH36" s="199"/>
      <c r="AI36" s="199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2024-03-12T06:27:38Z</cp:lastPrinted>
  <dcterms:created xsi:type="dcterms:W3CDTF">2019-02-05T01:55:23Z</dcterms:created>
  <dcterms:modified xsi:type="dcterms:W3CDTF">2024-03-12T06:27:41Z</dcterms:modified>
</cp:coreProperties>
</file>