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sen Driver" sheetId="1" r:id="rId4"/>
    <sheet state="hidden" name="tbl equipment" sheetId="2" r:id="rId5"/>
    <sheet state="hidden" name="tbl driver 1" sheetId="3" r:id="rId6"/>
    <sheet state="hidden" name="tbl driver 2" sheetId="4" r:id="rId7"/>
  </sheets>
  <definedNames/>
  <calcPr/>
</workbook>
</file>

<file path=xl/sharedStrings.xml><?xml version="1.0" encoding="utf-8"?>
<sst xmlns="http://schemas.openxmlformats.org/spreadsheetml/2006/main" count="5142" uniqueCount="1966">
  <si>
    <t>timestamps</t>
  </si>
  <si>
    <t>NAMA DRIVER</t>
  </si>
  <si>
    <t>ID UNIT</t>
  </si>
  <si>
    <t>DATE</t>
  </si>
  <si>
    <t>JAM MASUK</t>
  </si>
  <si>
    <t>JAM KELUAR</t>
  </si>
  <si>
    <t>TOTAL JAM KERJA</t>
  </si>
  <si>
    <t>RETASE</t>
  </si>
  <si>
    <t>KETERANGAN</t>
  </si>
  <si>
    <r>
      <rPr>
        <rFont val="Arial"/>
        <i/>
        <color theme="1"/>
        <sz val="9.0"/>
      </rPr>
      <t xml:space="preserve">Note : Double klik untuk menampilkan semua </t>
    </r>
    <r>
      <rPr>
        <rFont val="Arial"/>
        <b/>
        <i/>
        <color theme="1"/>
        <sz val="9.0"/>
      </rPr>
      <t>Nama Terdaftar</t>
    </r>
  </si>
  <si>
    <r>
      <rPr>
        <rFont val="Arial"/>
        <i/>
        <color theme="1"/>
        <sz val="9.0"/>
      </rPr>
      <t xml:space="preserve">Note : Double klik untuk menampilkan semua </t>
    </r>
    <r>
      <rPr>
        <rFont val="Arial"/>
        <b/>
        <i/>
        <color theme="1"/>
        <sz val="9.0"/>
      </rPr>
      <t>ID Unit</t>
    </r>
  </si>
  <si>
    <r>
      <rPr>
        <rFont val="Arial"/>
        <i/>
        <color theme="1"/>
        <sz val="9.0"/>
      </rPr>
      <t xml:space="preserve">Note : Double klik untuk menampilkan </t>
    </r>
    <r>
      <rPr>
        <rFont val="Arial"/>
        <b/>
        <i/>
        <color theme="1"/>
        <sz val="9.0"/>
      </rPr>
      <t>UI Date</t>
    </r>
  </si>
  <si>
    <r>
      <rPr>
        <rFont val="Arial"/>
        <i/>
        <color theme="1"/>
        <sz val="9.0"/>
      </rPr>
      <t xml:space="preserve">Note : Waktu dalam </t>
    </r>
    <r>
      <rPr>
        <rFont val="Arial"/>
        <b/>
        <i/>
        <color theme="1"/>
        <sz val="9.0"/>
      </rPr>
      <t>1x24</t>
    </r>
    <r>
      <rPr>
        <rFont val="Arial"/>
        <i/>
        <color theme="1"/>
        <sz val="9.0"/>
      </rPr>
      <t xml:space="preserve"> berformat jam </t>
    </r>
    <r>
      <rPr>
        <rFont val="Arial"/>
        <b/>
        <i/>
        <color theme="1"/>
        <sz val="9.0"/>
      </rPr>
      <t>HH:MM</t>
    </r>
  </si>
  <si>
    <t>Note : Automatis teroperasi</t>
  </si>
  <si>
    <r>
      <rPr>
        <rFont val="Arial"/>
        <i/>
        <color theme="1"/>
        <sz val="9.0"/>
      </rPr>
      <t xml:space="preserve">Note : Input berformat </t>
    </r>
    <r>
      <rPr>
        <rFont val="Arial"/>
        <b/>
        <i/>
        <color theme="1"/>
        <sz val="9.0"/>
      </rPr>
      <t>Angka</t>
    </r>
  </si>
  <si>
    <t>Note : Penjelasan mengenai tidak tercapainya target retase</t>
  </si>
  <si>
    <t>Equipment Category</t>
  </si>
  <si>
    <t>Equipment Name</t>
  </si>
  <si>
    <t>Name</t>
  </si>
  <si>
    <t>DUMP TRUCK</t>
  </si>
  <si>
    <t>HINO FM 260 JD</t>
  </si>
  <si>
    <t>xDT-118</t>
  </si>
  <si>
    <t>xDT-135</t>
  </si>
  <si>
    <t>xDT-168</t>
  </si>
  <si>
    <t>NISSAN CWA 260 X</t>
  </si>
  <si>
    <t>DT-01</t>
  </si>
  <si>
    <t>HINO FM 260 Ti</t>
  </si>
  <si>
    <t>DT-08</t>
  </si>
  <si>
    <t>DT-09</t>
  </si>
  <si>
    <t>DT-10</t>
  </si>
  <si>
    <t>DT-16</t>
  </si>
  <si>
    <t>DT-21</t>
  </si>
  <si>
    <t>DT-22</t>
  </si>
  <si>
    <t>DT-24</t>
  </si>
  <si>
    <t>DT-29</t>
  </si>
  <si>
    <t>DT-30</t>
  </si>
  <si>
    <t>DT-31</t>
  </si>
  <si>
    <t>DT-44</t>
  </si>
  <si>
    <t>DT-48</t>
  </si>
  <si>
    <t>DT-52</t>
  </si>
  <si>
    <t>DT-54</t>
  </si>
  <si>
    <t>DT-59</t>
  </si>
  <si>
    <t>DT-60</t>
  </si>
  <si>
    <t>DT-61</t>
  </si>
  <si>
    <t>DT-64</t>
  </si>
  <si>
    <t>DT-65</t>
  </si>
  <si>
    <t>DT-66</t>
  </si>
  <si>
    <t>DT-67</t>
  </si>
  <si>
    <t>DT-68</t>
  </si>
  <si>
    <t>DT-72</t>
  </si>
  <si>
    <t>DT-74</t>
  </si>
  <si>
    <t>DT-75</t>
  </si>
  <si>
    <t>DT-76</t>
  </si>
  <si>
    <t>DT-78</t>
  </si>
  <si>
    <t>DT-79</t>
  </si>
  <si>
    <t>DT-81</t>
  </si>
  <si>
    <t>DT-82</t>
  </si>
  <si>
    <t>DT-83</t>
  </si>
  <si>
    <t>DT-86</t>
  </si>
  <si>
    <t>MH-01</t>
  </si>
  <si>
    <t>DT-89</t>
  </si>
  <si>
    <t>DT-92</t>
  </si>
  <si>
    <t>DT-95</t>
  </si>
  <si>
    <t>DT-97</t>
  </si>
  <si>
    <t>DT-98</t>
  </si>
  <si>
    <t>DT-99</t>
  </si>
  <si>
    <t>DT-100</t>
  </si>
  <si>
    <t>DT-101</t>
  </si>
  <si>
    <t>DT-102</t>
  </si>
  <si>
    <t>DT-103</t>
  </si>
  <si>
    <t>DT-106</t>
  </si>
  <si>
    <t>DT-107</t>
  </si>
  <si>
    <t>DT-108</t>
  </si>
  <si>
    <t>DT-109</t>
  </si>
  <si>
    <t>DT-110</t>
  </si>
  <si>
    <t>DT-111</t>
  </si>
  <si>
    <t>DT-112</t>
  </si>
  <si>
    <t>DT-113</t>
  </si>
  <si>
    <t>DT-114</t>
  </si>
  <si>
    <t>DT-116</t>
  </si>
  <si>
    <t>DT-117</t>
  </si>
  <si>
    <t>DT-118</t>
  </si>
  <si>
    <t>FT-06</t>
  </si>
  <si>
    <t>DT-121</t>
  </si>
  <si>
    <t>DT-122</t>
  </si>
  <si>
    <t>DT-123</t>
  </si>
  <si>
    <t>DT-124</t>
  </si>
  <si>
    <t>DT-125</t>
  </si>
  <si>
    <t>DT-126</t>
  </si>
  <si>
    <t>DT-127</t>
  </si>
  <si>
    <t>DT-128</t>
  </si>
  <si>
    <t>DT-130</t>
  </si>
  <si>
    <t>DT-132</t>
  </si>
  <si>
    <t>DT-133</t>
  </si>
  <si>
    <t>DT-134</t>
  </si>
  <si>
    <t>DT-135</t>
  </si>
  <si>
    <t>DT-136</t>
  </si>
  <si>
    <t>DT-137</t>
  </si>
  <si>
    <t>DT-138</t>
  </si>
  <si>
    <t>DT-139</t>
  </si>
  <si>
    <t>DT-140</t>
  </si>
  <si>
    <t>DT-141</t>
  </si>
  <si>
    <t>DT-143</t>
  </si>
  <si>
    <t>DT-144</t>
  </si>
  <si>
    <t>DT-145</t>
  </si>
  <si>
    <t>DT-146</t>
  </si>
  <si>
    <t>DT-147</t>
  </si>
  <si>
    <t>DT-148</t>
  </si>
  <si>
    <t>DT-149</t>
  </si>
  <si>
    <t>DT-150</t>
  </si>
  <si>
    <t>DT-151</t>
  </si>
  <si>
    <t>DT-152</t>
  </si>
  <si>
    <t>DT-153</t>
  </si>
  <si>
    <t>DT-154</t>
  </si>
  <si>
    <t>FT-05</t>
  </si>
  <si>
    <t>DT-156</t>
  </si>
  <si>
    <t>DT-157</t>
  </si>
  <si>
    <t>DT-158</t>
  </si>
  <si>
    <t>DT-159</t>
  </si>
  <si>
    <t>DT-160</t>
  </si>
  <si>
    <t>DT-161</t>
  </si>
  <si>
    <t>DT-162</t>
  </si>
  <si>
    <t>DT-163</t>
  </si>
  <si>
    <t>DT-164</t>
  </si>
  <si>
    <t>DT-165</t>
  </si>
  <si>
    <t>DT-166</t>
  </si>
  <si>
    <t>DT-167</t>
  </si>
  <si>
    <t>DT-168</t>
  </si>
  <si>
    <t>DT-169</t>
  </si>
  <si>
    <t>DT-170</t>
  </si>
  <si>
    <t>DT-171</t>
  </si>
  <si>
    <t>DT-173</t>
  </si>
  <si>
    <t>DT-174</t>
  </si>
  <si>
    <t>DT-176</t>
  </si>
  <si>
    <t>DT-177</t>
  </si>
  <si>
    <t>DT-200</t>
  </si>
  <si>
    <t>DT-201</t>
  </si>
  <si>
    <t>DT-202</t>
  </si>
  <si>
    <t>DT-203</t>
  </si>
  <si>
    <t>DT-204</t>
  </si>
  <si>
    <t>DT-205</t>
  </si>
  <si>
    <t>DT-206</t>
  </si>
  <si>
    <t>DT-207</t>
  </si>
  <si>
    <t>DT-208</t>
  </si>
  <si>
    <t>DT-209</t>
  </si>
  <si>
    <t>DT-210</t>
  </si>
  <si>
    <t>DT-211</t>
  </si>
  <si>
    <t>DT-212</t>
  </si>
  <si>
    <t>DT-213</t>
  </si>
  <si>
    <t>DT-214</t>
  </si>
  <si>
    <t>DT-215</t>
  </si>
  <si>
    <t>DT-216</t>
  </si>
  <si>
    <t>DT-217</t>
  </si>
  <si>
    <t>DT-218</t>
  </si>
  <si>
    <t>DT-219</t>
  </si>
  <si>
    <t>DT-220</t>
  </si>
  <si>
    <t>DT-221</t>
  </si>
  <si>
    <t>DT-222</t>
  </si>
  <si>
    <t>DT-223</t>
  </si>
  <si>
    <t>DT-224</t>
  </si>
  <si>
    <t>DT-225</t>
  </si>
  <si>
    <t>DT-226</t>
  </si>
  <si>
    <t>DT-227</t>
  </si>
  <si>
    <t>DT-228</t>
  </si>
  <si>
    <t>DT-229</t>
  </si>
  <si>
    <t>DT-230</t>
  </si>
  <si>
    <t>DT-231</t>
  </si>
  <si>
    <t>DT-232</t>
  </si>
  <si>
    <t>DT-233</t>
  </si>
  <si>
    <t>DT-234</t>
  </si>
  <si>
    <t>DT-235</t>
  </si>
  <si>
    <t>DT-237</t>
  </si>
  <si>
    <t>DT-238</t>
  </si>
  <si>
    <t>DT-105</t>
  </si>
  <si>
    <t>DT-104</t>
  </si>
  <si>
    <t>DT-254</t>
  </si>
  <si>
    <t>HINO ZS1EPPD-XS</t>
  </si>
  <si>
    <t>DT-260</t>
  </si>
  <si>
    <t>DT-261</t>
  </si>
  <si>
    <t>DT-262</t>
  </si>
  <si>
    <t>DT-263</t>
  </si>
  <si>
    <t>DT-264</t>
  </si>
  <si>
    <t>DT-265</t>
  </si>
  <si>
    <t>DT-266</t>
  </si>
  <si>
    <t>DT-267</t>
  </si>
  <si>
    <t>DT-268</t>
  </si>
  <si>
    <t>DT-269</t>
  </si>
  <si>
    <t>DT-270</t>
  </si>
  <si>
    <t>DT-271</t>
  </si>
  <si>
    <t>DT-272</t>
  </si>
  <si>
    <t>DT-273</t>
  </si>
  <si>
    <t>DT-274</t>
  </si>
  <si>
    <t>DT-275</t>
  </si>
  <si>
    <t>DT-276</t>
  </si>
  <si>
    <t>DT-277</t>
  </si>
  <si>
    <t>DT-278</t>
  </si>
  <si>
    <t>DT-279</t>
  </si>
  <si>
    <t>DT-280</t>
  </si>
  <si>
    <t>DT-281</t>
  </si>
  <si>
    <t>DT-282</t>
  </si>
  <si>
    <t>DT-283</t>
  </si>
  <si>
    <t>DT-284</t>
  </si>
  <si>
    <t>DT-285</t>
  </si>
  <si>
    <t>DT-286</t>
  </si>
  <si>
    <t>DT-287</t>
  </si>
  <si>
    <t>DT-288</t>
  </si>
  <si>
    <t>DT-289</t>
  </si>
  <si>
    <t>DT-290</t>
  </si>
  <si>
    <t>DT-291</t>
  </si>
  <si>
    <t>DT-292</t>
  </si>
  <si>
    <t>DT-293</t>
  </si>
  <si>
    <t>DT-294</t>
  </si>
  <si>
    <t>DT-295</t>
  </si>
  <si>
    <t>DT-296</t>
  </si>
  <si>
    <t>DT-297</t>
  </si>
  <si>
    <t>DT-298</t>
  </si>
  <si>
    <t>DT-299</t>
  </si>
  <si>
    <t>DT-300</t>
  </si>
  <si>
    <t>DT-301</t>
  </si>
  <si>
    <t>DT-302</t>
  </si>
  <si>
    <t>DT-303</t>
  </si>
  <si>
    <t>DT-304</t>
  </si>
  <si>
    <t>DT-305</t>
  </si>
  <si>
    <t>DT-306</t>
  </si>
  <si>
    <t>DT-307</t>
  </si>
  <si>
    <t>DT-308</t>
  </si>
  <si>
    <t>DT-309</t>
  </si>
  <si>
    <t>HINO ZY1EWPD-XS</t>
  </si>
  <si>
    <t>DT-310</t>
  </si>
  <si>
    <t>DT-311</t>
  </si>
  <si>
    <t>DT-312</t>
  </si>
  <si>
    <t>DT-313</t>
  </si>
  <si>
    <t>DT-314</t>
  </si>
  <si>
    <t>DT-315</t>
  </si>
  <si>
    <t>DT-316</t>
  </si>
  <si>
    <t>DT-317</t>
  </si>
  <si>
    <t>DT-318</t>
  </si>
  <si>
    <t>DT-319</t>
  </si>
  <si>
    <t>DT-320</t>
  </si>
  <si>
    <t>DT-321</t>
  </si>
  <si>
    <t>DT-322</t>
  </si>
  <si>
    <t>DT-323</t>
  </si>
  <si>
    <t>DT-324</t>
  </si>
  <si>
    <t>DT-325</t>
  </si>
  <si>
    <t>DT-326</t>
  </si>
  <si>
    <t>DT-327</t>
  </si>
  <si>
    <t>DT-328</t>
  </si>
  <si>
    <t>DT-329</t>
  </si>
  <si>
    <t>DT-330</t>
  </si>
  <si>
    <t>DT-331</t>
  </si>
  <si>
    <t>DT-332</t>
  </si>
  <si>
    <t>DT-333</t>
  </si>
  <si>
    <t>DT-334</t>
  </si>
  <si>
    <t>DT-335</t>
  </si>
  <si>
    <t>DT-336</t>
  </si>
  <si>
    <t>DT-337</t>
  </si>
  <si>
    <t>DT-338</t>
  </si>
  <si>
    <t>DT-339</t>
  </si>
  <si>
    <t>DT-340</t>
  </si>
  <si>
    <t>DT-341</t>
  </si>
  <si>
    <t>DT-342</t>
  </si>
  <si>
    <t>DT-343</t>
  </si>
  <si>
    <t>DT-344</t>
  </si>
  <si>
    <t>DT-345</t>
  </si>
  <si>
    <t>DT-346</t>
  </si>
  <si>
    <t>DT-347</t>
  </si>
  <si>
    <t>DT-348</t>
  </si>
  <si>
    <t>DT-349</t>
  </si>
  <si>
    <t>DT-350</t>
  </si>
  <si>
    <t>DT-351</t>
  </si>
  <si>
    <t>DT-352</t>
  </si>
  <si>
    <t>DT-353</t>
  </si>
  <si>
    <t>DT-354</t>
  </si>
  <si>
    <t>DT-355</t>
  </si>
  <si>
    <t>DT-356</t>
  </si>
  <si>
    <t>DT-357</t>
  </si>
  <si>
    <t>DT-358</t>
  </si>
  <si>
    <t>DT-359</t>
  </si>
  <si>
    <t>DT-360</t>
  </si>
  <si>
    <t>DT-361</t>
  </si>
  <si>
    <t>DT-362</t>
  </si>
  <si>
    <t>DT-363</t>
  </si>
  <si>
    <t>DT-364</t>
  </si>
  <si>
    <t>SUPPORT</t>
  </si>
  <si>
    <t>TAFT GT/F70</t>
  </si>
  <si>
    <t>JEEP-01</t>
  </si>
  <si>
    <t>TOYOTA LC VX HDJ80R/T4.2M</t>
  </si>
  <si>
    <t>LV-22</t>
  </si>
  <si>
    <t>TOYOTA HILUX 2400</t>
  </si>
  <si>
    <t>LV-23</t>
  </si>
  <si>
    <t>PAJERO SPORT</t>
  </si>
  <si>
    <t>LV-06</t>
  </si>
  <si>
    <t>LV-24</t>
  </si>
  <si>
    <t>MAZDA 2500</t>
  </si>
  <si>
    <t>LV-03</t>
  </si>
  <si>
    <t>TOYOTA HILUX 2500</t>
  </si>
  <si>
    <t>LV-04</t>
  </si>
  <si>
    <t>LV-05</t>
  </si>
  <si>
    <t>LV-07</t>
  </si>
  <si>
    <t>IZUSU D'MAX PICK UP</t>
  </si>
  <si>
    <t>LV-08</t>
  </si>
  <si>
    <t>PAJERO</t>
  </si>
  <si>
    <t>LV-09</t>
  </si>
  <si>
    <t>TOYOTA HILUX VNT</t>
  </si>
  <si>
    <t>LV-10</t>
  </si>
  <si>
    <t>LV-11</t>
  </si>
  <si>
    <t>DAIHATSU TAFT</t>
  </si>
  <si>
    <t>LV-12</t>
  </si>
  <si>
    <t>FORD RANGER</t>
  </si>
  <si>
    <t>LV-14</t>
  </si>
  <si>
    <t>PAJERO SPORT AT</t>
  </si>
  <si>
    <t>LV-15</t>
  </si>
  <si>
    <t>LV-17</t>
  </si>
  <si>
    <t>LV-18</t>
  </si>
  <si>
    <t>LV-19</t>
  </si>
  <si>
    <t>LV-20</t>
  </si>
  <si>
    <t>PAJERO SPORT PAJSPO25LGLX-H4X45 MT</t>
  </si>
  <si>
    <t>LV-21</t>
  </si>
  <si>
    <t>FT-01</t>
  </si>
  <si>
    <t>FT-02</t>
  </si>
  <si>
    <t>FT-03</t>
  </si>
  <si>
    <t>FT-04</t>
  </si>
  <si>
    <t>WT-02</t>
  </si>
  <si>
    <t>WT-03</t>
  </si>
  <si>
    <t>HINO 130 HD</t>
  </si>
  <si>
    <t>LT-02</t>
  </si>
  <si>
    <t>DYNA RINO</t>
  </si>
  <si>
    <t>LT-03</t>
  </si>
  <si>
    <t>HINO TRONTON (6X4)</t>
  </si>
  <si>
    <t>MH-02</t>
  </si>
  <si>
    <t>HINO 130 HT</t>
  </si>
  <si>
    <t>BUS BESAR-01</t>
  </si>
  <si>
    <t>MITSUBISHI PS 120</t>
  </si>
  <si>
    <t>BUS BESAR-02</t>
  </si>
  <si>
    <t>IZUSU ELF 2.8</t>
  </si>
  <si>
    <t>LT-05</t>
  </si>
  <si>
    <t>WT-01</t>
  </si>
  <si>
    <t>LT-04</t>
  </si>
  <si>
    <t>MANHAUL</t>
  </si>
  <si>
    <t>HINO WU352R-HKMRJD8B (130MDBL)</t>
  </si>
  <si>
    <t>BUS-03</t>
  </si>
  <si>
    <t>HINO WU352R-HKMRJD3L (130MDL)</t>
  </si>
  <si>
    <t>BUS-04</t>
  </si>
  <si>
    <t>LV-01</t>
  </si>
  <si>
    <t>TOYOTA LC VX HDJ80R</t>
  </si>
  <si>
    <t>LV-26</t>
  </si>
  <si>
    <t>MITSUBISHI TRITON</t>
  </si>
  <si>
    <t>LV-APP-10</t>
  </si>
  <si>
    <t>LV-27</t>
  </si>
  <si>
    <t>LV-28</t>
  </si>
  <si>
    <t>LV-30</t>
  </si>
  <si>
    <t>LT-06</t>
  </si>
  <si>
    <t>LT-07</t>
  </si>
  <si>
    <t>HINO SS1EKLA-WA (6x4)</t>
  </si>
  <si>
    <t>LOWBOY-01</t>
  </si>
  <si>
    <t>HEAVY EQUIPMENT</t>
  </si>
  <si>
    <t>XGMA LOADER XG955-III</t>
  </si>
  <si>
    <t>LOADER-01</t>
  </si>
  <si>
    <t>KOMATSU LOADER WA 380-3</t>
  </si>
  <si>
    <t>LOADER-02</t>
  </si>
  <si>
    <t>KOMATSU BW211D-40</t>
  </si>
  <si>
    <t>BW211-06</t>
  </si>
  <si>
    <t>KOMATSU D65P-12</t>
  </si>
  <si>
    <t>D65-04</t>
  </si>
  <si>
    <t>D65-03</t>
  </si>
  <si>
    <t>D65-02</t>
  </si>
  <si>
    <t>D65-07</t>
  </si>
  <si>
    <t>D65-01</t>
  </si>
  <si>
    <t>KOMATSU D85ESS-2</t>
  </si>
  <si>
    <t>D85-06</t>
  </si>
  <si>
    <t>D85-05</t>
  </si>
  <si>
    <t>D85-03</t>
  </si>
  <si>
    <t>D85-02</t>
  </si>
  <si>
    <t>D85-04</t>
  </si>
  <si>
    <t>D85-01</t>
  </si>
  <si>
    <t>KOMATSU D85E-SS-2</t>
  </si>
  <si>
    <t>D85-14</t>
  </si>
  <si>
    <t>KOBELCO SK 200-8</t>
  </si>
  <si>
    <t>SK200-02</t>
  </si>
  <si>
    <t>SK200-03</t>
  </si>
  <si>
    <t>SK200-04</t>
  </si>
  <si>
    <t>SK200-05</t>
  </si>
  <si>
    <t>KOMATSU GD511A-1</t>
  </si>
  <si>
    <t>GD-02</t>
  </si>
  <si>
    <t>GD-01</t>
  </si>
  <si>
    <t>KOMATSU GD535-5</t>
  </si>
  <si>
    <t>GD-12</t>
  </si>
  <si>
    <t>KOMATSU HM400-3R</t>
  </si>
  <si>
    <t>HM400-01</t>
  </si>
  <si>
    <t>HM400-02</t>
  </si>
  <si>
    <t>HM400-03</t>
  </si>
  <si>
    <t>HM400-04</t>
  </si>
  <si>
    <t>HM400-05</t>
  </si>
  <si>
    <t>KOMATSU HM400</t>
  </si>
  <si>
    <t>HM400-18</t>
  </si>
  <si>
    <t>HM400-19</t>
  </si>
  <si>
    <t>HM400-20</t>
  </si>
  <si>
    <t>HM400-21</t>
  </si>
  <si>
    <t>HM400-22</t>
  </si>
  <si>
    <t>KOMATSU PC195LC-8</t>
  </si>
  <si>
    <t>PC195-01</t>
  </si>
  <si>
    <t>PC195-02</t>
  </si>
  <si>
    <t>KOMATSU PC200-8</t>
  </si>
  <si>
    <t>PC200-09</t>
  </si>
  <si>
    <t>PC200-08</t>
  </si>
  <si>
    <t>PC200-06</t>
  </si>
  <si>
    <t>PC200-05</t>
  </si>
  <si>
    <t>PC200-04</t>
  </si>
  <si>
    <t>PC200-03</t>
  </si>
  <si>
    <t>PC200-07</t>
  </si>
  <si>
    <t>KOMATSU PC200-8M0</t>
  </si>
  <si>
    <t>PC200-10</t>
  </si>
  <si>
    <t>KOMATSU PC200-8M1</t>
  </si>
  <si>
    <t>PC200-12</t>
  </si>
  <si>
    <t>PC200-14</t>
  </si>
  <si>
    <t>PC200-15</t>
  </si>
  <si>
    <t>PC200-16</t>
  </si>
  <si>
    <t>PC200-18</t>
  </si>
  <si>
    <t>PC200-17</t>
  </si>
  <si>
    <t>PC200-21</t>
  </si>
  <si>
    <t>PC200-22</t>
  </si>
  <si>
    <t>PC200-23</t>
  </si>
  <si>
    <t>PC200-24</t>
  </si>
  <si>
    <t>PC200-20</t>
  </si>
  <si>
    <t>PC200-19</t>
  </si>
  <si>
    <t>PC200-25</t>
  </si>
  <si>
    <t>KOMATSU PC300SE-8</t>
  </si>
  <si>
    <t>PC300-06</t>
  </si>
  <si>
    <t>PC300-05</t>
  </si>
  <si>
    <t>PC300-04</t>
  </si>
  <si>
    <t>PC300-03</t>
  </si>
  <si>
    <t>PC300-07</t>
  </si>
  <si>
    <t>PC300-02</t>
  </si>
  <si>
    <t>KOMATSU PC300-8M0</t>
  </si>
  <si>
    <t>PC300-12</t>
  </si>
  <si>
    <t>PC300-14</t>
  </si>
  <si>
    <t>KOMATSU PC400LCSE-8</t>
  </si>
  <si>
    <t>PC400-03</t>
  </si>
  <si>
    <t>PC400-02</t>
  </si>
  <si>
    <t>PC400-04</t>
  </si>
  <si>
    <t>PC400-01</t>
  </si>
  <si>
    <t>KOMATSU PC500LC-10R</t>
  </si>
  <si>
    <t>PC500-01</t>
  </si>
  <si>
    <t>PC500-02</t>
  </si>
  <si>
    <t>PC500-03</t>
  </si>
  <si>
    <t>SAKAI SAKAI SV 525 D</t>
  </si>
  <si>
    <t>SAKAI-01</t>
  </si>
  <si>
    <t>SAKAI-02</t>
  </si>
  <si>
    <t>D65-12</t>
  </si>
  <si>
    <t>D65-11</t>
  </si>
  <si>
    <t>D65-10</t>
  </si>
  <si>
    <t>D65-13</t>
  </si>
  <si>
    <t>D65-14</t>
  </si>
  <si>
    <t>D65-15</t>
  </si>
  <si>
    <t>D65-16</t>
  </si>
  <si>
    <t>D65-17</t>
  </si>
  <si>
    <t>D65-18</t>
  </si>
  <si>
    <t>D85-12</t>
  </si>
  <si>
    <t>D85-11</t>
  </si>
  <si>
    <t>D85-10</t>
  </si>
  <si>
    <t>D85-15</t>
  </si>
  <si>
    <t>D85-16</t>
  </si>
  <si>
    <t>D85-17</t>
  </si>
  <si>
    <t>D85-18</t>
  </si>
  <si>
    <t>D85-19</t>
  </si>
  <si>
    <t>D85-20</t>
  </si>
  <si>
    <t>KOBELCO SK200-10</t>
  </si>
  <si>
    <t>SK200-10</t>
  </si>
  <si>
    <t>SK200-11</t>
  </si>
  <si>
    <t>SK200-12</t>
  </si>
  <si>
    <t>SK200-13</t>
  </si>
  <si>
    <t>SK200-14</t>
  </si>
  <si>
    <t>SK200-15</t>
  </si>
  <si>
    <t>SK200-16</t>
  </si>
  <si>
    <t>SK200-17</t>
  </si>
  <si>
    <t>SK200-18</t>
  </si>
  <si>
    <t>SK200-19</t>
  </si>
  <si>
    <t>SK200-20</t>
  </si>
  <si>
    <t>KOBELCO SK330-14</t>
  </si>
  <si>
    <t>SK330-10</t>
  </si>
  <si>
    <t>SK330-11</t>
  </si>
  <si>
    <t>SK330-12</t>
  </si>
  <si>
    <t>GD-03</t>
  </si>
  <si>
    <t>GD-10</t>
  </si>
  <si>
    <t>GD-11</t>
  </si>
  <si>
    <t>HM400-06</t>
  </si>
  <si>
    <t>HM400-07</t>
  </si>
  <si>
    <t>HM400-08</t>
  </si>
  <si>
    <t>HM400-09</t>
  </si>
  <si>
    <t>HM400-10</t>
  </si>
  <si>
    <t>HM400-11</t>
  </si>
  <si>
    <t>HM400-12</t>
  </si>
  <si>
    <t>HM400-13</t>
  </si>
  <si>
    <t>HM400-14</t>
  </si>
  <si>
    <t>HM400-15</t>
  </si>
  <si>
    <t>HM400-16</t>
  </si>
  <si>
    <t>HM400-17</t>
  </si>
  <si>
    <t>HM400-23</t>
  </si>
  <si>
    <t>HM400-24</t>
  </si>
  <si>
    <t>HM400-25</t>
  </si>
  <si>
    <t>KOMATSU PC300SE-8M0</t>
  </si>
  <si>
    <t>PC300-10</t>
  </si>
  <si>
    <t>KOMATSU PC300SE-8MO</t>
  </si>
  <si>
    <t>PC300-11</t>
  </si>
  <si>
    <t>PC300-16</t>
  </si>
  <si>
    <t>PC300-17</t>
  </si>
  <si>
    <t>PC300-15</t>
  </si>
  <si>
    <t>PC400-07</t>
  </si>
  <si>
    <t>PC400-06</t>
  </si>
  <si>
    <t>PC400-05</t>
  </si>
  <si>
    <t>PC500-04</t>
  </si>
  <si>
    <t>SAKAI-07</t>
  </si>
  <si>
    <t>KOBELCO SK 200-8 SX</t>
  </si>
  <si>
    <t>SK200-08</t>
  </si>
  <si>
    <t>D65-06</t>
  </si>
  <si>
    <t>D65-05</t>
  </si>
  <si>
    <t>SK200-06</t>
  </si>
  <si>
    <t>SK200-07</t>
  </si>
  <si>
    <t>KOBELCO SK 330-8</t>
  </si>
  <si>
    <t>SK330-01</t>
  </si>
  <si>
    <t>KOMATSU PC200-10/S21</t>
  </si>
  <si>
    <t>PC200-11</t>
  </si>
  <si>
    <t>SAKAI-05</t>
  </si>
  <si>
    <t>SAKAI-03</t>
  </si>
  <si>
    <t>SAKAI-04</t>
  </si>
  <si>
    <t>SAKAI-06</t>
  </si>
  <si>
    <t>SAKAI-08</t>
  </si>
  <si>
    <t>DT-369</t>
  </si>
  <si>
    <t>DT-057</t>
  </si>
  <si>
    <t>DT-365</t>
  </si>
  <si>
    <t>DT-366</t>
  </si>
  <si>
    <t>DT-367</t>
  </si>
  <si>
    <t>DT-368</t>
  </si>
  <si>
    <t>DT-370</t>
  </si>
  <si>
    <t>DT-371</t>
  </si>
  <si>
    <t>LV-31</t>
  </si>
  <si>
    <t>LT-08</t>
  </si>
  <si>
    <t>LT-10</t>
  </si>
  <si>
    <t>DT-372</t>
  </si>
  <si>
    <t>DT-373</t>
  </si>
  <si>
    <t>DT-374</t>
  </si>
  <si>
    <t>DT-375</t>
  </si>
  <si>
    <t>DT-376</t>
  </si>
  <si>
    <t>DT-377</t>
  </si>
  <si>
    <t>DT-378</t>
  </si>
  <si>
    <t>DT-379</t>
  </si>
  <si>
    <t>DT-380</t>
  </si>
  <si>
    <t>DT-381</t>
  </si>
  <si>
    <t>DT-382</t>
  </si>
  <si>
    <t>DT-383</t>
  </si>
  <si>
    <t>DT-384</t>
  </si>
  <si>
    <t>LV-32</t>
  </si>
  <si>
    <t>HINO 130 HDL</t>
  </si>
  <si>
    <t>LT-11</t>
  </si>
  <si>
    <t>LT-09</t>
  </si>
  <si>
    <t>LC-SA</t>
  </si>
  <si>
    <t>TOYOTA KIJANG SUPER</t>
  </si>
  <si>
    <t>LV-33</t>
  </si>
  <si>
    <t>TOYOTA NAV1</t>
  </si>
  <si>
    <t>LV-34</t>
  </si>
  <si>
    <t>SUZUKI</t>
  </si>
  <si>
    <t>LV-35</t>
  </si>
  <si>
    <t>HINO ZY1EWRN-XS</t>
  </si>
  <si>
    <t>DT-385</t>
  </si>
  <si>
    <t>DT-386</t>
  </si>
  <si>
    <t>DT-387</t>
  </si>
  <si>
    <t>DT-388</t>
  </si>
  <si>
    <t>DT-389</t>
  </si>
  <si>
    <t>DT-390</t>
  </si>
  <si>
    <t>DT-391</t>
  </si>
  <si>
    <t>DT-392</t>
  </si>
  <si>
    <t>DT-393</t>
  </si>
  <si>
    <t>DT-394</t>
  </si>
  <si>
    <t>DAIHATSU TERIOS</t>
  </si>
  <si>
    <t>LV-36</t>
  </si>
  <si>
    <t>TOYOTA LC HZ J80R 4184CC</t>
  </si>
  <si>
    <t>LV-37</t>
  </si>
  <si>
    <t>LEXUS LX 570 AT</t>
  </si>
  <si>
    <t>LV-38</t>
  </si>
  <si>
    <t>MERC BENZ GLC 250 AT (X253)</t>
  </si>
  <si>
    <t>LV-39</t>
  </si>
  <si>
    <t>NISSAN MARCH</t>
  </si>
  <si>
    <t>LV-40</t>
  </si>
  <si>
    <t>HONDA SEPEDA MOTOR SOLO</t>
  </si>
  <si>
    <t>SM-1</t>
  </si>
  <si>
    <t>SM-2</t>
  </si>
  <si>
    <t>HONGYAN KINKAN430</t>
  </si>
  <si>
    <t>DT-500</t>
  </si>
  <si>
    <t>DT-501</t>
  </si>
  <si>
    <t>DT-502</t>
  </si>
  <si>
    <t>DT-503</t>
  </si>
  <si>
    <t>DT-504</t>
  </si>
  <si>
    <t>DT-505</t>
  </si>
  <si>
    <t>DT-506</t>
  </si>
  <si>
    <t>DT-507</t>
  </si>
  <si>
    <t>DT-508</t>
  </si>
  <si>
    <t>DT-509</t>
  </si>
  <si>
    <t>DT-510</t>
  </si>
  <si>
    <t>DT-511</t>
  </si>
  <si>
    <t>DT-512</t>
  </si>
  <si>
    <t>DT-513</t>
  </si>
  <si>
    <t>DT-514</t>
  </si>
  <si>
    <t>DT-395</t>
  </si>
  <si>
    <t>DT-396</t>
  </si>
  <si>
    <t>DT-397</t>
  </si>
  <si>
    <t>DT-398</t>
  </si>
  <si>
    <t>DT-399</t>
  </si>
  <si>
    <t>HINO ZY1EWRD-XS</t>
  </si>
  <si>
    <t>DT-515</t>
  </si>
  <si>
    <t>KOMATSU FD 30-17</t>
  </si>
  <si>
    <t>FD 30-17-001</t>
  </si>
  <si>
    <t>DT-516</t>
  </si>
  <si>
    <t>DT-517</t>
  </si>
  <si>
    <t>DT-518</t>
  </si>
  <si>
    <t>DT-519</t>
  </si>
  <si>
    <t>DT-520</t>
  </si>
  <si>
    <t>DT-521</t>
  </si>
  <si>
    <t>DT-522</t>
  </si>
  <si>
    <t>DT-523</t>
  </si>
  <si>
    <t>DT-524</t>
  </si>
  <si>
    <t>DT-525</t>
  </si>
  <si>
    <t>DT-526</t>
  </si>
  <si>
    <t>DT-527</t>
  </si>
  <si>
    <t>DT-528</t>
  </si>
  <si>
    <t>DT-529</t>
  </si>
  <si>
    <t>DT-530</t>
  </si>
  <si>
    <t>DT-531</t>
  </si>
  <si>
    <t>DT-532</t>
  </si>
  <si>
    <t>DT-533</t>
  </si>
  <si>
    <t>DT-534</t>
  </si>
  <si>
    <t>DT-535</t>
  </si>
  <si>
    <t>LV-SA-33</t>
  </si>
  <si>
    <t>LV-SA-34</t>
  </si>
  <si>
    <t>LV-APP-35</t>
  </si>
  <si>
    <t>MH-03</t>
  </si>
  <si>
    <t>MH-04</t>
  </si>
  <si>
    <t>SAKAI SV-20-2-160</t>
  </si>
  <si>
    <t>SAKAI-09</t>
  </si>
  <si>
    <t>NIK</t>
  </si>
  <si>
    <t>Employee Name</t>
  </si>
  <si>
    <t>Age</t>
  </si>
  <si>
    <t>Agama</t>
  </si>
  <si>
    <t>Company</t>
  </si>
  <si>
    <t>Job Position</t>
  </si>
  <si>
    <t>Department</t>
  </si>
  <si>
    <t>Check In</t>
  </si>
  <si>
    <t>Check Out</t>
  </si>
  <si>
    <t>Spouse Birthdate</t>
  </si>
  <si>
    <t>A FADIL NUGRAHA PRATAMA</t>
  </si>
  <si>
    <t>Islam</t>
  </si>
  <si>
    <t>CV. SENTOSA ABADI</t>
  </si>
  <si>
    <t>JUNIOR MPE</t>
  </si>
  <si>
    <t>MPE</t>
  </si>
  <si>
    <t>2023-11-30 16.14.14</t>
  </si>
  <si>
    <t>A.CHRISTI ARI WIBOWO</t>
  </si>
  <si>
    <t>Kristen Khatolik</t>
  </si>
  <si>
    <t>HEAD OF GRADE CONTROL</t>
  </si>
  <si>
    <t>GRADE CONTROL</t>
  </si>
  <si>
    <t>2023-11-30 07.05.30</t>
  </si>
  <si>
    <t>2023-11-30 17.14.10</t>
  </si>
  <si>
    <t>ABD DJALIL</t>
  </si>
  <si>
    <t>CV. Adil Prima Perkasa</t>
  </si>
  <si>
    <t>DRIVER LT</t>
  </si>
  <si>
    <t>KENDARAAN &amp; UNIT SUPPORT</t>
  </si>
  <si>
    <t>2024-03-31 07.12.44</t>
  </si>
  <si>
    <t>2024-03-31 19.01.26</t>
  </si>
  <si>
    <t>ABD HAKIM AZIS</t>
  </si>
  <si>
    <t>HELPER MEKANIK ALAT BERAT</t>
  </si>
  <si>
    <t>WORKSHOP</t>
  </si>
  <si>
    <t>ABD. ASIS</t>
  </si>
  <si>
    <t>MEKANIK ALAT BERAT</t>
  </si>
  <si>
    <t>2023-11-30 06.54.50</t>
  </si>
  <si>
    <t>2023-11-30 20.02.45</t>
  </si>
  <si>
    <t>ABD. RIFAI</t>
  </si>
  <si>
    <t>OPERATOR BULLDOZER</t>
  </si>
  <si>
    <t>PRODUKSI</t>
  </si>
  <si>
    <t>2023-11-30 05.27.01</t>
  </si>
  <si>
    <t>ABDUL</t>
  </si>
  <si>
    <t>DRIVER DT H700ZY</t>
  </si>
  <si>
    <t>2024-03-30 06.42.23</t>
  </si>
  <si>
    <t>ABDUL HALIM</t>
  </si>
  <si>
    <t>CV. Monalisa</t>
  </si>
  <si>
    <t>SAFETY OFFICER</t>
  </si>
  <si>
    <t>HSE</t>
  </si>
  <si>
    <t>2024-03-31 07.36.12</t>
  </si>
  <si>
    <t>2024-03-31 17.01.29</t>
  </si>
  <si>
    <t>ABDUL MUTTAQIEN</t>
  </si>
  <si>
    <t>CHECKER PRODUKSI</t>
  </si>
  <si>
    <t>2023-11-30 20.37.55</t>
  </si>
  <si>
    <t>ABDUL RAHMAN</t>
  </si>
  <si>
    <t>2024-03-31 06.23.29</t>
  </si>
  <si>
    <t>2024-03-31 15.58.04</t>
  </si>
  <si>
    <t>ABDUL SAMAT KOROMPOT</t>
  </si>
  <si>
    <t>CREW LOGISTIK</t>
  </si>
  <si>
    <t>LOGISTIC</t>
  </si>
  <si>
    <t>2023-11-30 07.04.47</t>
  </si>
  <si>
    <t>2023-11-30 22.00.05</t>
  </si>
  <si>
    <t>ADE ILHAMZAH SALAM</t>
  </si>
  <si>
    <t>Kristen Protestan</t>
  </si>
  <si>
    <t>ASISTEN FOREMAN PRODUKSI</t>
  </si>
  <si>
    <t>2023-11-30 18.14.06</t>
  </si>
  <si>
    <t>ADHI PRANATA</t>
  </si>
  <si>
    <t>Hindu</t>
  </si>
  <si>
    <t>2023-11-30 05.09.12</t>
  </si>
  <si>
    <t>2023-11-30 16.51.46</t>
  </si>
  <si>
    <t>ADI PANGREKSO</t>
  </si>
  <si>
    <t>MEKANIK</t>
  </si>
  <si>
    <t>2023-11-30 06.20.35</t>
  </si>
  <si>
    <t>2023-11-30 17.00.17</t>
  </si>
  <si>
    <t>ADI PAWATAK</t>
  </si>
  <si>
    <t>HELPER MEKANIK LV</t>
  </si>
  <si>
    <t>2023-11-30 06.48.34</t>
  </si>
  <si>
    <t>2023-11-30 16.19.47</t>
  </si>
  <si>
    <t>ADRI</t>
  </si>
  <si>
    <t>ADRIANUS PATI OPENG</t>
  </si>
  <si>
    <t>DRIVER LV</t>
  </si>
  <si>
    <t>2024-03-31 06.34.17</t>
  </si>
  <si>
    <t>2024-03-31 19.57.58</t>
  </si>
  <si>
    <t>ADRIAWAN</t>
  </si>
  <si>
    <t>HELPER TYRE</t>
  </si>
  <si>
    <t>2023-11-30 07.07.49</t>
  </si>
  <si>
    <t>2023-11-30 22.30.49</t>
  </si>
  <si>
    <t>AGRIAWAN</t>
  </si>
  <si>
    <t>2023-11-30 07.19.08</t>
  </si>
  <si>
    <t>AGUNG YOGA PRATAMA</t>
  </si>
  <si>
    <t>STAFF HRD</t>
  </si>
  <si>
    <t>HRD &amp; GA</t>
  </si>
  <si>
    <t>2024-03-31 07.25.38</t>
  </si>
  <si>
    <t>2024-03-31 16.37.09</t>
  </si>
  <si>
    <t>AGUS AMIRUDDIN</t>
  </si>
  <si>
    <t>FOREMAN PRODUKSI</t>
  </si>
  <si>
    <t>2023-11-30 19.47.51</t>
  </si>
  <si>
    <t>AGUS HIDAYATULLAH</t>
  </si>
  <si>
    <t>CREW SURVEY</t>
  </si>
  <si>
    <t>2023-11-30 19.54.00</t>
  </si>
  <si>
    <t>AGUS MULYADI</t>
  </si>
  <si>
    <t>CHECKER KENDARAAN</t>
  </si>
  <si>
    <t>2023-11-30 06.55.31</t>
  </si>
  <si>
    <t>2023-11-30 18.07.13</t>
  </si>
  <si>
    <t>AGUSMAN</t>
  </si>
  <si>
    <t>AGUSTINUS WIRIANA</t>
  </si>
  <si>
    <t>OPERATOR EXCAVATOR</t>
  </si>
  <si>
    <t>AHIRABIN TENGE</t>
  </si>
  <si>
    <t>HELPER MECHANIC DT OTR</t>
  </si>
  <si>
    <t>2023-11-30 06.33.13</t>
  </si>
  <si>
    <t>2023-11-30 18.14.59</t>
  </si>
  <si>
    <t>AHMAD ALFIAN LUBIS</t>
  </si>
  <si>
    <t>2023-11-30 06.41.10</t>
  </si>
  <si>
    <t>2023-11-30 19.01.19</t>
  </si>
  <si>
    <t>AHMAD SERANG</t>
  </si>
  <si>
    <t>2023-11-18 05.25.47</t>
  </si>
  <si>
    <t>AIDIL L. SARANANI</t>
  </si>
  <si>
    <t>2024-03-31 06.12.22</t>
  </si>
  <si>
    <t>2024-03-31 15.58.09</t>
  </si>
  <si>
    <t>AKMAL</t>
  </si>
  <si>
    <t>2024-03-28 05.42.01</t>
  </si>
  <si>
    <t>AKMAL ENHAS</t>
  </si>
  <si>
    <t>ALAM</t>
  </si>
  <si>
    <t>DRIVER DT H500</t>
  </si>
  <si>
    <t>2024-03-31 06.38.52</t>
  </si>
  <si>
    <t>2024-03-31 16.43.22</t>
  </si>
  <si>
    <t>ALBERT PALABURU</t>
  </si>
  <si>
    <t>2024-03-31 06.47.51</t>
  </si>
  <si>
    <t>2024-03-31 17.59.02</t>
  </si>
  <si>
    <t>ALBERTUS KAPONG</t>
  </si>
  <si>
    <t>FINANCE</t>
  </si>
  <si>
    <t>ALDY JIBRIEL PANE</t>
  </si>
  <si>
    <t>2024-03-31 07.15.27</t>
  </si>
  <si>
    <t>ALFI SAHRIN</t>
  </si>
  <si>
    <t>BAGIAN UMUM</t>
  </si>
  <si>
    <t>2024-03-31 19.20.17</t>
  </si>
  <si>
    <t>ALFRENDI LEONARD TANGGI</t>
  </si>
  <si>
    <t>WASHING MAN</t>
  </si>
  <si>
    <t>2023-11-30 19.22.36</t>
  </si>
  <si>
    <t>2023-11-30 22.02.22</t>
  </si>
  <si>
    <t>ALFRETH ALVIAN TIAKI</t>
  </si>
  <si>
    <t>ALI SADAR</t>
  </si>
  <si>
    <t>SECURITY</t>
  </si>
  <si>
    <t>2024-03-31 07.09.25</t>
  </si>
  <si>
    <t>2024-03-31 18.32.52</t>
  </si>
  <si>
    <t>ALKHISER M. LUMIMPUO</t>
  </si>
  <si>
    <t>FOREMAN KENDARAAN</t>
  </si>
  <si>
    <t>2023-11-14 06.37.54</t>
  </si>
  <si>
    <t>ALTON JALAKI</t>
  </si>
  <si>
    <t>2024-03-31 19.18.44</t>
  </si>
  <si>
    <t>ALVIANUS DUMA'</t>
  </si>
  <si>
    <t>2023-11-30 06.02.23</t>
  </si>
  <si>
    <t>ALYMUDDIN TAMBA</t>
  </si>
  <si>
    <t>2023-11-29 14.07.53</t>
  </si>
  <si>
    <t>AMAL RAIS</t>
  </si>
  <si>
    <t>2024-03-15 04.59.41</t>
  </si>
  <si>
    <t>AMBO IRI</t>
  </si>
  <si>
    <t>2023-11-30 17.11.44</t>
  </si>
  <si>
    <t>AMBO ULENG</t>
  </si>
  <si>
    <t>DRIVER DT H700ZS</t>
  </si>
  <si>
    <t>2024-03-31 06.00.08</t>
  </si>
  <si>
    <t>2024-03-31 16.11.47</t>
  </si>
  <si>
    <t>AMINUDDIN</t>
  </si>
  <si>
    <t>AMIRUDDIN</t>
  </si>
  <si>
    <t>2024-03-31 03.11.09</t>
  </si>
  <si>
    <t>2024-03-31 16.12.11</t>
  </si>
  <si>
    <t>01.1120.9011</t>
  </si>
  <si>
    <t>ANDHIKA RATNASARI POBELA</t>
  </si>
  <si>
    <t>2023-10-31 07.12.19</t>
  </si>
  <si>
    <t>2023-10-31 18.38.25</t>
  </si>
  <si>
    <t>ANDI</t>
  </si>
  <si>
    <t>ANDI ARIFIN</t>
  </si>
  <si>
    <t>2023-11-30 05.31.00</t>
  </si>
  <si>
    <t>2023-11-30 16.23.31</t>
  </si>
  <si>
    <t>ANDI B.</t>
  </si>
  <si>
    <t>2023-11-30 06.47.22</t>
  </si>
  <si>
    <t>2023-11-30 07.02.11</t>
  </si>
  <si>
    <t>ANDI HAMRIN</t>
  </si>
  <si>
    <t>2023-11-30 05.52.12</t>
  </si>
  <si>
    <t>ANDI WISANDI</t>
  </si>
  <si>
    <t>2023-11-30 07.18.53</t>
  </si>
  <si>
    <t>2023-11-30 20.59.50</t>
  </si>
  <si>
    <t>ANDILLA</t>
  </si>
  <si>
    <t>OPERATOR ADT</t>
  </si>
  <si>
    <t>2023-11-30 06.09.30</t>
  </si>
  <si>
    <t>ANDRE MINTI</t>
  </si>
  <si>
    <t>DRIVER DT</t>
  </si>
  <si>
    <t>2024-03-26 03.47.31</t>
  </si>
  <si>
    <t>ANDRE WILLIAM MANUSIWA</t>
  </si>
  <si>
    <t>HELPER FUEL</t>
  </si>
  <si>
    <t>2023-12-21 04.39.19</t>
  </si>
  <si>
    <t>2023-12-21 21.57.26</t>
  </si>
  <si>
    <t>ANDRI S. TARIFUDDIN</t>
  </si>
  <si>
    <t>2023-11-30 05.35.25</t>
  </si>
  <si>
    <t>2023-11-30 22.01.54</t>
  </si>
  <si>
    <t>ANGGI SIR HERYANTO</t>
  </si>
  <si>
    <t>2024-03-29 03.10.56</t>
  </si>
  <si>
    <t>ANI NURAINI</t>
  </si>
  <si>
    <t>STOCKER</t>
  </si>
  <si>
    <t>2024-03-31 00.01.13</t>
  </si>
  <si>
    <t>2024-03-31 12.00.03</t>
  </si>
  <si>
    <t>ANIL</t>
  </si>
  <si>
    <t>OFFICE BOY</t>
  </si>
  <si>
    <t>2024-03-31 08.52.48</t>
  </si>
  <si>
    <t>2024-03-31 17.39.12</t>
  </si>
  <si>
    <t>ANNA GLORIA SOMALINGGI</t>
  </si>
  <si>
    <t>ADMIN MPE</t>
  </si>
  <si>
    <t>2023-11-30 07.26.42</t>
  </si>
  <si>
    <t>2023-11-30 16.30.49</t>
  </si>
  <si>
    <t>ANSHAR</t>
  </si>
  <si>
    <t>2024-03-31 05.35.39</t>
  </si>
  <si>
    <t>2024-03-31 17.01.52</t>
  </si>
  <si>
    <t>ANTONIUS</t>
  </si>
  <si>
    <t>2023-11-30 05.42.11</t>
  </si>
  <si>
    <t>ANTONIUS RUPANG</t>
  </si>
  <si>
    <t>2023-11-30 16.44.17</t>
  </si>
  <si>
    <t>APENDI</t>
  </si>
  <si>
    <t>2023-11-30 05.04.31</t>
  </si>
  <si>
    <t>AQIL</t>
  </si>
  <si>
    <t>2024-03-31 03.07.00</t>
  </si>
  <si>
    <t>2024-03-31 21.43.13</t>
  </si>
  <si>
    <t>ARAFNAL</t>
  </si>
  <si>
    <t>2024-03-30 19.15.53</t>
  </si>
  <si>
    <t>ARDI</t>
  </si>
  <si>
    <t>ARDIAN</t>
  </si>
  <si>
    <t>2023-11-22 16.58.23</t>
  </si>
  <si>
    <t>ARDIANSYAH</t>
  </si>
  <si>
    <t>HELPER MECHANIC MAINTENANCE</t>
  </si>
  <si>
    <t>ARHAM</t>
  </si>
  <si>
    <t>HELPER MEKANIK</t>
  </si>
  <si>
    <t>ARIADI TURUSI</t>
  </si>
  <si>
    <t>ARIEF MOWOSE</t>
  </si>
  <si>
    <t>2024-03-26 07.27.28</t>
  </si>
  <si>
    <t>2024-03-26 16.33.01</t>
  </si>
  <si>
    <t>ARIEF RACHMAN</t>
  </si>
  <si>
    <t>ARIS</t>
  </si>
  <si>
    <t>2023-11-29 17.11.21</t>
  </si>
  <si>
    <t>ARIZAL</t>
  </si>
  <si>
    <t>2024-03-31 06.56.39</t>
  </si>
  <si>
    <t>2024-03-31 16.15.04</t>
  </si>
  <si>
    <t>ARLIANUS DAGUL</t>
  </si>
  <si>
    <t>CREW PREPARASI</t>
  </si>
  <si>
    <t>2023-11-30 06.27.43</t>
  </si>
  <si>
    <t>2023-11-30 19.25.47</t>
  </si>
  <si>
    <t>ARMANSYAH</t>
  </si>
  <si>
    <t>2024-03-31 03.17.20</t>
  </si>
  <si>
    <t>2024-03-31 20.29.46</t>
  </si>
  <si>
    <t>ARSYAD</t>
  </si>
  <si>
    <t>2023-11-30 05.33.08</t>
  </si>
  <si>
    <t>ASKAR</t>
  </si>
  <si>
    <t>ASMAR</t>
  </si>
  <si>
    <t>2024-03-31 06.43.26</t>
  </si>
  <si>
    <t>ASRIADY</t>
  </si>
  <si>
    <t>2023-11-29 05.55.31</t>
  </si>
  <si>
    <t>ASRIANTO</t>
  </si>
  <si>
    <t>2024-03-31 18.46.54</t>
  </si>
  <si>
    <t>ASRIL PANGANDO</t>
  </si>
  <si>
    <t>2023-11-30 07.20.43</t>
  </si>
  <si>
    <t>2023-11-30 20.09.06</t>
  </si>
  <si>
    <t>ASRIN AHIMA</t>
  </si>
  <si>
    <t>2023-11-30 06.43.36</t>
  </si>
  <si>
    <t>ASRUL</t>
  </si>
  <si>
    <t>2023-11-29 20.12.40</t>
  </si>
  <si>
    <t>ASRUL SANDI</t>
  </si>
  <si>
    <t>2023-11-30 05.09.54</t>
  </si>
  <si>
    <t>ASSE</t>
  </si>
  <si>
    <t>2024-03-31 07.43.30</t>
  </si>
  <si>
    <t>2024-03-31 17.57.56</t>
  </si>
  <si>
    <t>ASTITI RAHAYU</t>
  </si>
  <si>
    <t>TREASURY (KASIR)</t>
  </si>
  <si>
    <t>2024-03-31 08.25.07</t>
  </si>
  <si>
    <t>AWALUDIN</t>
  </si>
  <si>
    <t>2023-11-29 06.38.36</t>
  </si>
  <si>
    <t>AWALUDIN MASAHENGKE</t>
  </si>
  <si>
    <t>2024-03-31 23.05.15</t>
  </si>
  <si>
    <t>Administrator</t>
  </si>
  <si>
    <t>2023-09-05 14.06.20</t>
  </si>
  <si>
    <t>BAHARUDDIN</t>
  </si>
  <si>
    <t>2024-03-25 06.02.09</t>
  </si>
  <si>
    <t>2024-03-25 16.03.52</t>
  </si>
  <si>
    <t>2023-11-22 05.55.48</t>
  </si>
  <si>
    <t>2023-11-22 19.15.01</t>
  </si>
  <si>
    <t>BAHARUDIN</t>
  </si>
  <si>
    <t>2023-03-28 06.18.10</t>
  </si>
  <si>
    <t>BAHRI</t>
  </si>
  <si>
    <t>2024-03-31 05.55.53</t>
  </si>
  <si>
    <t>2024-03-31 17.20.36</t>
  </si>
  <si>
    <t>BAKRI</t>
  </si>
  <si>
    <t>2024-03-31 08.30.31</t>
  </si>
  <si>
    <t>2024-03-31 15.59.51</t>
  </si>
  <si>
    <t>BAMBANG</t>
  </si>
  <si>
    <t>BARTOLOMEUS</t>
  </si>
  <si>
    <t>2024-03-31 05.42.09</t>
  </si>
  <si>
    <t>2024-03-31 16.06.58</t>
  </si>
  <si>
    <t>BENO SANDA TODING</t>
  </si>
  <si>
    <t>2023-08-11 06.34.29</t>
  </si>
  <si>
    <t>BENYAMIN BUTTU</t>
  </si>
  <si>
    <t>2023-11-30 06.23.57</t>
  </si>
  <si>
    <t>2023-11-30 16.49.31</t>
  </si>
  <si>
    <t>BOBBY TUMBOL</t>
  </si>
  <si>
    <t>2024-03-31 06.30.12</t>
  </si>
  <si>
    <t>2024-03-31 17.10.56</t>
  </si>
  <si>
    <t>BOBI YAENTU</t>
  </si>
  <si>
    <t>HEAD OF WELDER</t>
  </si>
  <si>
    <t>2023-11-30 14.04.41</t>
  </si>
  <si>
    <t>BUNASE</t>
  </si>
  <si>
    <t>2024-03-31 17.21.15</t>
  </si>
  <si>
    <t>BUSMAN</t>
  </si>
  <si>
    <t>2024-03-31 06.00.33</t>
  </si>
  <si>
    <t>BUSTAN</t>
  </si>
  <si>
    <t>2023-11-29 15.24.01</t>
  </si>
  <si>
    <t>CHANDRA KRISTOVEL LORE</t>
  </si>
  <si>
    <t>2024-03-31 06.00.25</t>
  </si>
  <si>
    <t>2024-03-31 21.38.14</t>
  </si>
  <si>
    <t>CORNELIUS RANNU RASYD</t>
  </si>
  <si>
    <t>CRISMAN PAMUSU</t>
  </si>
  <si>
    <t>2024-03-30 07.11.17</t>
  </si>
  <si>
    <t>2024-03-30 18.06.12</t>
  </si>
  <si>
    <t>DAHLAN BIN RABBI</t>
  </si>
  <si>
    <t>2024-03-27 18.40.41</t>
  </si>
  <si>
    <t>DANDI SAPUTRA</t>
  </si>
  <si>
    <t>HELPER MAINTENANCE</t>
  </si>
  <si>
    <t>2023-11-29 06.00.00</t>
  </si>
  <si>
    <t>2023-11-29 22.55.27</t>
  </si>
  <si>
    <t>DANIEL BENY MANTOUW</t>
  </si>
  <si>
    <t>DANIEL SAMPE TODING</t>
  </si>
  <si>
    <t>2023-11-30 04.51.34</t>
  </si>
  <si>
    <t>2023-11-30 17.05.37</t>
  </si>
  <si>
    <t>DANIEL TABANG</t>
  </si>
  <si>
    <t>DARMAN</t>
  </si>
  <si>
    <t>2024-03-31 06.44.26</t>
  </si>
  <si>
    <t>2024-03-31 16.00.33</t>
  </si>
  <si>
    <t>DASNAL PUTRA LANGGARA</t>
  </si>
  <si>
    <t>2023-11-30 05.56.20</t>
  </si>
  <si>
    <t>DAVID</t>
  </si>
  <si>
    <t>2023-12-29 07.12.13</t>
  </si>
  <si>
    <t>DEDI YUDHA K. T</t>
  </si>
  <si>
    <t>ADMIN WORKSHOP</t>
  </si>
  <si>
    <t>2023-11-30 07.03.09</t>
  </si>
  <si>
    <t>2023-11-30 21.38.44</t>
  </si>
  <si>
    <t>DEFRI AFRIANSA RETEA</t>
  </si>
  <si>
    <t>DELVIYANTO PERUPA</t>
  </si>
  <si>
    <t>2023-11-30 05.56.28</t>
  </si>
  <si>
    <t>DENI PENGKE</t>
  </si>
  <si>
    <t>2024-03-20 04.51.56</t>
  </si>
  <si>
    <t>DENIEL MOSIPATE</t>
  </si>
  <si>
    <t>DERIKSON LAUGI</t>
  </si>
  <si>
    <t>KOORDINATOR MAINTENANCE</t>
  </si>
  <si>
    <t>2023-11-25 04.03.38</t>
  </si>
  <si>
    <t>DEVERSON BUGI</t>
  </si>
  <si>
    <t>DEVI SIMAN</t>
  </si>
  <si>
    <t>HEAD OF SECURITY</t>
  </si>
  <si>
    <t>2024-03-31 03.56.13</t>
  </si>
  <si>
    <t>2024-03-31 16.05.25</t>
  </si>
  <si>
    <t>DIVATD AGRISTO POLOWIWI</t>
  </si>
  <si>
    <t>2023-11-30 05.53.38</t>
  </si>
  <si>
    <t>2023-11-30 19.30.00</t>
  </si>
  <si>
    <t>DOMINGGUS</t>
  </si>
  <si>
    <t>2023-11-30 05.22.56</t>
  </si>
  <si>
    <t>DOMINGGUS PATIUNG</t>
  </si>
  <si>
    <t>2023-11-30 04.19.10</t>
  </si>
  <si>
    <t>2023-11-30 16.22.38</t>
  </si>
  <si>
    <t>DOMINIKUS MITEN LARANTUKAN</t>
  </si>
  <si>
    <t>HEAD OF FUEL</t>
  </si>
  <si>
    <t>2023-10-27 23.31.29</t>
  </si>
  <si>
    <t>DONI ARDIYANSAH</t>
  </si>
  <si>
    <t>2023-11-30 04.48.09</t>
  </si>
  <si>
    <t>DORIS TIKU PADANG</t>
  </si>
  <si>
    <t>STAFF GA</t>
  </si>
  <si>
    <t>2024-03-31 06.57.57</t>
  </si>
  <si>
    <t>2024-03-31 17.02.25</t>
  </si>
  <si>
    <t>DUAR KASWANDAR</t>
  </si>
  <si>
    <t>2024-03-31 05.08.03</t>
  </si>
  <si>
    <t>2024-03-31 17.48.10</t>
  </si>
  <si>
    <t>DWI RIANTO PANIDI PUTRA</t>
  </si>
  <si>
    <t>E</t>
  </si>
  <si>
    <t>EDUARDUS KUTENG</t>
  </si>
  <si>
    <t>2023-11-30 04.44.00</t>
  </si>
  <si>
    <t>2023-11-30 07.13.15</t>
  </si>
  <si>
    <t>EDUARDUS NARANG</t>
  </si>
  <si>
    <t>OPERATOR COMPACTOR</t>
  </si>
  <si>
    <t>2023-11-29 17.00.14</t>
  </si>
  <si>
    <t>EFENDY</t>
  </si>
  <si>
    <t>2024-03-31 06.47.31</t>
  </si>
  <si>
    <t>2024-03-31 21.17.19</t>
  </si>
  <si>
    <t>EFRAN RARE'A</t>
  </si>
  <si>
    <t>2022-10-27 06.32.04</t>
  </si>
  <si>
    <t>EFRONIUS TEOK</t>
  </si>
  <si>
    <t>2023-11-29 05.45.19</t>
  </si>
  <si>
    <t>EKELESIA BALIGOMBO</t>
  </si>
  <si>
    <t>2024-03-31 05.10.03</t>
  </si>
  <si>
    <t>2024-03-31 15.59.59</t>
  </si>
  <si>
    <t>EKI SURAHMAN</t>
  </si>
  <si>
    <t>2023-11-30 07.09.22</t>
  </si>
  <si>
    <t>2023-11-30 19.19.01</t>
  </si>
  <si>
    <t>EKKI HIDIN</t>
  </si>
  <si>
    <t>2023-11-30 16.55.06</t>
  </si>
  <si>
    <t>EKY SIDIK PRATAMA, ST</t>
  </si>
  <si>
    <t>HEAD OF PPC</t>
  </si>
  <si>
    <t>2023-11-30 07.29.46</t>
  </si>
  <si>
    <t>03.0619.9010</t>
  </si>
  <si>
    <t>EL YASIB SAMAILI</t>
  </si>
  <si>
    <t>ELIM SIMON BIU</t>
  </si>
  <si>
    <t>2024-03-28 06.30.12</t>
  </si>
  <si>
    <t>2024-03-28 16.55.19</t>
  </si>
  <si>
    <t>ELSA SABE</t>
  </si>
  <si>
    <t>2023-11-30 04.59.23</t>
  </si>
  <si>
    <t>2023-11-30 16.55.28</t>
  </si>
  <si>
    <t>EMMA FEBRIANTI SINU</t>
  </si>
  <si>
    <t>2024-03-31 06.47.16</t>
  </si>
  <si>
    <t>2024-03-31 19.03.05</t>
  </si>
  <si>
    <t>EMMY</t>
  </si>
  <si>
    <t>2023-03-23 04.31.53</t>
  </si>
  <si>
    <t>ENAL TOLIMBA</t>
  </si>
  <si>
    <t>ERNIE FRISLIA</t>
  </si>
  <si>
    <t>HEAD OF HRGA</t>
  </si>
  <si>
    <t>2024-03-31 07.26.56</t>
  </si>
  <si>
    <t>2024-03-31 17.56.19</t>
  </si>
  <si>
    <t>ERNUS ESAN</t>
  </si>
  <si>
    <t>2023-11-26 16.27.31</t>
  </si>
  <si>
    <t>ERWIN</t>
  </si>
  <si>
    <t>2024-03-31 05.59.31</t>
  </si>
  <si>
    <t>2024-03-31 18.44.23</t>
  </si>
  <si>
    <t>ERWIN PASALI</t>
  </si>
  <si>
    <t>2022-03-23 05.17.22</t>
  </si>
  <si>
    <t>ERWIN SAPA</t>
  </si>
  <si>
    <t>FIELD ENGINEERING</t>
  </si>
  <si>
    <t>2023-11-30 07.41.33</t>
  </si>
  <si>
    <t>2023-11-30 17.09.57</t>
  </si>
  <si>
    <t>ERWINSYAH LAMBEJA</t>
  </si>
  <si>
    <t>FOREMAN GRADE CONTROL</t>
  </si>
  <si>
    <t>2023-11-30 06.48.20</t>
  </si>
  <si>
    <t>EVANTINUS IRWANDI MAHAL</t>
  </si>
  <si>
    <t>2023-11-28 21.52.53</t>
  </si>
  <si>
    <t>EVERSON LONTOE</t>
  </si>
  <si>
    <t>2023-11-30 05.42.38</t>
  </si>
  <si>
    <t>EVIL HARIANTO</t>
  </si>
  <si>
    <t>2023-11-30 06.49.17</t>
  </si>
  <si>
    <t>2023-11-30 19.45.30</t>
  </si>
  <si>
    <t>FADLI KUSDIATNO SIMBANGU</t>
  </si>
  <si>
    <t>HELPER BODY REPAIR</t>
  </si>
  <si>
    <t>2023-11-29 18.06.09</t>
  </si>
  <si>
    <t>FAIZAL RAMADHAN BAKRI</t>
  </si>
  <si>
    <t>ELECTRICIAN</t>
  </si>
  <si>
    <t>FAJAR BASRI</t>
  </si>
  <si>
    <t>FALDI HULOPI</t>
  </si>
  <si>
    <t>2024-03-30 05.41.29</t>
  </si>
  <si>
    <t>2024-03-30 17.37.57</t>
  </si>
  <si>
    <t>FARID S. NENTO</t>
  </si>
  <si>
    <t>2024-03-31 07.18.11</t>
  </si>
  <si>
    <t>2024-03-31 16.27.06</t>
  </si>
  <si>
    <t>FAT</t>
  </si>
  <si>
    <t>FELISINO VINCENSIUS NAHAK</t>
  </si>
  <si>
    <t>ENGINEERING</t>
  </si>
  <si>
    <t>INFRASTRUKTUR</t>
  </si>
  <si>
    <t>FERDIANSYAH</t>
  </si>
  <si>
    <t>2023-11-29 06.09.07</t>
  </si>
  <si>
    <t>FERDINANDUS EGU</t>
  </si>
  <si>
    <t>2023-11-30 06.09.54</t>
  </si>
  <si>
    <t>2023-11-30 21.29.44</t>
  </si>
  <si>
    <t>FERIYANTO</t>
  </si>
  <si>
    <t>2023-11-28 17.24.30</t>
  </si>
  <si>
    <t>FERR</t>
  </si>
  <si>
    <t>FERRY FERNANDO NABABAN</t>
  </si>
  <si>
    <t>FIRMAN</t>
  </si>
  <si>
    <t>2024-03-31 06.00.15</t>
  </si>
  <si>
    <t>2024-03-31 18.25.03</t>
  </si>
  <si>
    <t>FIRMANSYAH</t>
  </si>
  <si>
    <t>ADMIN PRODUKSI</t>
  </si>
  <si>
    <t>2023-12-31 09.37.03</t>
  </si>
  <si>
    <t>FIRMANSYAH AJINU</t>
  </si>
  <si>
    <t>2023-11-29 06.55.42</t>
  </si>
  <si>
    <t>FOLCERIYANTO MUSA</t>
  </si>
  <si>
    <t>2023-11-30 07.08.13</t>
  </si>
  <si>
    <t>FORAL Z MAMARASI</t>
  </si>
  <si>
    <t>2023-11-30 04.00.55</t>
  </si>
  <si>
    <t>2023-11-30 16.12.06</t>
  </si>
  <si>
    <t>FRAIM VEKY MANITU</t>
  </si>
  <si>
    <t>2023-11-14 18.25.36</t>
  </si>
  <si>
    <t>FRAJA DANDURU</t>
  </si>
  <si>
    <t>2023-11-30 05.42.05</t>
  </si>
  <si>
    <t>FRANGKI STENLY LADAEE</t>
  </si>
  <si>
    <t>2023-11-30 06.05.11</t>
  </si>
  <si>
    <t>FRANGKY TENGKENDE</t>
  </si>
  <si>
    <t>FRANSISKUS AHMAD</t>
  </si>
  <si>
    <t>2023-11-30 05.30.06</t>
  </si>
  <si>
    <t>FREGI YUNILSON LAGANI</t>
  </si>
  <si>
    <t>FRETS BADU</t>
  </si>
  <si>
    <t>2023-11-30 07.04.14</t>
  </si>
  <si>
    <t>2023-11-30 17.35.56</t>
  </si>
  <si>
    <t>GANDENSIUS RAMAN</t>
  </si>
  <si>
    <t>2023-11-30 04.34.09</t>
  </si>
  <si>
    <t>GEDE HERY JULIANTARA</t>
  </si>
  <si>
    <t>2023-11-30 21.48.17</t>
  </si>
  <si>
    <t>GERALDY EICMAN LAKIU</t>
  </si>
  <si>
    <t>2023-11-30 23.16.53</t>
  </si>
  <si>
    <t>GERALDY HISKIA OROH</t>
  </si>
  <si>
    <t>GERSON MAABUAT</t>
  </si>
  <si>
    <t>HELPER WELDER</t>
  </si>
  <si>
    <t>2023-11-29 22.16.46</t>
  </si>
  <si>
    <t>GILBERT ANTHONIO PANGAI</t>
  </si>
  <si>
    <t>2024-03-31 07.03.10</t>
  </si>
  <si>
    <t>2024-03-31 22.20.18</t>
  </si>
  <si>
    <t>GUNANTO</t>
  </si>
  <si>
    <t>2024-03-31 06.28.51</t>
  </si>
  <si>
    <t>2024-03-31 17.17.00</t>
  </si>
  <si>
    <t>GUNAWAN</t>
  </si>
  <si>
    <t>CREW EXPLORASI</t>
  </si>
  <si>
    <t>2023-11-30 05.08.49</t>
  </si>
  <si>
    <t>2023-11-30 18.34.38</t>
  </si>
  <si>
    <t>GUSTAF BILHAM MOPASU</t>
  </si>
  <si>
    <t>2024-03-31 07.59.30</t>
  </si>
  <si>
    <t>GUSTI RANDA HUSAIN</t>
  </si>
  <si>
    <t>2024-03-31 05.22.41</t>
  </si>
  <si>
    <t>2024-03-31 17.33.33</t>
  </si>
  <si>
    <t>HABIBI</t>
  </si>
  <si>
    <t>2024-03-31 06.38.39</t>
  </si>
  <si>
    <t>2024-03-31 13.17.27</t>
  </si>
  <si>
    <t>HAIRIL</t>
  </si>
  <si>
    <t>HAMDAN ALI</t>
  </si>
  <si>
    <t>2024-03-29 17.13.43</t>
  </si>
  <si>
    <t>HAMDI, A. Md</t>
  </si>
  <si>
    <t>2023-11-30 05.49.57</t>
  </si>
  <si>
    <t>HANI LARASATI</t>
  </si>
  <si>
    <t>ADMIN LOGISTIC</t>
  </si>
  <si>
    <t>2023-11-30 07.31.11</t>
  </si>
  <si>
    <t>HARDIAN AKANGKUNG</t>
  </si>
  <si>
    <t>2024-03-30 16.03.09</t>
  </si>
  <si>
    <t>HARIYANTO</t>
  </si>
  <si>
    <t>2024-03-31 06.11.17</t>
  </si>
  <si>
    <t>2024-03-31 17.18.18</t>
  </si>
  <si>
    <t>HARTONI LAPIAN</t>
  </si>
  <si>
    <t>SUPERVISI</t>
  </si>
  <si>
    <t>HARYADI ABDUL RAHIM</t>
  </si>
  <si>
    <t>2024-03-31 05.50.31</t>
  </si>
  <si>
    <t>2024-03-31 18.00.13</t>
  </si>
  <si>
    <t>HASAN LAATA</t>
  </si>
  <si>
    <t>2023-11-30 05.44.34</t>
  </si>
  <si>
    <t>2023-11-30 16.56.42</t>
  </si>
  <si>
    <t>HASAN SYAMSUDIN</t>
  </si>
  <si>
    <t>2023-11-30 07.08.29</t>
  </si>
  <si>
    <t>HASRUL</t>
  </si>
  <si>
    <t>2024-03-30 03.14.41</t>
  </si>
  <si>
    <t>HEIRUDDIN CHAIRIL</t>
  </si>
  <si>
    <t>2024-03-31 05.27.26</t>
  </si>
  <si>
    <t>HELIUS SALDINUS SERVIN NDAHU</t>
  </si>
  <si>
    <t>2023-11-29 22.17.00</t>
  </si>
  <si>
    <t>HENDRA</t>
  </si>
  <si>
    <t>DRIVER BUS</t>
  </si>
  <si>
    <t>2024-03-31 05.42.50</t>
  </si>
  <si>
    <t>2024-03-31 18.28.20</t>
  </si>
  <si>
    <t>HENDRA GUNAWAN DEWANTO</t>
  </si>
  <si>
    <t>2024-03-31 05.58.46</t>
  </si>
  <si>
    <t>2024-03-31 16.30.20</t>
  </si>
  <si>
    <t>HENDRAWAN</t>
  </si>
  <si>
    <t>2023-11-30 07.05.00</t>
  </si>
  <si>
    <t>HENDRIK</t>
  </si>
  <si>
    <t>2023-11-30 06.01.16</t>
  </si>
  <si>
    <t>2023-11-30 20.22.42</t>
  </si>
  <si>
    <t>2024-03-28 04.48.14</t>
  </si>
  <si>
    <t>2024-03-28 16.56.18</t>
  </si>
  <si>
    <t>HENDRIK SUBIA</t>
  </si>
  <si>
    <t>2024-03-24 06.47.13</t>
  </si>
  <si>
    <t>2024-03-24 16.16.37</t>
  </si>
  <si>
    <t>HENDRO</t>
  </si>
  <si>
    <t>HENIMUS YONSI</t>
  </si>
  <si>
    <t>2023-11-28 06.00.35</t>
  </si>
  <si>
    <t>2023-11-28 20.55.08</t>
  </si>
  <si>
    <t>HENITARDUS JURIMAN</t>
  </si>
  <si>
    <t>2023-11-30 05.51.01</t>
  </si>
  <si>
    <t>HERI ISWANTO</t>
  </si>
  <si>
    <t>2024-03-31 06.47.55</t>
  </si>
  <si>
    <t>2024-03-31 17.07.01</t>
  </si>
  <si>
    <t>HERLAN ABRIANTO SADAGO</t>
  </si>
  <si>
    <t>2023-11-29 17.19.42</t>
  </si>
  <si>
    <t>HERMIN LIA POLEALLO</t>
  </si>
  <si>
    <t>2024-03-31 00.20.18</t>
  </si>
  <si>
    <t>2024-03-31 12.02.27</t>
  </si>
  <si>
    <t>HERRY SUTRISNO</t>
  </si>
  <si>
    <t>MEKANIK LV</t>
  </si>
  <si>
    <t>2023-11-28 06.44.42</t>
  </si>
  <si>
    <t>HORBET CRISTIANTO WOLOLI</t>
  </si>
  <si>
    <t>2024-03-31 07.18.28</t>
  </si>
  <si>
    <t>2024-03-31 23.05.50</t>
  </si>
  <si>
    <t>HOTLAN FIRMANSIA TUKKA</t>
  </si>
  <si>
    <t>I NYOMAN RAI ANGGARA PUTRA</t>
  </si>
  <si>
    <t>2023-11-30 05.59.34</t>
  </si>
  <si>
    <t>01.1120.9010</t>
  </si>
  <si>
    <t>I PUTU PARI SUTRISNA</t>
  </si>
  <si>
    <t>ACCOUNTING</t>
  </si>
  <si>
    <t>I WAYAN RUDI YASTAWA</t>
  </si>
  <si>
    <t>2024-03-31 06.14.29</t>
  </si>
  <si>
    <t>2024-03-31 18.53.48</t>
  </si>
  <si>
    <t>IBRAHIM</t>
  </si>
  <si>
    <t>2023-11-30 05.49.46</t>
  </si>
  <si>
    <t>2023-11-30 16.57.14</t>
  </si>
  <si>
    <t>ICCANG</t>
  </si>
  <si>
    <t>2023-11-30 06.57.19</t>
  </si>
  <si>
    <t>IDRUS</t>
  </si>
  <si>
    <t>2024-03-31 05.10.33</t>
  </si>
  <si>
    <t>2024-03-31 18.37.54</t>
  </si>
  <si>
    <t>IGNASIUS YANTO SAKA</t>
  </si>
  <si>
    <t>2023-11-30 07.12.09</t>
  </si>
  <si>
    <t>2023-11-30 18.24.43</t>
  </si>
  <si>
    <t>IHSAN</t>
  </si>
  <si>
    <t>2024-03-31 06.46.54</t>
  </si>
  <si>
    <t>2024-03-31 16.41.31</t>
  </si>
  <si>
    <t>IKBAL</t>
  </si>
  <si>
    <t>2023-11-30 22.26.41</t>
  </si>
  <si>
    <t>IKSAN RUAKU</t>
  </si>
  <si>
    <t>HELPER ELECTRICIAN</t>
  </si>
  <si>
    <t>ILHAM</t>
  </si>
  <si>
    <t>2023-11-30 05.36.26</t>
  </si>
  <si>
    <t>IMANUEL MONANGU</t>
  </si>
  <si>
    <t>WELDER</t>
  </si>
  <si>
    <t>IMANUEL RAFAEL SANDI</t>
  </si>
  <si>
    <t>IMER ABDI PUTRA TANDI LEMBANG</t>
  </si>
  <si>
    <t>IMRAN</t>
  </si>
  <si>
    <t>2023-11-26 07.17.17</t>
  </si>
  <si>
    <t>INANG MARWATI</t>
  </si>
  <si>
    <t>2024-03-31 06.42.34</t>
  </si>
  <si>
    <t>2024-03-31 17.55.02</t>
  </si>
  <si>
    <t>INDO DARMA PETUNA</t>
  </si>
  <si>
    <t>OPERATOR LOADER</t>
  </si>
  <si>
    <t>2023-11-30 06.04.39</t>
  </si>
  <si>
    <t>2023-11-30 17.19.27</t>
  </si>
  <si>
    <t>INDRA KURNIAWAN</t>
  </si>
  <si>
    <t>2024-03-31 04.41.00</t>
  </si>
  <si>
    <t>2024-03-31 19.02.12</t>
  </si>
  <si>
    <t>IQBAR</t>
  </si>
  <si>
    <t>2023-11-30 06.18.57</t>
  </si>
  <si>
    <t>IRFAN</t>
  </si>
  <si>
    <t>ADMIN KENDARAAN</t>
  </si>
  <si>
    <t>2024-03-31 04.22.46</t>
  </si>
  <si>
    <t>2024-03-31 22.29.51</t>
  </si>
  <si>
    <t>IRFIAN LIANSYAH</t>
  </si>
  <si>
    <t>2023-11-28 18.56.56</t>
  </si>
  <si>
    <t>IRRA APRILIA CITRA</t>
  </si>
  <si>
    <t>ASISTEN MPE</t>
  </si>
  <si>
    <t>2023-08-30 06.53.13</t>
  </si>
  <si>
    <t>2023-08-30 16.40.11</t>
  </si>
  <si>
    <t>IRWAN YUNUS</t>
  </si>
  <si>
    <t>2023-11-30 05.45.02</t>
  </si>
  <si>
    <t>IRYANTO SARES DAKURI</t>
  </si>
  <si>
    <t>ISKANDAR</t>
  </si>
  <si>
    <t>2024-03-31 06.48.20</t>
  </si>
  <si>
    <t>2024-03-31 16.53.24</t>
  </si>
  <si>
    <t>ISKARI</t>
  </si>
  <si>
    <t>2024-03-31 18.18.30</t>
  </si>
  <si>
    <t>ISMAIL</t>
  </si>
  <si>
    <t>2023-11-30 07.06.15</t>
  </si>
  <si>
    <t>2023-11-30 20.01.54</t>
  </si>
  <si>
    <t>OPERATOR GRADER</t>
  </si>
  <si>
    <t>2023-11-30 05.18.27</t>
  </si>
  <si>
    <t>2023-11-30 16.53.29</t>
  </si>
  <si>
    <t>2023-11-30 04.39.57</t>
  </si>
  <si>
    <t>2024-03-31 03.11.24</t>
  </si>
  <si>
    <t>2024-03-31 19.40.10</t>
  </si>
  <si>
    <t>ISMAN.M</t>
  </si>
  <si>
    <t>2023-11-30 06.40.44</t>
  </si>
  <si>
    <t>ISRUN AKANGKUNG</t>
  </si>
  <si>
    <t>2024-03-31 07.07.49</t>
  </si>
  <si>
    <t>2024-03-31 17.16.01</t>
  </si>
  <si>
    <t>ISWANDI</t>
  </si>
  <si>
    <t>2023-11-30 07.07.19</t>
  </si>
  <si>
    <t>JABAL</t>
  </si>
  <si>
    <t>2024-03-31 07.03.45</t>
  </si>
  <si>
    <t>2024-03-31 18.50.49</t>
  </si>
  <si>
    <t>JAIN RAMDIANTO LUMOTO</t>
  </si>
  <si>
    <t>2024-03-30 07.32.07</t>
  </si>
  <si>
    <t>JAINAL TURUSI</t>
  </si>
  <si>
    <t>2023-11-30 21.08.08</t>
  </si>
  <si>
    <t>JAMALUDDIN</t>
  </si>
  <si>
    <t>2024-03-31 05.46.29</t>
  </si>
  <si>
    <t>2024-03-31 17.08.18</t>
  </si>
  <si>
    <t>JAMALUDDIN TALAMOA</t>
  </si>
  <si>
    <t>2023-11-28 06.33.11</t>
  </si>
  <si>
    <t>JAMALUDDIN. A</t>
  </si>
  <si>
    <t>2023-11-30 07.09.03</t>
  </si>
  <si>
    <t>2023-11-30 16.13.02</t>
  </si>
  <si>
    <t>JAMER SONGKO</t>
  </si>
  <si>
    <t>2023-11-30 06.35.40</t>
  </si>
  <si>
    <t>2023-11-30 18.04.45</t>
  </si>
  <si>
    <t>JASMAN</t>
  </si>
  <si>
    <t>2023-11-30 06.59.08</t>
  </si>
  <si>
    <t>2023-11-30 16.20.00</t>
  </si>
  <si>
    <t>JEANETTE HANNA IRENE WATUNA</t>
  </si>
  <si>
    <t>2024-03-18 07.03.06</t>
  </si>
  <si>
    <t>2024-03-18 16.35.19</t>
  </si>
  <si>
    <t>JEMRIS MENGGAU</t>
  </si>
  <si>
    <t>2023-11-30 16.51.33</t>
  </si>
  <si>
    <t>JENES R. MANOPPO</t>
  </si>
  <si>
    <t>HEAD OF LOGISTIC</t>
  </si>
  <si>
    <t>2023-09-30 07.35.35</t>
  </si>
  <si>
    <t>2023-09-30 16.08.02</t>
  </si>
  <si>
    <t>JESKI</t>
  </si>
  <si>
    <t>02.0722.9007</t>
  </si>
  <si>
    <t>JESSIKA SETIAWAN</t>
  </si>
  <si>
    <t>JONI PESE</t>
  </si>
  <si>
    <t>2023-11-30 07.04.05</t>
  </si>
  <si>
    <t>JONI SALI</t>
  </si>
  <si>
    <t>JONI TAPPI</t>
  </si>
  <si>
    <t>2023-11-30 05.24.13</t>
  </si>
  <si>
    <t>2023-11-30 16.51.58</t>
  </si>
  <si>
    <t>JOYNAL SIMON</t>
  </si>
  <si>
    <t>2023-11-30 21.38.33</t>
  </si>
  <si>
    <t>JUFRY KOMALING</t>
  </si>
  <si>
    <t>HEAD OF TYRE</t>
  </si>
  <si>
    <t>2023-11-30 06.37.23</t>
  </si>
  <si>
    <t>2023-11-30 17.56.30</t>
  </si>
  <si>
    <t>JUMADI</t>
  </si>
  <si>
    <t>2024-03-31 16.20.47</t>
  </si>
  <si>
    <t>JUNAIDI</t>
  </si>
  <si>
    <t>2024-03-31 04.27.26</t>
  </si>
  <si>
    <t>2024-03-31 20.12.01</t>
  </si>
  <si>
    <t>JUSMAIL</t>
  </si>
  <si>
    <t>2023-11-30 06.04.25</t>
  </si>
  <si>
    <t>2023-11-30 17.58.49</t>
  </si>
  <si>
    <t>JUSRAN</t>
  </si>
  <si>
    <t>2023-11-30 07.15.47</t>
  </si>
  <si>
    <t>2023-11-30 20.32.49</t>
  </si>
  <si>
    <t>KADIR DG. KULLE</t>
  </si>
  <si>
    <t>2023-11-28 05.58.56</t>
  </si>
  <si>
    <t>KAHARUDDIN</t>
  </si>
  <si>
    <t>2023-11-30 07.25.31</t>
  </si>
  <si>
    <t>KAMARUDDIN</t>
  </si>
  <si>
    <t>2024-03-31 05.54.42</t>
  </si>
  <si>
    <t>2024-03-31 16.01.05</t>
  </si>
  <si>
    <t>KAMARUDDIN DG BUNDU</t>
  </si>
  <si>
    <t>2023-11-30 05.50.44</t>
  </si>
  <si>
    <t>2023-11-30 16.53.21</t>
  </si>
  <si>
    <t>KAROLIUS SEDA</t>
  </si>
  <si>
    <t>KAROLUS SEDA</t>
  </si>
  <si>
    <t>KAYSAR</t>
  </si>
  <si>
    <t>2023-11-30 04.59.10</t>
  </si>
  <si>
    <t>2023-11-30 16.55.12</t>
  </si>
  <si>
    <t>KERYO SAMANA</t>
  </si>
  <si>
    <t>2023-11-29 07.00.19</t>
  </si>
  <si>
    <t>2023-11-29 18.38.20</t>
  </si>
  <si>
    <t>KHAERUL SAPUTRA</t>
  </si>
  <si>
    <t>DRIVER MAINTENANCE</t>
  </si>
  <si>
    <t>2024-03-30 08.03.05</t>
  </si>
  <si>
    <t>2024-03-30 18.06.31</t>
  </si>
  <si>
    <t>KRISTIAN DWI JAYANTO</t>
  </si>
  <si>
    <t>2024-03-19 16.02.28</t>
  </si>
  <si>
    <t>KRISTOFORUS WAI</t>
  </si>
  <si>
    <t>2023-11-30 07.21.53</t>
  </si>
  <si>
    <t>LANTIF SUSENO</t>
  </si>
  <si>
    <t>2024-03-31 06.51.44</t>
  </si>
  <si>
    <t>2024-03-31 21.38.51</t>
  </si>
  <si>
    <t>LAUDYA ARSI</t>
  </si>
  <si>
    <t>LEFRAN PANGATI</t>
  </si>
  <si>
    <t>LESLI RENGKU</t>
  </si>
  <si>
    <t>LEXSY</t>
  </si>
  <si>
    <t>LEXSY SUMBUNG</t>
  </si>
  <si>
    <t>2023-11-30 22.06.57</t>
  </si>
  <si>
    <t>LUDIA ASRI SIAMPA</t>
  </si>
  <si>
    <t>M. AKBAR</t>
  </si>
  <si>
    <t>2023-11-30 06.09.26</t>
  </si>
  <si>
    <t>M. NASIR YALE</t>
  </si>
  <si>
    <t>2024-03-31 06.35.27</t>
  </si>
  <si>
    <t>2024-03-31 17.11.14</t>
  </si>
  <si>
    <t>M.RISKY</t>
  </si>
  <si>
    <t>MAHALI BIN AHMAD</t>
  </si>
  <si>
    <t>MAING</t>
  </si>
  <si>
    <t>2024-03-31 15.57.30</t>
  </si>
  <si>
    <t>2024-03-31 16.00.38</t>
  </si>
  <si>
    <t>MARC</t>
  </si>
  <si>
    <t>MARCHO FRITS WOTULO</t>
  </si>
  <si>
    <t>MARDI</t>
  </si>
  <si>
    <t>2024-03-31 03.11.30</t>
  </si>
  <si>
    <t>2024-03-31 16.51.12</t>
  </si>
  <si>
    <t>MARIONO</t>
  </si>
  <si>
    <t>2024-03-31 05.13.14</t>
  </si>
  <si>
    <t>MARKUS PADANG</t>
  </si>
  <si>
    <t>MARSEL MOA'E</t>
  </si>
  <si>
    <t>2024-03-31 14.41.52</t>
  </si>
  <si>
    <t>2024-03-31 23.11.17</t>
  </si>
  <si>
    <t>MARSELUS JEMI</t>
  </si>
  <si>
    <t>2023-02-10 06.57.29</t>
  </si>
  <si>
    <t>MARSUKI</t>
  </si>
  <si>
    <t>2023-11-30 05.10.51</t>
  </si>
  <si>
    <t>2023-11-30 16.52.06</t>
  </si>
  <si>
    <t>MARTHEN KALATIKU YUSAKA</t>
  </si>
  <si>
    <t>2024-03-31 06.57.54</t>
  </si>
  <si>
    <t>2024-03-31 21.06.32</t>
  </si>
  <si>
    <t>MARTHINUS</t>
  </si>
  <si>
    <t>2023-11-30 05.44.16</t>
  </si>
  <si>
    <t>MARTINUS</t>
  </si>
  <si>
    <t>2023-11-30 05.33.53</t>
  </si>
  <si>
    <t>MARYA SUSAN SIMBANGU</t>
  </si>
  <si>
    <t>HEAD OF STOCKER</t>
  </si>
  <si>
    <t>2024-03-17 07.29.41</t>
  </si>
  <si>
    <t>2024-03-17 17.27.50</t>
  </si>
  <si>
    <t>MAYKEL JULSINTO DEKE</t>
  </si>
  <si>
    <t>2024-03-31 07.33.02</t>
  </si>
  <si>
    <t>2024-03-31 18.36.08</t>
  </si>
  <si>
    <t>MELKHIOR TIPO</t>
  </si>
  <si>
    <t>MICHAEL JONAS THOMPSON FREDHYK KARUNDENG</t>
  </si>
  <si>
    <t>2024-03-31 04.58.56</t>
  </si>
  <si>
    <t>MIDUN HULOPI</t>
  </si>
  <si>
    <t>2024-03-31 05.17.22</t>
  </si>
  <si>
    <t>2024-03-31 17.41.13</t>
  </si>
  <si>
    <t>MIFTAHUDDIN, ST</t>
  </si>
  <si>
    <t>2023-11-27 06.16.23</t>
  </si>
  <si>
    <t>MILTO ASTEFANO MAGANIA</t>
  </si>
  <si>
    <t>2023-11-30 08.54.18</t>
  </si>
  <si>
    <t>MIRZAL</t>
  </si>
  <si>
    <t>2023-12-30 07.00.00</t>
  </si>
  <si>
    <t>2023-12-30 18.20.41</t>
  </si>
  <si>
    <t>MOCHAMMAD SOEBARQAH ANDI PASO</t>
  </si>
  <si>
    <t>2024-03-31 08.29.03</t>
  </si>
  <si>
    <t>2024-03-31 08.48.21</t>
  </si>
  <si>
    <t>MOH . KHOLIK FATUR RAHMAN</t>
  </si>
  <si>
    <t>2023-11-29 22.32.15</t>
  </si>
  <si>
    <t>MOH ALDIN</t>
  </si>
  <si>
    <t>MOH FEBRIANSYAH</t>
  </si>
  <si>
    <t>MOH. FARDIANSAH</t>
  </si>
  <si>
    <t>ASISTEN FOREMAN KENDARAAN</t>
  </si>
  <si>
    <t>2024-03-31 08.51.53</t>
  </si>
  <si>
    <t>2024-03-31 23.14.42</t>
  </si>
  <si>
    <t>MOH. RAMADHAN</t>
  </si>
  <si>
    <t>2024-03-31 07.13.25</t>
  </si>
  <si>
    <t>2024-03-31 16.37.48</t>
  </si>
  <si>
    <t>MOH. RIZKI L.</t>
  </si>
  <si>
    <t>2023-11-30 06.31.01</t>
  </si>
  <si>
    <t>2023-11-30 18.03.41</t>
  </si>
  <si>
    <t>MOHAMMAD RUDITO WIDAGDO</t>
  </si>
  <si>
    <t>DEPUTY PM SUPPORT</t>
  </si>
  <si>
    <t>PROJECT MANAGER</t>
  </si>
  <si>
    <t>2023-11-30 06.50.02</t>
  </si>
  <si>
    <t>2023-11-30 20.03.51</t>
  </si>
  <si>
    <t>MOSES ALO</t>
  </si>
  <si>
    <t>2023-11-30 13.57.09</t>
  </si>
  <si>
    <t>2023-11-30 17.42.49</t>
  </si>
  <si>
    <t>MUCHLIS</t>
  </si>
  <si>
    <t>2024-03-31 05.54.35</t>
  </si>
  <si>
    <t>MUCHLIS JAMALUDDIN</t>
  </si>
  <si>
    <t>2023-11-30 07.34.43</t>
  </si>
  <si>
    <t>MUH ARIF</t>
  </si>
  <si>
    <t>MUH ARIF DG NOMBONG</t>
  </si>
  <si>
    <t>2023-11-30 17.15.21</t>
  </si>
  <si>
    <t>MUH IQRAM NUR</t>
  </si>
  <si>
    <t>2023-08-28 06.26.03</t>
  </si>
  <si>
    <t>MUH SYAFAAT</t>
  </si>
  <si>
    <t>MUH TAUFIK PARINGKUAN</t>
  </si>
  <si>
    <t>2023-11-30 05.48.17</t>
  </si>
  <si>
    <t>2023-11-30 18.45.12</t>
  </si>
  <si>
    <t>MUH. ALDI RIFALDI</t>
  </si>
  <si>
    <t>2024-03-31 06.58.29</t>
  </si>
  <si>
    <t>2024-03-31 20.13.33</t>
  </si>
  <si>
    <t>MUH. BASRI</t>
  </si>
  <si>
    <t>2022-02-20 08.58.45</t>
  </si>
  <si>
    <t>2023-11-30 05.09.01</t>
  </si>
  <si>
    <t>MUH. FAISAL</t>
  </si>
  <si>
    <t>2023-11-30 07.16.39</t>
  </si>
  <si>
    <t>MUH. HAIKAL ADITYA</t>
  </si>
  <si>
    <t>2023-11-30 05.50.12</t>
  </si>
  <si>
    <t>2023-11-30 20.17.04</t>
  </si>
  <si>
    <t>MUH. RIFKI RESA</t>
  </si>
  <si>
    <t>2023-11-30 06.47.57</t>
  </si>
  <si>
    <t>2023-11-30 22.38.47</t>
  </si>
  <si>
    <t>MUH. SAFIT</t>
  </si>
  <si>
    <t>2023-11-28 06.40.20</t>
  </si>
  <si>
    <t>2023-11-28 16.00.20</t>
  </si>
  <si>
    <t>MUH. TAKDIR</t>
  </si>
  <si>
    <t>2023-11-23 05.06.12</t>
  </si>
  <si>
    <t>MUHAMMAD FATHUR RACHMAN</t>
  </si>
  <si>
    <t>2024-03-31 04.50.13</t>
  </si>
  <si>
    <t>2024-03-31 22.30.38</t>
  </si>
  <si>
    <t>MUHAMMAD NUSRI</t>
  </si>
  <si>
    <t>MUHAMMAD RANGGA</t>
  </si>
  <si>
    <t>2023-11-30 06.52.31</t>
  </si>
  <si>
    <t>MUHAMMAD RIZKY RAMADHAN</t>
  </si>
  <si>
    <t>2023-11-30 20.37.50</t>
  </si>
  <si>
    <t>MUHAMMAD YASIN</t>
  </si>
  <si>
    <t>2023-11-30 07.23.46</t>
  </si>
  <si>
    <t>2023-11-30 20.35.43</t>
  </si>
  <si>
    <t>MUKSIN</t>
  </si>
  <si>
    <t>2024-03-31 06.45.43</t>
  </si>
  <si>
    <t>MUPADLI</t>
  </si>
  <si>
    <t>2023-11-17 07.08.49</t>
  </si>
  <si>
    <t>MURDOV MAINTI</t>
  </si>
  <si>
    <t>2023-11-30 05.47.51</t>
  </si>
  <si>
    <t>2023-11-30 20.06.39</t>
  </si>
  <si>
    <t>MURFA</t>
  </si>
  <si>
    <t>2023-11-30 05.37.45</t>
  </si>
  <si>
    <t>MUSAKKAR</t>
  </si>
  <si>
    <t>2024-03-31 05.33.51</t>
  </si>
  <si>
    <t>2024-03-31 16.31.54</t>
  </si>
  <si>
    <t>Monita Febyanti</t>
  </si>
  <si>
    <t>NAFTALI RARE'A, ST</t>
  </si>
  <si>
    <t>HEAD OF VEHICLE</t>
  </si>
  <si>
    <t>2023-11-25 16.59.07</t>
  </si>
  <si>
    <t>NASAR</t>
  </si>
  <si>
    <t>NASRUN</t>
  </si>
  <si>
    <t>2023-11-30 05.40.40</t>
  </si>
  <si>
    <t>NATAN KONDO</t>
  </si>
  <si>
    <t>HEAD OF WORKSHOP</t>
  </si>
  <si>
    <t>2023-11-30 06.41.54</t>
  </si>
  <si>
    <t>NATANIEL</t>
  </si>
  <si>
    <t>2023-11-30 07.21.57</t>
  </si>
  <si>
    <t>NOFRI FERDIANTO</t>
  </si>
  <si>
    <t>2023-11-30 07.07.56</t>
  </si>
  <si>
    <t>NOLDI POHU</t>
  </si>
  <si>
    <t>2024-03-31 06.28.05</t>
  </si>
  <si>
    <t>2024-03-31 17.17.19</t>
  </si>
  <si>
    <t>NORCE LATONTJE</t>
  </si>
  <si>
    <t>2024-03-19 06.44.13</t>
  </si>
  <si>
    <t>2024-03-19 17.54.27</t>
  </si>
  <si>
    <t>NUGIE</t>
  </si>
  <si>
    <t>2024-03-31 06.38.17</t>
  </si>
  <si>
    <t>2024-03-31 19.01.14</t>
  </si>
  <si>
    <t>NULDIN LAEME</t>
  </si>
  <si>
    <t>NUR USMAN BOLIS</t>
  </si>
  <si>
    <t>2023-11-28 05.22.48</t>
  </si>
  <si>
    <t>NUR VERI FADLI</t>
  </si>
  <si>
    <t>2023-11-30 06.08.03</t>
  </si>
  <si>
    <t>NUR YASIN SIDENG</t>
  </si>
  <si>
    <t>2024-03-30 06.31.02</t>
  </si>
  <si>
    <t>OKTAVIANUS ANDRO USU</t>
  </si>
  <si>
    <t>2023-11-30 20.17.28</t>
  </si>
  <si>
    <t>OKTAVIANUS MAAK</t>
  </si>
  <si>
    <t>2023-11-30 05.59.35</t>
  </si>
  <si>
    <t>2023-11-30 21.44.37</t>
  </si>
  <si>
    <t>OVERUS SEDA</t>
  </si>
  <si>
    <t>PAHARUDDIN DG NGALLE</t>
  </si>
  <si>
    <t>2024-03-31 06.24.17</t>
  </si>
  <si>
    <t>2024-03-31 18.19.19</t>
  </si>
  <si>
    <t>PARAHAN</t>
  </si>
  <si>
    <t>2024-03-30 03.11.26</t>
  </si>
  <si>
    <t>2024-03-30 16.31.33</t>
  </si>
  <si>
    <t>PASKALIS JUANCI OJO</t>
  </si>
  <si>
    <t>PAULUS LIKI</t>
  </si>
  <si>
    <t>2023-11-30 06.03.17</t>
  </si>
  <si>
    <t>2023-11-30 17.34.37</t>
  </si>
  <si>
    <t>PERDIANTO PALIU</t>
  </si>
  <si>
    <t>2023-11-29 07.24.05</t>
  </si>
  <si>
    <t>PETRUS SULE</t>
  </si>
  <si>
    <t>2023-11-30 05.30.11</t>
  </si>
  <si>
    <t>2023-11-30 17.01.54</t>
  </si>
  <si>
    <t>PRISILIA PESIK</t>
  </si>
  <si>
    <t>PRITS SIRODI</t>
  </si>
  <si>
    <t>2024-03-31 06.33.03</t>
  </si>
  <si>
    <t>2024-03-31 16.31.16</t>
  </si>
  <si>
    <t>PURNAWAN</t>
  </si>
  <si>
    <t>HEAD OF PRODUCTION</t>
  </si>
  <si>
    <t>2023-11-30 13.59.29</t>
  </si>
  <si>
    <t>PURNOMO</t>
  </si>
  <si>
    <t>2024-03-31 06.34.29</t>
  </si>
  <si>
    <t>2024-03-31 16.45.44</t>
  </si>
  <si>
    <t>PUTRA FAISAL UGAKA</t>
  </si>
  <si>
    <t>PUTRAWAN PADJO</t>
  </si>
  <si>
    <t>2023-11-30 05.46.44</t>
  </si>
  <si>
    <t>2023-11-30 18.45.32</t>
  </si>
  <si>
    <t>PUTRI NOVITASARI LAGI</t>
  </si>
  <si>
    <t>2023-11-28 07.18.04</t>
  </si>
  <si>
    <t>2023-11-28 16.56.44</t>
  </si>
  <si>
    <t>RAFLIN AHMAD</t>
  </si>
  <si>
    <t>2024-03-31 06.16.04</t>
  </si>
  <si>
    <t>2024-03-31 16.38.01</t>
  </si>
  <si>
    <t>RAHMAN SUKARDI</t>
  </si>
  <si>
    <t>DRIVER FUEL MPE</t>
  </si>
  <si>
    <t>2024-03-31 06.54.01</t>
  </si>
  <si>
    <t>RAHMAT</t>
  </si>
  <si>
    <t>2024-03-31 06.09.09</t>
  </si>
  <si>
    <t>2024-03-31 17.50.48</t>
  </si>
  <si>
    <t>RAHMAT EVENDI</t>
  </si>
  <si>
    <t>2023-11-18 07.02.02</t>
  </si>
  <si>
    <t>2023-11-18 22.04.48</t>
  </si>
  <si>
    <t>RAOLINUS HENDRO HATU</t>
  </si>
  <si>
    <t>2023-11-22 05.55.09</t>
  </si>
  <si>
    <t>RASMAN</t>
  </si>
  <si>
    <t>REGI ADITIA</t>
  </si>
  <si>
    <t>2022-03-15 07.31.36</t>
  </si>
  <si>
    <t>2022-03-15 17.35.29</t>
  </si>
  <si>
    <t>REGIS SAMARA</t>
  </si>
  <si>
    <t>RENAL</t>
  </si>
  <si>
    <t>RENALDI</t>
  </si>
  <si>
    <t>2024-03-31 07.06.11</t>
  </si>
  <si>
    <t>2024-03-31 18.42.33</t>
  </si>
  <si>
    <t>RENDY OK WIDIA KELANA</t>
  </si>
  <si>
    <t>2024-03-27 06.03.06</t>
  </si>
  <si>
    <t>2024-03-27 17.32.57</t>
  </si>
  <si>
    <t>RESKI BULELA</t>
  </si>
  <si>
    <t>2023-11-30 04.42.27</t>
  </si>
  <si>
    <t>2023-11-30 22.59.44</t>
  </si>
  <si>
    <t>RESKI HAKIM PRATAMA</t>
  </si>
  <si>
    <t>2023-11-29 07.23.10</t>
  </si>
  <si>
    <t>RESKIJAYANTI HAMDI, ST</t>
  </si>
  <si>
    <t>2023-11-25 07.53.54</t>
  </si>
  <si>
    <t>RESKY</t>
  </si>
  <si>
    <t>2023-11-30 22.26.28</t>
  </si>
  <si>
    <t>REZKY TIKU PASANG</t>
  </si>
  <si>
    <t>2024-03-31 06.39.41</t>
  </si>
  <si>
    <t>2024-03-31 17.07.36</t>
  </si>
  <si>
    <t>RIANI LOBO</t>
  </si>
  <si>
    <t>2024-03-31 11.51.57</t>
  </si>
  <si>
    <t>RIANSYAH RETY</t>
  </si>
  <si>
    <t>2023-11-30 05.32.07</t>
  </si>
  <si>
    <t>RICHARD VALDO SADURI</t>
  </si>
  <si>
    <t>2024-03-31 06.25.51</t>
  </si>
  <si>
    <t>2024-03-31 17.24.20</t>
  </si>
  <si>
    <t>RIDWAN SITUJU</t>
  </si>
  <si>
    <t>2023-11-30 05.59.45</t>
  </si>
  <si>
    <t>RIFKI RUSMANTO LAPANDI</t>
  </si>
  <si>
    <t>2023-11-30 07.17.14</t>
  </si>
  <si>
    <t>RIKARDUS NOGOR</t>
  </si>
  <si>
    <t>2024-03-31 05.31.31</t>
  </si>
  <si>
    <t>2024-03-31 22.44.41</t>
  </si>
  <si>
    <t>RIKI</t>
  </si>
  <si>
    <t>2023-11-30 07.02.08</t>
  </si>
  <si>
    <t>2023-11-30 21.59.51</t>
  </si>
  <si>
    <t>RIKI ISMANTO</t>
  </si>
  <si>
    <t>2024-03-31 06.12.07</t>
  </si>
  <si>
    <t>2024-03-31 20.36.17</t>
  </si>
  <si>
    <t>RINI PALINGGI,ST</t>
  </si>
  <si>
    <t>MAINTENANCE PLANNER</t>
  </si>
  <si>
    <t>2023-11-30 11.54.09</t>
  </si>
  <si>
    <t>RINO OKTAFIANUS TIBE</t>
  </si>
  <si>
    <t>2024-03-31 06.55.18</t>
  </si>
  <si>
    <t>2024-03-31 16.43.35</t>
  </si>
  <si>
    <t>RISFAL</t>
  </si>
  <si>
    <t>2024-03-31 06.25.57</t>
  </si>
  <si>
    <t>2024-03-31 21.12.39</t>
  </si>
  <si>
    <t>RISKI S. RAJULAINI P.</t>
  </si>
  <si>
    <t>2023-11-29 14.52.17</t>
  </si>
  <si>
    <t>RIYAN</t>
  </si>
  <si>
    <t>2023-12-30 16.25.07</t>
  </si>
  <si>
    <t>RIZALDI</t>
  </si>
  <si>
    <t>2024-03-31 07.26.27</t>
  </si>
  <si>
    <t>2024-03-31 16.58.29</t>
  </si>
  <si>
    <t>ROBITUS NAMAT</t>
  </si>
  <si>
    <t>2023-11-19 17.33.04</t>
  </si>
  <si>
    <t>ROFIK</t>
  </si>
  <si>
    <t>2024-03-31 05.33.59</t>
  </si>
  <si>
    <t>2024-03-31 17.02.20</t>
  </si>
  <si>
    <t>ROFINUS</t>
  </si>
  <si>
    <t>2023-11-30 06.09.11</t>
  </si>
  <si>
    <t>ROGEL TEODRA</t>
  </si>
  <si>
    <t>2024-03-31 05.52.54</t>
  </si>
  <si>
    <t>2024-03-31 17.38.52</t>
  </si>
  <si>
    <t>ROI MASSODE</t>
  </si>
  <si>
    <t>2023-11-30 07.00.39</t>
  </si>
  <si>
    <t>ROMI RAHAMIS</t>
  </si>
  <si>
    <t>2023-11-30 04.59.16</t>
  </si>
  <si>
    <t>2023-11-30 19.47.38</t>
  </si>
  <si>
    <t>RONAL TODING</t>
  </si>
  <si>
    <t>2023-11-30 04.43.38</t>
  </si>
  <si>
    <t>RONALD STANLAY IMBING</t>
  </si>
  <si>
    <t>2023-11-30 05.00.55</t>
  </si>
  <si>
    <t>RONIUS FALLO</t>
  </si>
  <si>
    <t>2023-11-30 05.10.01</t>
  </si>
  <si>
    <t>2023-11-30 16.53.31</t>
  </si>
  <si>
    <t>ROSMAN SADAT</t>
  </si>
  <si>
    <t>2023-11-23 06.42.18</t>
  </si>
  <si>
    <t>2023-11-23 18.22.22</t>
  </si>
  <si>
    <t>ROSNIATI</t>
  </si>
  <si>
    <t>2024-03-31 06.42.25</t>
  </si>
  <si>
    <t>2024-03-31 23.46.13</t>
  </si>
  <si>
    <t>ROY BARAU</t>
  </si>
  <si>
    <t>2024-03-30 05.56.06</t>
  </si>
  <si>
    <t>2024-03-30 15.08.56</t>
  </si>
  <si>
    <t>RUSDI</t>
  </si>
  <si>
    <t>2023-11-30 04.55.17</t>
  </si>
  <si>
    <t>RUSDIANTO ASKAR</t>
  </si>
  <si>
    <t>2024-03-30 06.45.45</t>
  </si>
  <si>
    <t>2024-03-30 18.59.32</t>
  </si>
  <si>
    <t>RUSLAN KALLA</t>
  </si>
  <si>
    <t>2024-03-31 05.58.03</t>
  </si>
  <si>
    <t>2024-03-31 16.49.25</t>
  </si>
  <si>
    <t>RUSLI HULOPI</t>
  </si>
  <si>
    <t>2024-03-31 05.20.47</t>
  </si>
  <si>
    <t>2024-03-31 16.27.25</t>
  </si>
  <si>
    <t>RUSNI TAHER</t>
  </si>
  <si>
    <t>RUSTAM USULU</t>
  </si>
  <si>
    <t>Rieki Yulianto</t>
  </si>
  <si>
    <t>SAID PETAA</t>
  </si>
  <si>
    <t>2024-03-31 17.01.20</t>
  </si>
  <si>
    <t>SALDI</t>
  </si>
  <si>
    <t>2024-03-31 06.00.38</t>
  </si>
  <si>
    <t>2024-03-31 16.12.18</t>
  </si>
  <si>
    <t>SAMUEL PAPA</t>
  </si>
  <si>
    <t>2023-11-30 07.11.31</t>
  </si>
  <si>
    <t>SANDI</t>
  </si>
  <si>
    <t>2024-03-31 06.39.50</t>
  </si>
  <si>
    <t>2024-03-31 16.31.28</t>
  </si>
  <si>
    <t>SANI</t>
  </si>
  <si>
    <t>2024-03-31 11.58.16</t>
  </si>
  <si>
    <t>SAPRIADI DG MALLI</t>
  </si>
  <si>
    <t>2023-11-26 05.50.18</t>
  </si>
  <si>
    <t>SARLIN</t>
  </si>
  <si>
    <t>2023-11-30 06.26.10</t>
  </si>
  <si>
    <t>2023-11-30 16.54.06</t>
  </si>
  <si>
    <t>SARTI BARUNG</t>
  </si>
  <si>
    <t>2024-03-31 09.52.25</t>
  </si>
  <si>
    <t>2024-03-31 17.54.55</t>
  </si>
  <si>
    <t>SATRULLAH</t>
  </si>
  <si>
    <t>2024-03-31 05.12.39</t>
  </si>
  <si>
    <t>2024-03-31 17.02.53</t>
  </si>
  <si>
    <t>SELIN</t>
  </si>
  <si>
    <t>2024-03-31 18.09.33</t>
  </si>
  <si>
    <t>SELLY HANDOKO</t>
  </si>
  <si>
    <t>SEPNIM. E. BALEBU</t>
  </si>
  <si>
    <t>2023-11-20 06.41.04</t>
  </si>
  <si>
    <t>2023-11-20 20.50.02</t>
  </si>
  <si>
    <t>SEPRI DAUD PAJULA</t>
  </si>
  <si>
    <t>2023-11-29 04.59.43</t>
  </si>
  <si>
    <t>SERVUS GIANTO</t>
  </si>
  <si>
    <t>SESARIUS JAHUS</t>
  </si>
  <si>
    <t>2023-11-03 20.00.54</t>
  </si>
  <si>
    <t>SEWARDI</t>
  </si>
  <si>
    <t>2023-11-30 04.23.39</t>
  </si>
  <si>
    <t>2023-11-30 16.58.44</t>
  </si>
  <si>
    <t>SIDANG</t>
  </si>
  <si>
    <t>2024-03-27 04.09.06</t>
  </si>
  <si>
    <t>SIMON</t>
  </si>
  <si>
    <t>2023-12-29 07.07.23</t>
  </si>
  <si>
    <t>SINYO NAYOAN</t>
  </si>
  <si>
    <t>2023-11-30 06.43.00</t>
  </si>
  <si>
    <t>SIRAJUDDIN</t>
  </si>
  <si>
    <t>2023-11-29 05.41.18</t>
  </si>
  <si>
    <t>2023-11-29 20.14.05</t>
  </si>
  <si>
    <t>SLAMET PURWADI</t>
  </si>
  <si>
    <t>2023-11-30 16.55.39</t>
  </si>
  <si>
    <t>04.0522.9004</t>
  </si>
  <si>
    <t>SOFIA A. RUSLI</t>
  </si>
  <si>
    <t>SOFYAN MOTEE</t>
  </si>
  <si>
    <t>2024-03-31 04.40.36</t>
  </si>
  <si>
    <t>2024-03-31 18.22.37</t>
  </si>
  <si>
    <t>SOLEMAN LATONTJE TALAMOA</t>
  </si>
  <si>
    <t>2024-03-31 06.24.26</t>
  </si>
  <si>
    <t>2024-03-31 16.41.03</t>
  </si>
  <si>
    <t>SRIYANTI BUBEN</t>
  </si>
  <si>
    <t>ADMIN MAINTENANCE</t>
  </si>
  <si>
    <t>2023-10-28 06.59.23</t>
  </si>
  <si>
    <t>2023-10-28 16.55.13</t>
  </si>
  <si>
    <t>STANISLAUS MILUS</t>
  </si>
  <si>
    <t>2023-11-29 04.59.08</t>
  </si>
  <si>
    <t>2023-11-29 20.34.17</t>
  </si>
  <si>
    <t>STEEFALDY JUNIOR TAPPANG</t>
  </si>
  <si>
    <t>2023-12-23 05.49.53</t>
  </si>
  <si>
    <t>STEFANUS EKFRIS BURINTI</t>
  </si>
  <si>
    <t>2024-03-31 07.08.57</t>
  </si>
  <si>
    <t>2024-03-31 18.03.59</t>
  </si>
  <si>
    <t>STEFLI BOVEN</t>
  </si>
  <si>
    <t>2023-11-29 19.59.28</t>
  </si>
  <si>
    <t>STEPHANIE SHANIA HERLAMBANG</t>
  </si>
  <si>
    <t>STEVANUS RAMEGAU</t>
  </si>
  <si>
    <t>2024-03-31 05.55.23</t>
  </si>
  <si>
    <t>2024-03-31 20.30.48</t>
  </si>
  <si>
    <t>SUAIB MUNANDAR</t>
  </si>
  <si>
    <t>2023-11-29 06.45.07</t>
  </si>
  <si>
    <t>SUBRI KURNIAWAN</t>
  </si>
  <si>
    <t>2023-11-29 06.38.30</t>
  </si>
  <si>
    <t>SUFIAN</t>
  </si>
  <si>
    <t>2023-11-26 05.41.22</t>
  </si>
  <si>
    <t>SULAEMAN</t>
  </si>
  <si>
    <t>2024-03-31 06.58.20</t>
  </si>
  <si>
    <t>2024-03-31 15.03.35</t>
  </si>
  <si>
    <t>SULTAN</t>
  </si>
  <si>
    <t>2023-11-30 04.42.06</t>
  </si>
  <si>
    <t>2023-11-30 19.18.19</t>
  </si>
  <si>
    <t>SUPARDI</t>
  </si>
  <si>
    <t>2024-03-31 08.54.58</t>
  </si>
  <si>
    <t>2024-03-31 21.56.04</t>
  </si>
  <si>
    <t>SUPARDIE</t>
  </si>
  <si>
    <t>2023-11-30 08.36.30</t>
  </si>
  <si>
    <t>SUPRIONO AMAL</t>
  </si>
  <si>
    <t>2023-11-30 05.26.18</t>
  </si>
  <si>
    <t>SUPRIYADI DG NAKKU</t>
  </si>
  <si>
    <t>2024-03-31 06.19.40</t>
  </si>
  <si>
    <t>2024-03-31 17.40.38</t>
  </si>
  <si>
    <t>SURIANTO</t>
  </si>
  <si>
    <t>2023-11-30 06.02.14</t>
  </si>
  <si>
    <t>2024-03-31 06.19.48</t>
  </si>
  <si>
    <t>2024-03-31 16.58.47</t>
  </si>
  <si>
    <t>SURIYADI</t>
  </si>
  <si>
    <t>2024-03-30 04.52.15</t>
  </si>
  <si>
    <t>2024-03-30 17.14.53</t>
  </si>
  <si>
    <t>SURONO</t>
  </si>
  <si>
    <t>2023-11-30 05.47.58</t>
  </si>
  <si>
    <t>SUSILO AFRIYANTO PETA'A</t>
  </si>
  <si>
    <t>2024-03-31 06.20.15</t>
  </si>
  <si>
    <t>2024-03-31 18.21.43</t>
  </si>
  <si>
    <t>SUTRIYANTO ARMAN S.</t>
  </si>
  <si>
    <t>2024-03-31 04.56.06</t>
  </si>
  <si>
    <t>2024-03-31 16.03.02</t>
  </si>
  <si>
    <t>SYABIR</t>
  </si>
  <si>
    <t>2024-03-31 06.20.07</t>
  </si>
  <si>
    <t>2024-03-31 15.53.46</t>
  </si>
  <si>
    <t>SYAHDANG KURNIAWAN</t>
  </si>
  <si>
    <t>SYAMSIR</t>
  </si>
  <si>
    <t>2023-11-30 05.04.36</t>
  </si>
  <si>
    <t>SYAMSUL</t>
  </si>
  <si>
    <t>2023-11-30 07.07.25</t>
  </si>
  <si>
    <t>TANDU</t>
  </si>
  <si>
    <t>OPERATOR BUBUT</t>
  </si>
  <si>
    <t>2023-12-21 06.51.44</t>
  </si>
  <si>
    <t>TAUFIK MUSJINJA</t>
  </si>
  <si>
    <t>2023-12-30 07.07.00</t>
  </si>
  <si>
    <t>2023-12-30 21.24.14</t>
  </si>
  <si>
    <t>TAUFIQ HIDAYAT</t>
  </si>
  <si>
    <t>2024-03-31 05.50.40</t>
  </si>
  <si>
    <t>2024-03-31 18.34.20</t>
  </si>
  <si>
    <t>THAMRIN LAIDA</t>
  </si>
  <si>
    <t>2023-11-30 05.19.14</t>
  </si>
  <si>
    <t>2023-11-30 15.32.51</t>
  </si>
  <si>
    <t>THEOFILUS KALENGKE</t>
  </si>
  <si>
    <t>2023-11-30 19.27.38</t>
  </si>
  <si>
    <t>THOMAS TARU</t>
  </si>
  <si>
    <t>2023-11-29 07.08.17</t>
  </si>
  <si>
    <t>2023-11-29 16.23.09</t>
  </si>
  <si>
    <t>Tiara Maharani</t>
  </si>
  <si>
    <t>UDIN DG SEWANG</t>
  </si>
  <si>
    <t>2024-03-26 12.35.19</t>
  </si>
  <si>
    <t>UJANG SETIAWAN</t>
  </si>
  <si>
    <t>2023-11-29 06.00.06</t>
  </si>
  <si>
    <t>VENDLY TADJAMAWO</t>
  </si>
  <si>
    <t>2023-11-30 07.06.48</t>
  </si>
  <si>
    <t>2023-11-30 22.02.36</t>
  </si>
  <si>
    <t>VIKTOR RARE`A</t>
  </si>
  <si>
    <t>2023-11-30 07.13.04</t>
  </si>
  <si>
    <t>2023-11-30 17.54.10</t>
  </si>
  <si>
    <t>WAHYU HADI PURNOMO</t>
  </si>
  <si>
    <t>2023-11-30 19.17.28</t>
  </si>
  <si>
    <t>WAWAN IBRAHIM</t>
  </si>
  <si>
    <t>2023-11-29 06.47.54</t>
  </si>
  <si>
    <t>2023-11-29 20.53.23</t>
  </si>
  <si>
    <t>WELYANTO POHU</t>
  </si>
  <si>
    <t>2024-03-31 05.25.45</t>
  </si>
  <si>
    <t>2024-03-31 20.18.04</t>
  </si>
  <si>
    <t>WENI PASAMBAKA</t>
  </si>
  <si>
    <t>2024-03-16 04.57.07</t>
  </si>
  <si>
    <t>WILHELMUS WAWO</t>
  </si>
  <si>
    <t>WILL</t>
  </si>
  <si>
    <t>WILLIAM HANDRI O</t>
  </si>
  <si>
    <t>2024-03-31 05.49.01</t>
  </si>
  <si>
    <t>2024-03-31 22.14.55</t>
  </si>
  <si>
    <t>WIWIN</t>
  </si>
  <si>
    <t>ASISTEN SURVEYOR</t>
  </si>
  <si>
    <t>2023-11-30 21.32.53</t>
  </si>
  <si>
    <t>YAFET SUMBOUW</t>
  </si>
  <si>
    <t>2023-11-30 05.27.40</t>
  </si>
  <si>
    <t>YAKMAN SUMA</t>
  </si>
  <si>
    <t>2023-11-29 06.49.49</t>
  </si>
  <si>
    <t>2023-11-29 06.53.13</t>
  </si>
  <si>
    <t>YAKUB</t>
  </si>
  <si>
    <t>YALDI MAULANA GUMELAR</t>
  </si>
  <si>
    <t>2023-11-30 07.11.55</t>
  </si>
  <si>
    <t>2023-11-30 21.40.40</t>
  </si>
  <si>
    <t>YAMIN</t>
  </si>
  <si>
    <t>2023-11-30 06.38.58</t>
  </si>
  <si>
    <t>YAMTAR R</t>
  </si>
  <si>
    <t>2023-11-30 06.11.41</t>
  </si>
  <si>
    <t>YANCE EFENDI SOLEMAN NUSA</t>
  </si>
  <si>
    <t>2023-12-30 05.10.55</t>
  </si>
  <si>
    <t>2023-12-30 16.28.29</t>
  </si>
  <si>
    <t>YANIS OTOLUWA</t>
  </si>
  <si>
    <t>2024-03-31 03.25.06</t>
  </si>
  <si>
    <t>2024-03-31 17.27.52</t>
  </si>
  <si>
    <t>YASMIN AKUBA</t>
  </si>
  <si>
    <t>2023-11-30 05.35.20</t>
  </si>
  <si>
    <t>2023-11-30 16.21.37</t>
  </si>
  <si>
    <t>YATMAN F PANGANDE</t>
  </si>
  <si>
    <t>2024-03-31 05.24.53</t>
  </si>
  <si>
    <t>2024-03-31 17.35.40</t>
  </si>
  <si>
    <t>YAYAN DARMAWAN</t>
  </si>
  <si>
    <t>YAYAN SETIAWAN</t>
  </si>
  <si>
    <t>YETTI</t>
  </si>
  <si>
    <t>2024-03-31 06.44.54</t>
  </si>
  <si>
    <t>2024-03-31 23.46.00</t>
  </si>
  <si>
    <t>YOEL MALAENY</t>
  </si>
  <si>
    <t>2024-03-31 06.51.37</t>
  </si>
  <si>
    <t>2024-03-31 17.48.27</t>
  </si>
  <si>
    <t>YOHAN MAKABA</t>
  </si>
  <si>
    <t>2023-11-30 05.25.53</t>
  </si>
  <si>
    <t>YOHANES ARDINI EGOR</t>
  </si>
  <si>
    <t>2023-11-30 05.54.36</t>
  </si>
  <si>
    <t>2023-11-30 19.26.00</t>
  </si>
  <si>
    <t>YOHANES BAHARI</t>
  </si>
  <si>
    <t>2024-03-31 06.19.03</t>
  </si>
  <si>
    <t>2024-03-31 21.28.25</t>
  </si>
  <si>
    <t>YOHANES BONGGA</t>
  </si>
  <si>
    <t>2024-03-31 05.20.28</t>
  </si>
  <si>
    <t>2024-03-31 17.49.03</t>
  </si>
  <si>
    <t>YOHANES JEREMIAS BEA RIA</t>
  </si>
  <si>
    <t>YOHANIS PAMINNAKAN</t>
  </si>
  <si>
    <t>2024-03-31 17.17.47</t>
  </si>
  <si>
    <t>YOSNAR ALO</t>
  </si>
  <si>
    <t>2023-11-30 17.45.42</t>
  </si>
  <si>
    <t>YOSRI EFANDI NCAONG</t>
  </si>
  <si>
    <t>2023-11-29 17.01.34</t>
  </si>
  <si>
    <t>YUDAS BINDAU</t>
  </si>
  <si>
    <t>YULIUS LAPU</t>
  </si>
  <si>
    <t>2023-11-30 05.41.21</t>
  </si>
  <si>
    <t>YULIUS WALEWANGKO</t>
  </si>
  <si>
    <t>2023-11-30 06.03.33</t>
  </si>
  <si>
    <t>YULTIN TENGASE</t>
  </si>
  <si>
    <t>2024-03-31 00.25.55</t>
  </si>
  <si>
    <t>2024-03-31 12.24.24</t>
  </si>
  <si>
    <t>YUNUS</t>
  </si>
  <si>
    <t>HELPER BUBUT</t>
  </si>
  <si>
    <t>2023-11-29 07.13.47</t>
  </si>
  <si>
    <t>2023-11-29 19.33.59</t>
  </si>
  <si>
    <t>YUSRIN</t>
  </si>
  <si>
    <t>2024-03-31 06.57.23</t>
  </si>
  <si>
    <t>2024-03-31 16.45.12</t>
  </si>
  <si>
    <t>YUSTISIO YAYAN PRABOWO</t>
  </si>
  <si>
    <t>YUSUF</t>
  </si>
  <si>
    <t>2023-11-30 06.46.07</t>
  </si>
  <si>
    <t>2023-11-30 16.21.44</t>
  </si>
  <si>
    <t>YUSUF RENDY SOLONG</t>
  </si>
  <si>
    <t>2023-11-30 06.17.21</t>
  </si>
  <si>
    <t>ZAINIR A. KOROMPOT</t>
  </si>
  <si>
    <t>ZETH</t>
  </si>
  <si>
    <t>2023-12-29 06.31.01</t>
  </si>
  <si>
    <t>ZULKIFLI</t>
  </si>
  <si>
    <t>2023-11-30 16.53.53</t>
  </si>
  <si>
    <t>[0201241879] ARIADI TURUSI</t>
  </si>
  <si>
    <t>[0202231720] TRI SUTRISNO ADE PUTRA</t>
  </si>
  <si>
    <t>[0210221697] NUR VERI FADLI</t>
  </si>
  <si>
    <t>[0303230112] GERALDY EICMAN LAKIU</t>
  </si>
  <si>
    <t>[0309220106] JAINAL TURUSI</t>
  </si>
  <si>
    <t>adri panyopu</t>
  </si>
  <si>
    <t>aldin</t>
  </si>
  <si>
    <t>jeski. S</t>
  </si>
  <si>
    <t>jeski. m</t>
  </si>
  <si>
    <t>krisman</t>
  </si>
  <si>
    <t>sani</t>
  </si>
  <si>
    <t>ID EMPLOYEE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</si>
</sst>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hh:mm"/>
    <numFmt numFmtId="166" formatCode="h:mm:ss am/pm"/>
    <numFmt numFmtId="167" formatCode="yyyy-mm-dd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i/>
      <sz val="9.0"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color theme="1"/>
      <name val="Arial"/>
    </font>
    <font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89B0ED"/>
        <bgColor rgb="FF89B0ED"/>
      </patternFill>
    </fill>
    <fill>
      <patternFill patternType="solid">
        <fgColor rgb="FF9FCD8A"/>
        <bgColor rgb="FF9FCD8A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FFE0C1"/>
        <bgColor rgb="FFFFE0C1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5" fontId="2" numFmtId="0" xfId="0" applyAlignment="1" applyFill="1" applyFont="1">
      <alignment horizontal="center" readingOrder="0" vertical="center"/>
    </xf>
    <xf borderId="0" fillId="6" fontId="2" numFmtId="0" xfId="0" applyAlignment="1" applyFill="1" applyFont="1">
      <alignment horizontal="center" readingOrder="0" vertical="center"/>
    </xf>
    <xf borderId="0" fillId="7" fontId="2" numFmtId="0" xfId="0" applyAlignment="1" applyFill="1" applyFont="1">
      <alignment horizontal="center" readingOrder="0" vertical="center"/>
    </xf>
    <xf borderId="0" fillId="8" fontId="2" numFmtId="0" xfId="0" applyAlignment="1" applyFill="1" applyFont="1">
      <alignment horizontal="center" readingOrder="0" vertical="center"/>
    </xf>
    <xf borderId="0" fillId="9" fontId="2" numFmtId="0" xfId="0" applyAlignment="1" applyFill="1" applyFont="1">
      <alignment horizontal="center" readingOrder="0" vertical="center"/>
    </xf>
    <xf borderId="0" fillId="10" fontId="3" numFmtId="0" xfId="0" applyAlignment="1" applyFill="1" applyFont="1">
      <alignment horizontal="center" readingOrder="0" vertical="center"/>
    </xf>
    <xf borderId="0" fillId="11" fontId="3" numFmtId="0" xfId="0" applyAlignment="1" applyFill="1" applyFont="1">
      <alignment horizontal="center" readingOrder="0" shrinkToFit="0" vertical="center" wrapText="1"/>
    </xf>
    <xf borderId="0" fillId="12" fontId="3" numFmtId="0" xfId="0" applyAlignment="1" applyFill="1" applyFont="1">
      <alignment horizontal="center" readingOrder="0" shrinkToFit="0" vertical="center" wrapText="1"/>
    </xf>
    <xf borderId="0" fillId="13" fontId="3" numFmtId="0" xfId="0" applyAlignment="1" applyFill="1" applyFont="1">
      <alignment horizontal="center" readingOrder="0" shrinkToFit="0" vertical="center" wrapText="1"/>
    </xf>
    <xf borderId="0" fillId="14" fontId="3" numFmtId="0" xfId="0" applyAlignment="1" applyFill="1" applyFont="1">
      <alignment horizontal="center" readingOrder="0" shrinkToFit="0" vertical="center" wrapText="1"/>
    </xf>
    <xf borderId="0" fillId="15" fontId="3" numFmtId="0" xfId="0" applyAlignment="1" applyFill="1" applyFont="1">
      <alignment horizontal="center" readingOrder="0" shrinkToFit="0" vertical="center" wrapText="1"/>
    </xf>
    <xf borderId="0" fillId="16" fontId="3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4" numFmtId="164" xfId="0" applyAlignment="1" applyFont="1" applyNumberFormat="1">
      <alignment horizontal="center" readingOrder="0"/>
    </xf>
    <xf borderId="0" fillId="0" fontId="4" numFmtId="165" xfId="0" applyAlignment="1" applyFont="1" applyNumberFormat="1">
      <alignment horizontal="center" readingOrder="0"/>
    </xf>
    <xf borderId="0" fillId="0" fontId="4" numFmtId="165" xfId="0" applyAlignment="1" applyFont="1" applyNumberFormat="1">
      <alignment horizontal="center"/>
    </xf>
    <xf borderId="0" fillId="0" fontId="4" numFmtId="166" xfId="0" applyFont="1" applyNumberFormat="1"/>
    <xf borderId="0" fillId="0" fontId="4" numFmtId="165" xfId="0" applyAlignment="1" applyFont="1" applyNumberFormat="1">
      <alignment horizontal="center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vertical="bottom"/>
    </xf>
    <xf borderId="0" fillId="0" fontId="6" numFmtId="167" xfId="0" applyAlignment="1" applyFont="1" applyNumberFormat="1">
      <alignment horizontal="right" readingOrder="0"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/>
    </xf>
    <xf borderId="0" fillId="0" fontId="7" numFmtId="0" xfId="0" applyAlignment="1" applyFont="1">
      <alignment horizontal="center" vertical="bottom"/>
    </xf>
    <xf borderId="0" fillId="0" fontId="4" numFmtId="0" xfId="0" applyAlignment="1" applyFont="1">
      <alignment horizontal="center" vertical="center"/>
    </xf>
    <xf borderId="0" fillId="0" fontId="4" numFmtId="167" xfId="0" applyFont="1" applyNumberFormat="1"/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hidden="1" min="1" max="1" width="28.0"/>
    <col customWidth="1" min="2" max="2" width="47.88"/>
    <col customWidth="1" min="3" max="4" width="23.63"/>
    <col customWidth="1" min="5" max="6" width="18.63"/>
    <col customWidth="1" min="7" max="7" width="22.25"/>
    <col customWidth="1" min="8" max="9" width="25.63"/>
  </cols>
  <sheetData>
    <row r="1" ht="43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2">
      <c r="B2" s="10" t="s">
        <v>9</v>
      </c>
      <c r="C2" s="11" t="s">
        <v>10</v>
      </c>
      <c r="D2" s="12" t="s">
        <v>11</v>
      </c>
      <c r="E2" s="13" t="s">
        <v>12</v>
      </c>
      <c r="G2" s="14" t="s">
        <v>13</v>
      </c>
      <c r="H2" s="15" t="s">
        <v>14</v>
      </c>
      <c r="I2" s="16" t="s">
        <v>15</v>
      </c>
    </row>
    <row r="3">
      <c r="A3" s="17" t="str">
        <f t="shared" ref="A3:A24" si="1">IF(B3="","",IF(A3="",NOW(),A3))</f>
        <v/>
      </c>
      <c r="B3" s="18"/>
      <c r="C3" s="19"/>
      <c r="D3" s="19"/>
      <c r="E3" s="20"/>
      <c r="F3" s="20"/>
      <c r="G3" s="21"/>
      <c r="H3" s="22"/>
      <c r="I3" s="22"/>
    </row>
    <row r="4">
      <c r="A4" s="17" t="str">
        <f t="shared" si="1"/>
        <v/>
      </c>
      <c r="B4" s="18"/>
      <c r="C4" s="17"/>
      <c r="D4" s="19"/>
      <c r="E4" s="20"/>
      <c r="F4" s="20"/>
      <c r="G4" s="21"/>
      <c r="H4" s="22"/>
      <c r="I4" s="22"/>
    </row>
    <row r="5">
      <c r="A5" s="17" t="str">
        <f t="shared" si="1"/>
        <v/>
      </c>
      <c r="B5" s="18"/>
      <c r="C5" s="17"/>
      <c r="D5" s="17"/>
      <c r="E5" s="23"/>
      <c r="F5" s="23"/>
      <c r="G5" s="21" t="str">
        <f t="shared" ref="G5:G1001" si="2">IF(OR(E5="",F5=""),"",F5-E5)</f>
        <v/>
      </c>
      <c r="H5" s="22"/>
      <c r="I5" s="22"/>
    </row>
    <row r="6">
      <c r="A6" s="17" t="str">
        <f t="shared" si="1"/>
        <v/>
      </c>
      <c r="B6" s="18"/>
      <c r="C6" s="17"/>
      <c r="D6" s="17"/>
      <c r="E6" s="23"/>
      <c r="F6" s="23"/>
      <c r="G6" s="21" t="str">
        <f t="shared" si="2"/>
        <v/>
      </c>
      <c r="H6" s="22"/>
      <c r="I6" s="22"/>
    </row>
    <row r="7">
      <c r="A7" s="17" t="str">
        <f t="shared" si="1"/>
        <v/>
      </c>
      <c r="B7" s="18"/>
      <c r="C7" s="17"/>
      <c r="D7" s="17"/>
      <c r="E7" s="23"/>
      <c r="F7" s="23"/>
      <c r="G7" s="21" t="str">
        <f t="shared" si="2"/>
        <v/>
      </c>
      <c r="H7" s="22"/>
      <c r="I7" s="22"/>
    </row>
    <row r="8">
      <c r="A8" s="17" t="str">
        <f t="shared" si="1"/>
        <v/>
      </c>
      <c r="B8" s="18"/>
      <c r="C8" s="17"/>
      <c r="D8" s="17"/>
      <c r="E8" s="23"/>
      <c r="F8" s="23"/>
      <c r="G8" s="21" t="str">
        <f t="shared" si="2"/>
        <v/>
      </c>
      <c r="H8" s="22"/>
      <c r="I8" s="22"/>
    </row>
    <row r="9">
      <c r="A9" s="17" t="str">
        <f t="shared" si="1"/>
        <v/>
      </c>
      <c r="B9" s="18"/>
      <c r="C9" s="17"/>
      <c r="D9" s="17"/>
      <c r="E9" s="23"/>
      <c r="F9" s="23"/>
      <c r="G9" s="21" t="str">
        <f t="shared" si="2"/>
        <v/>
      </c>
      <c r="H9" s="22"/>
      <c r="I9" s="22"/>
    </row>
    <row r="10">
      <c r="A10" s="17" t="str">
        <f t="shared" si="1"/>
        <v/>
      </c>
      <c r="B10" s="18"/>
      <c r="C10" s="17"/>
      <c r="D10" s="17"/>
      <c r="E10" s="23"/>
      <c r="F10" s="23"/>
      <c r="G10" s="21" t="str">
        <f t="shared" si="2"/>
        <v/>
      </c>
      <c r="H10" s="22"/>
      <c r="I10" s="22"/>
    </row>
    <row r="11">
      <c r="A11" s="17" t="str">
        <f t="shared" si="1"/>
        <v/>
      </c>
      <c r="B11" s="18"/>
      <c r="C11" s="17"/>
      <c r="D11" s="17"/>
      <c r="E11" s="23"/>
      <c r="F11" s="23"/>
      <c r="G11" s="21" t="str">
        <f t="shared" si="2"/>
        <v/>
      </c>
      <c r="H11" s="22"/>
      <c r="I11" s="22"/>
    </row>
    <row r="12">
      <c r="A12" s="17" t="str">
        <f t="shared" si="1"/>
        <v/>
      </c>
      <c r="B12" s="18"/>
      <c r="C12" s="17"/>
      <c r="D12" s="17"/>
      <c r="E12" s="23"/>
      <c r="F12" s="23"/>
      <c r="G12" s="21" t="str">
        <f t="shared" si="2"/>
        <v/>
      </c>
      <c r="H12" s="22"/>
      <c r="I12" s="22"/>
    </row>
    <row r="13">
      <c r="A13" s="17" t="str">
        <f t="shared" si="1"/>
        <v/>
      </c>
      <c r="B13" s="18"/>
      <c r="C13" s="17"/>
      <c r="D13" s="17"/>
      <c r="E13" s="23"/>
      <c r="F13" s="23"/>
      <c r="G13" s="21" t="str">
        <f t="shared" si="2"/>
        <v/>
      </c>
      <c r="H13" s="22"/>
      <c r="I13" s="22"/>
    </row>
    <row r="14">
      <c r="A14" s="17" t="str">
        <f t="shared" si="1"/>
        <v/>
      </c>
      <c r="B14" s="18"/>
      <c r="C14" s="17"/>
      <c r="D14" s="17"/>
      <c r="E14" s="23"/>
      <c r="F14" s="23"/>
      <c r="G14" s="21" t="str">
        <f t="shared" si="2"/>
        <v/>
      </c>
      <c r="H14" s="22"/>
      <c r="I14" s="22"/>
    </row>
    <row r="15">
      <c r="A15" s="17" t="str">
        <f t="shared" si="1"/>
        <v/>
      </c>
      <c r="B15" s="18"/>
      <c r="C15" s="17"/>
      <c r="D15" s="17"/>
      <c r="E15" s="23"/>
      <c r="F15" s="23"/>
      <c r="G15" s="21" t="str">
        <f t="shared" si="2"/>
        <v/>
      </c>
      <c r="H15" s="22"/>
      <c r="I15" s="22"/>
    </row>
    <row r="16">
      <c r="A16" s="17" t="str">
        <f t="shared" si="1"/>
        <v/>
      </c>
      <c r="B16" s="18"/>
      <c r="C16" s="17"/>
      <c r="D16" s="17"/>
      <c r="E16" s="23"/>
      <c r="F16" s="23"/>
      <c r="G16" s="21" t="str">
        <f t="shared" si="2"/>
        <v/>
      </c>
      <c r="H16" s="22"/>
      <c r="I16" s="22"/>
    </row>
    <row r="17">
      <c r="A17" s="17" t="str">
        <f t="shared" si="1"/>
        <v/>
      </c>
      <c r="B17" s="18"/>
      <c r="C17" s="17"/>
      <c r="D17" s="17"/>
      <c r="E17" s="23"/>
      <c r="F17" s="23"/>
      <c r="G17" s="21" t="str">
        <f t="shared" si="2"/>
        <v/>
      </c>
      <c r="H17" s="22"/>
      <c r="I17" s="22"/>
    </row>
    <row r="18">
      <c r="A18" s="17" t="str">
        <f t="shared" si="1"/>
        <v/>
      </c>
      <c r="B18" s="18"/>
      <c r="C18" s="17"/>
      <c r="D18" s="17"/>
      <c r="E18" s="23"/>
      <c r="F18" s="23"/>
      <c r="G18" s="21" t="str">
        <f t="shared" si="2"/>
        <v/>
      </c>
      <c r="H18" s="22"/>
      <c r="I18" s="22"/>
    </row>
    <row r="19">
      <c r="A19" s="17" t="str">
        <f t="shared" si="1"/>
        <v/>
      </c>
      <c r="B19" s="18"/>
      <c r="C19" s="17"/>
      <c r="D19" s="17"/>
      <c r="E19" s="23"/>
      <c r="F19" s="23"/>
      <c r="G19" s="21" t="str">
        <f t="shared" si="2"/>
        <v/>
      </c>
      <c r="H19" s="22"/>
      <c r="I19" s="22"/>
    </row>
    <row r="20">
      <c r="A20" s="17" t="str">
        <f t="shared" si="1"/>
        <v/>
      </c>
      <c r="B20" s="18"/>
      <c r="C20" s="17"/>
      <c r="D20" s="17"/>
      <c r="E20" s="23"/>
      <c r="F20" s="23"/>
      <c r="G20" s="21" t="str">
        <f t="shared" si="2"/>
        <v/>
      </c>
      <c r="H20" s="22"/>
      <c r="I20" s="22"/>
    </row>
    <row r="21">
      <c r="A21" s="17" t="str">
        <f t="shared" si="1"/>
        <v/>
      </c>
      <c r="B21" s="18"/>
      <c r="C21" s="17"/>
      <c r="D21" s="17"/>
      <c r="E21" s="23"/>
      <c r="F21" s="23"/>
      <c r="G21" s="21" t="str">
        <f t="shared" si="2"/>
        <v/>
      </c>
      <c r="H21" s="22"/>
      <c r="I21" s="22"/>
    </row>
    <row r="22">
      <c r="A22" s="17" t="str">
        <f t="shared" si="1"/>
        <v/>
      </c>
      <c r="B22" s="18"/>
      <c r="C22" s="17"/>
      <c r="D22" s="17"/>
      <c r="E22" s="23"/>
      <c r="F22" s="23"/>
      <c r="G22" s="21" t="str">
        <f t="shared" si="2"/>
        <v/>
      </c>
      <c r="H22" s="22"/>
      <c r="I22" s="22"/>
    </row>
    <row r="23">
      <c r="A23" s="17" t="str">
        <f t="shared" si="1"/>
        <v/>
      </c>
      <c r="B23" s="18"/>
      <c r="C23" s="17"/>
      <c r="D23" s="17"/>
      <c r="E23" s="23"/>
      <c r="F23" s="23"/>
      <c r="G23" s="21" t="str">
        <f t="shared" si="2"/>
        <v/>
      </c>
      <c r="H23" s="22"/>
      <c r="I23" s="22"/>
    </row>
    <row r="24">
      <c r="A24" s="17" t="str">
        <f t="shared" si="1"/>
        <v/>
      </c>
      <c r="B24" s="18"/>
      <c r="C24" s="17"/>
      <c r="D24" s="17"/>
      <c r="E24" s="23"/>
      <c r="F24" s="23"/>
      <c r="G24" s="21" t="str">
        <f t="shared" si="2"/>
        <v/>
      </c>
      <c r="H24" s="22"/>
      <c r="I24" s="22"/>
    </row>
    <row r="25">
      <c r="A25" s="17" t="str">
        <f t="shared" ref="A25:A27" si="3">IFS(B25="","",A25="",NOW(),TRUE,A25)</f>
        <v/>
      </c>
      <c r="B25" s="18"/>
      <c r="C25" s="17"/>
      <c r="D25" s="17"/>
      <c r="E25" s="23"/>
      <c r="F25" s="23"/>
      <c r="G25" s="21" t="str">
        <f t="shared" si="2"/>
        <v/>
      </c>
      <c r="H25" s="22"/>
      <c r="I25" s="22"/>
    </row>
    <row r="26">
      <c r="A26" s="17" t="str">
        <f t="shared" si="3"/>
        <v/>
      </c>
      <c r="B26" s="18"/>
      <c r="C26" s="17"/>
      <c r="D26" s="17"/>
      <c r="E26" s="23"/>
      <c r="F26" s="23"/>
      <c r="G26" s="21" t="str">
        <f t="shared" si="2"/>
        <v/>
      </c>
      <c r="H26" s="22"/>
      <c r="I26" s="22"/>
    </row>
    <row r="27">
      <c r="A27" s="17" t="str">
        <f t="shared" si="3"/>
        <v/>
      </c>
      <c r="B27" s="18"/>
      <c r="C27" s="17"/>
      <c r="D27" s="17"/>
      <c r="E27" s="23"/>
      <c r="F27" s="23"/>
      <c r="G27" s="21" t="str">
        <f t="shared" si="2"/>
        <v/>
      </c>
      <c r="H27" s="22"/>
      <c r="I27" s="22"/>
    </row>
    <row r="28">
      <c r="A28" s="17"/>
      <c r="B28" s="18"/>
      <c r="C28" s="17"/>
      <c r="D28" s="17"/>
      <c r="E28" s="23"/>
      <c r="F28" s="23"/>
      <c r="G28" s="21" t="str">
        <f t="shared" si="2"/>
        <v/>
      </c>
      <c r="H28" s="22"/>
      <c r="I28" s="22"/>
    </row>
    <row r="29">
      <c r="A29" s="17"/>
      <c r="B29" s="18"/>
      <c r="C29" s="17"/>
      <c r="D29" s="17"/>
      <c r="E29" s="23"/>
      <c r="F29" s="23"/>
      <c r="G29" s="21" t="str">
        <f t="shared" si="2"/>
        <v/>
      </c>
      <c r="H29" s="22"/>
      <c r="I29" s="22"/>
    </row>
    <row r="30">
      <c r="A30" s="17"/>
      <c r="B30" s="18"/>
      <c r="C30" s="17"/>
      <c r="D30" s="17"/>
      <c r="E30" s="23"/>
      <c r="F30" s="23"/>
      <c r="G30" s="21" t="str">
        <f t="shared" si="2"/>
        <v/>
      </c>
      <c r="H30" s="22"/>
      <c r="I30" s="22"/>
    </row>
    <row r="31">
      <c r="A31" s="17"/>
      <c r="B31" s="18"/>
      <c r="C31" s="17"/>
      <c r="D31" s="17"/>
      <c r="E31" s="23"/>
      <c r="F31" s="23"/>
      <c r="G31" s="21" t="str">
        <f t="shared" si="2"/>
        <v/>
      </c>
      <c r="H31" s="22"/>
      <c r="I31" s="22"/>
    </row>
    <row r="32">
      <c r="A32" s="17"/>
      <c r="B32" s="18"/>
      <c r="C32" s="17"/>
      <c r="D32" s="17"/>
      <c r="E32" s="23"/>
      <c r="F32" s="23"/>
      <c r="G32" s="21" t="str">
        <f t="shared" si="2"/>
        <v/>
      </c>
      <c r="H32" s="22"/>
      <c r="I32" s="22"/>
    </row>
    <row r="33">
      <c r="A33" s="17"/>
      <c r="B33" s="18"/>
      <c r="C33" s="17"/>
      <c r="D33" s="17"/>
      <c r="E33" s="23"/>
      <c r="F33" s="23"/>
      <c r="G33" s="21" t="str">
        <f t="shared" si="2"/>
        <v/>
      </c>
      <c r="H33" s="22"/>
      <c r="I33" s="22"/>
    </row>
    <row r="34">
      <c r="A34" s="17"/>
      <c r="B34" s="18"/>
      <c r="C34" s="17"/>
      <c r="D34" s="17"/>
      <c r="E34" s="23"/>
      <c r="F34" s="23"/>
      <c r="G34" s="21" t="str">
        <f t="shared" si="2"/>
        <v/>
      </c>
      <c r="H34" s="22"/>
      <c r="I34" s="22"/>
    </row>
    <row r="35">
      <c r="A35" s="17"/>
      <c r="B35" s="18"/>
      <c r="C35" s="17"/>
      <c r="D35" s="17"/>
      <c r="E35" s="23"/>
      <c r="F35" s="23"/>
      <c r="G35" s="21" t="str">
        <f t="shared" si="2"/>
        <v/>
      </c>
      <c r="H35" s="22"/>
      <c r="I35" s="22"/>
    </row>
    <row r="36">
      <c r="A36" s="17"/>
      <c r="B36" s="18"/>
      <c r="C36" s="17"/>
      <c r="D36" s="17"/>
      <c r="E36" s="23"/>
      <c r="F36" s="23"/>
      <c r="G36" s="21" t="str">
        <f t="shared" si="2"/>
        <v/>
      </c>
      <c r="H36" s="22"/>
      <c r="I36" s="22"/>
    </row>
    <row r="37">
      <c r="A37" s="17"/>
      <c r="B37" s="18"/>
      <c r="C37" s="17"/>
      <c r="D37" s="17"/>
      <c r="E37" s="23"/>
      <c r="F37" s="23"/>
      <c r="G37" s="21" t="str">
        <f t="shared" si="2"/>
        <v/>
      </c>
      <c r="H37" s="22"/>
      <c r="I37" s="22"/>
    </row>
    <row r="38">
      <c r="A38" s="17"/>
      <c r="B38" s="18"/>
      <c r="C38" s="17"/>
      <c r="D38" s="17"/>
      <c r="E38" s="23"/>
      <c r="F38" s="23"/>
      <c r="G38" s="21" t="str">
        <f t="shared" si="2"/>
        <v/>
      </c>
      <c r="H38" s="22"/>
      <c r="I38" s="22"/>
    </row>
    <row r="39">
      <c r="A39" s="17"/>
      <c r="B39" s="18"/>
      <c r="C39" s="17"/>
      <c r="D39" s="17"/>
      <c r="E39" s="23"/>
      <c r="F39" s="23"/>
      <c r="G39" s="21" t="str">
        <f t="shared" si="2"/>
        <v/>
      </c>
      <c r="H39" s="22"/>
      <c r="I39" s="22"/>
    </row>
    <row r="40">
      <c r="A40" s="17"/>
      <c r="B40" s="18"/>
      <c r="C40" s="17"/>
      <c r="D40" s="17"/>
      <c r="E40" s="23"/>
      <c r="F40" s="23"/>
      <c r="G40" s="21" t="str">
        <f t="shared" si="2"/>
        <v/>
      </c>
      <c r="H40" s="22"/>
      <c r="I40" s="22"/>
    </row>
    <row r="41">
      <c r="A41" s="17"/>
      <c r="B41" s="18"/>
      <c r="C41" s="17"/>
      <c r="D41" s="17"/>
      <c r="E41" s="23"/>
      <c r="F41" s="23"/>
      <c r="G41" s="21" t="str">
        <f t="shared" si="2"/>
        <v/>
      </c>
      <c r="H41" s="22"/>
      <c r="I41" s="22"/>
    </row>
    <row r="42">
      <c r="A42" s="17"/>
      <c r="B42" s="18"/>
      <c r="C42" s="17"/>
      <c r="D42" s="17"/>
      <c r="E42" s="23"/>
      <c r="F42" s="23"/>
      <c r="G42" s="21" t="str">
        <f t="shared" si="2"/>
        <v/>
      </c>
      <c r="H42" s="22"/>
      <c r="I42" s="22"/>
    </row>
    <row r="43">
      <c r="A43" s="17"/>
      <c r="B43" s="18"/>
      <c r="C43" s="17"/>
      <c r="D43" s="17"/>
      <c r="E43" s="23"/>
      <c r="F43" s="23"/>
      <c r="G43" s="21" t="str">
        <f t="shared" si="2"/>
        <v/>
      </c>
      <c r="H43" s="22"/>
      <c r="I43" s="22"/>
    </row>
    <row r="44">
      <c r="A44" s="17"/>
      <c r="B44" s="18"/>
      <c r="C44" s="17"/>
      <c r="D44" s="17"/>
      <c r="E44" s="23"/>
      <c r="F44" s="23"/>
      <c r="G44" s="21" t="str">
        <f t="shared" si="2"/>
        <v/>
      </c>
      <c r="H44" s="22"/>
      <c r="I44" s="22"/>
    </row>
    <row r="45">
      <c r="A45" s="17"/>
      <c r="B45" s="18"/>
      <c r="C45" s="17"/>
      <c r="D45" s="17"/>
      <c r="E45" s="23"/>
      <c r="F45" s="23"/>
      <c r="G45" s="21" t="str">
        <f t="shared" si="2"/>
        <v/>
      </c>
      <c r="H45" s="22"/>
      <c r="I45" s="22"/>
    </row>
    <row r="46">
      <c r="A46" s="17"/>
      <c r="B46" s="18"/>
      <c r="C46" s="17"/>
      <c r="D46" s="17"/>
      <c r="E46" s="23"/>
      <c r="F46" s="23"/>
      <c r="G46" s="21" t="str">
        <f t="shared" si="2"/>
        <v/>
      </c>
      <c r="H46" s="22"/>
      <c r="I46" s="22"/>
    </row>
    <row r="47">
      <c r="A47" s="17"/>
      <c r="B47" s="18"/>
      <c r="C47" s="17"/>
      <c r="D47" s="17"/>
      <c r="E47" s="23"/>
      <c r="F47" s="23"/>
      <c r="G47" s="21" t="str">
        <f t="shared" si="2"/>
        <v/>
      </c>
      <c r="H47" s="22"/>
      <c r="I47" s="22"/>
    </row>
    <row r="48">
      <c r="A48" s="17"/>
      <c r="B48" s="18"/>
      <c r="C48" s="17"/>
      <c r="D48" s="17"/>
      <c r="E48" s="23"/>
      <c r="F48" s="23"/>
      <c r="G48" s="21" t="str">
        <f t="shared" si="2"/>
        <v/>
      </c>
      <c r="H48" s="22"/>
      <c r="I48" s="22"/>
    </row>
    <row r="49">
      <c r="A49" s="17"/>
      <c r="B49" s="18"/>
      <c r="C49" s="17"/>
      <c r="D49" s="17"/>
      <c r="E49" s="23"/>
      <c r="F49" s="23"/>
      <c r="G49" s="21" t="str">
        <f t="shared" si="2"/>
        <v/>
      </c>
      <c r="H49" s="22"/>
      <c r="I49" s="22"/>
    </row>
    <row r="50">
      <c r="A50" s="17"/>
      <c r="B50" s="18"/>
      <c r="C50" s="17"/>
      <c r="D50" s="17"/>
      <c r="E50" s="23"/>
      <c r="F50" s="23"/>
      <c r="G50" s="21" t="str">
        <f t="shared" si="2"/>
        <v/>
      </c>
      <c r="H50" s="22"/>
      <c r="I50" s="22"/>
    </row>
    <row r="51">
      <c r="A51" s="17"/>
      <c r="B51" s="18"/>
      <c r="C51" s="17"/>
      <c r="D51" s="17"/>
      <c r="E51" s="23"/>
      <c r="F51" s="23"/>
      <c r="G51" s="21" t="str">
        <f t="shared" si="2"/>
        <v/>
      </c>
      <c r="H51" s="22"/>
      <c r="I51" s="22"/>
    </row>
    <row r="52">
      <c r="A52" s="17"/>
      <c r="B52" s="18"/>
      <c r="C52" s="17"/>
      <c r="D52" s="17"/>
      <c r="E52" s="23"/>
      <c r="F52" s="23"/>
      <c r="G52" s="21" t="str">
        <f t="shared" si="2"/>
        <v/>
      </c>
      <c r="H52" s="22"/>
      <c r="I52" s="22"/>
    </row>
    <row r="53">
      <c r="A53" s="17"/>
      <c r="B53" s="18"/>
      <c r="C53" s="17"/>
      <c r="D53" s="17"/>
      <c r="E53" s="23"/>
      <c r="F53" s="23"/>
      <c r="G53" s="21" t="str">
        <f t="shared" si="2"/>
        <v/>
      </c>
      <c r="H53" s="22"/>
      <c r="I53" s="22"/>
    </row>
    <row r="54">
      <c r="A54" s="17"/>
      <c r="B54" s="18"/>
      <c r="C54" s="17"/>
      <c r="D54" s="17"/>
      <c r="E54" s="23"/>
      <c r="F54" s="23"/>
      <c r="G54" s="21" t="str">
        <f t="shared" si="2"/>
        <v/>
      </c>
      <c r="H54" s="22"/>
      <c r="I54" s="22"/>
    </row>
    <row r="55">
      <c r="A55" s="17"/>
      <c r="B55" s="18"/>
      <c r="C55" s="17"/>
      <c r="D55" s="17"/>
      <c r="E55" s="23"/>
      <c r="F55" s="23"/>
      <c r="G55" s="21" t="str">
        <f t="shared" si="2"/>
        <v/>
      </c>
      <c r="H55" s="22"/>
      <c r="I55" s="22"/>
    </row>
    <row r="56">
      <c r="A56" s="17"/>
      <c r="B56" s="18"/>
      <c r="C56" s="17"/>
      <c r="D56" s="17"/>
      <c r="E56" s="23"/>
      <c r="F56" s="23"/>
      <c r="G56" s="21" t="str">
        <f t="shared" si="2"/>
        <v/>
      </c>
      <c r="H56" s="22"/>
      <c r="I56" s="22"/>
    </row>
    <row r="57">
      <c r="A57" s="17"/>
      <c r="B57" s="18"/>
      <c r="C57" s="17"/>
      <c r="D57" s="17"/>
      <c r="E57" s="23"/>
      <c r="F57" s="23"/>
      <c r="G57" s="21" t="str">
        <f t="shared" si="2"/>
        <v/>
      </c>
      <c r="H57" s="22"/>
      <c r="I57" s="22"/>
    </row>
    <row r="58">
      <c r="A58" s="17"/>
      <c r="B58" s="18"/>
      <c r="C58" s="17"/>
      <c r="D58" s="17"/>
      <c r="E58" s="23"/>
      <c r="F58" s="23"/>
      <c r="G58" s="21" t="str">
        <f t="shared" si="2"/>
        <v/>
      </c>
      <c r="H58" s="22"/>
      <c r="I58" s="22"/>
    </row>
    <row r="59">
      <c r="A59" s="17"/>
      <c r="B59" s="18"/>
      <c r="C59" s="17"/>
      <c r="D59" s="17"/>
      <c r="E59" s="23"/>
      <c r="F59" s="23"/>
      <c r="G59" s="21" t="str">
        <f t="shared" si="2"/>
        <v/>
      </c>
      <c r="H59" s="22"/>
      <c r="I59" s="22"/>
    </row>
    <row r="60">
      <c r="A60" s="17"/>
      <c r="B60" s="18"/>
      <c r="C60" s="17"/>
      <c r="D60" s="17"/>
      <c r="E60" s="23"/>
      <c r="F60" s="23"/>
      <c r="G60" s="21" t="str">
        <f t="shared" si="2"/>
        <v/>
      </c>
      <c r="H60" s="22"/>
      <c r="I60" s="22"/>
    </row>
    <row r="61">
      <c r="A61" s="17"/>
      <c r="B61" s="18"/>
      <c r="C61" s="17"/>
      <c r="D61" s="17"/>
      <c r="E61" s="23"/>
      <c r="F61" s="23"/>
      <c r="G61" s="21" t="str">
        <f t="shared" si="2"/>
        <v/>
      </c>
      <c r="H61" s="22"/>
      <c r="I61" s="22"/>
    </row>
    <row r="62">
      <c r="A62" s="17"/>
      <c r="B62" s="18"/>
      <c r="C62" s="17"/>
      <c r="D62" s="17"/>
      <c r="E62" s="23"/>
      <c r="F62" s="23"/>
      <c r="G62" s="21" t="str">
        <f t="shared" si="2"/>
        <v/>
      </c>
      <c r="H62" s="22"/>
      <c r="I62" s="22"/>
    </row>
    <row r="63">
      <c r="A63" s="17"/>
      <c r="B63" s="18"/>
      <c r="C63" s="17"/>
      <c r="D63" s="17"/>
      <c r="E63" s="23"/>
      <c r="F63" s="23"/>
      <c r="G63" s="21" t="str">
        <f t="shared" si="2"/>
        <v/>
      </c>
      <c r="H63" s="22"/>
      <c r="I63" s="22"/>
    </row>
    <row r="64">
      <c r="A64" s="17"/>
      <c r="B64" s="18"/>
      <c r="C64" s="17"/>
      <c r="D64" s="17"/>
      <c r="E64" s="23"/>
      <c r="F64" s="23"/>
      <c r="G64" s="21" t="str">
        <f t="shared" si="2"/>
        <v/>
      </c>
      <c r="H64" s="22"/>
      <c r="I64" s="22"/>
    </row>
    <row r="65">
      <c r="A65" s="17"/>
      <c r="B65" s="18"/>
      <c r="C65" s="17"/>
      <c r="D65" s="17"/>
      <c r="E65" s="23"/>
      <c r="F65" s="23"/>
      <c r="G65" s="21" t="str">
        <f t="shared" si="2"/>
        <v/>
      </c>
      <c r="H65" s="22"/>
      <c r="I65" s="22"/>
    </row>
    <row r="66">
      <c r="A66" s="17"/>
      <c r="B66" s="18"/>
      <c r="C66" s="17"/>
      <c r="D66" s="17"/>
      <c r="E66" s="23"/>
      <c r="F66" s="23"/>
      <c r="G66" s="21" t="str">
        <f t="shared" si="2"/>
        <v/>
      </c>
      <c r="H66" s="22"/>
      <c r="I66" s="22"/>
    </row>
    <row r="67">
      <c r="A67" s="17"/>
      <c r="B67" s="18"/>
      <c r="C67" s="17"/>
      <c r="D67" s="17"/>
      <c r="E67" s="23"/>
      <c r="F67" s="23"/>
      <c r="G67" s="21" t="str">
        <f t="shared" si="2"/>
        <v/>
      </c>
      <c r="H67" s="22"/>
      <c r="I67" s="22"/>
    </row>
    <row r="68">
      <c r="A68" s="17"/>
      <c r="B68" s="18"/>
      <c r="C68" s="17"/>
      <c r="D68" s="17"/>
      <c r="E68" s="23"/>
      <c r="F68" s="23"/>
      <c r="G68" s="21" t="str">
        <f t="shared" si="2"/>
        <v/>
      </c>
      <c r="H68" s="22"/>
      <c r="I68" s="22"/>
    </row>
    <row r="69">
      <c r="A69" s="17"/>
      <c r="B69" s="18"/>
      <c r="C69" s="17"/>
      <c r="D69" s="17"/>
      <c r="E69" s="23"/>
      <c r="F69" s="23"/>
      <c r="G69" s="21" t="str">
        <f t="shared" si="2"/>
        <v/>
      </c>
      <c r="H69" s="22"/>
      <c r="I69" s="22"/>
    </row>
    <row r="70">
      <c r="A70" s="17"/>
      <c r="B70" s="18"/>
      <c r="C70" s="17"/>
      <c r="D70" s="17"/>
      <c r="E70" s="23"/>
      <c r="F70" s="23"/>
      <c r="G70" s="21" t="str">
        <f t="shared" si="2"/>
        <v/>
      </c>
      <c r="H70" s="22"/>
      <c r="I70" s="22"/>
    </row>
    <row r="71">
      <c r="A71" s="17"/>
      <c r="B71" s="18"/>
      <c r="C71" s="17"/>
      <c r="D71" s="17"/>
      <c r="E71" s="23"/>
      <c r="F71" s="23"/>
      <c r="G71" s="21" t="str">
        <f t="shared" si="2"/>
        <v/>
      </c>
      <c r="H71" s="22"/>
      <c r="I71" s="22"/>
    </row>
    <row r="72">
      <c r="A72" s="17"/>
      <c r="B72" s="18"/>
      <c r="C72" s="17"/>
      <c r="D72" s="17"/>
      <c r="E72" s="23"/>
      <c r="F72" s="23"/>
      <c r="G72" s="21" t="str">
        <f t="shared" si="2"/>
        <v/>
      </c>
      <c r="H72" s="22"/>
      <c r="I72" s="22"/>
    </row>
    <row r="73">
      <c r="A73" s="17"/>
      <c r="B73" s="18"/>
      <c r="C73" s="17"/>
      <c r="D73" s="17"/>
      <c r="E73" s="23"/>
      <c r="F73" s="23"/>
      <c r="G73" s="21" t="str">
        <f t="shared" si="2"/>
        <v/>
      </c>
      <c r="H73" s="22"/>
      <c r="I73" s="22"/>
    </row>
    <row r="74">
      <c r="A74" s="17"/>
      <c r="B74" s="18"/>
      <c r="C74" s="17"/>
      <c r="D74" s="17"/>
      <c r="E74" s="23"/>
      <c r="F74" s="23"/>
      <c r="G74" s="21" t="str">
        <f t="shared" si="2"/>
        <v/>
      </c>
      <c r="H74" s="22"/>
      <c r="I74" s="22"/>
    </row>
    <row r="75">
      <c r="A75" s="17"/>
      <c r="B75" s="18"/>
      <c r="C75" s="17"/>
      <c r="D75" s="17"/>
      <c r="E75" s="23"/>
      <c r="F75" s="23"/>
      <c r="G75" s="21" t="str">
        <f t="shared" si="2"/>
        <v/>
      </c>
      <c r="H75" s="22"/>
      <c r="I75" s="22"/>
    </row>
    <row r="76">
      <c r="A76" s="17"/>
      <c r="B76" s="18"/>
      <c r="C76" s="17"/>
      <c r="D76" s="17"/>
      <c r="E76" s="23"/>
      <c r="F76" s="23"/>
      <c r="G76" s="21" t="str">
        <f t="shared" si="2"/>
        <v/>
      </c>
      <c r="H76" s="22"/>
      <c r="I76" s="22"/>
    </row>
    <row r="77">
      <c r="A77" s="17"/>
      <c r="B77" s="18"/>
      <c r="C77" s="17"/>
      <c r="D77" s="17"/>
      <c r="E77" s="23"/>
      <c r="F77" s="23"/>
      <c r="G77" s="21" t="str">
        <f t="shared" si="2"/>
        <v/>
      </c>
      <c r="H77" s="22"/>
      <c r="I77" s="22"/>
    </row>
    <row r="78">
      <c r="A78" s="17"/>
      <c r="B78" s="18"/>
      <c r="C78" s="17"/>
      <c r="D78" s="17"/>
      <c r="E78" s="23"/>
      <c r="F78" s="23"/>
      <c r="G78" s="21" t="str">
        <f t="shared" si="2"/>
        <v/>
      </c>
      <c r="H78" s="22"/>
      <c r="I78" s="22"/>
    </row>
    <row r="79">
      <c r="A79" s="17"/>
      <c r="B79" s="18"/>
      <c r="C79" s="17"/>
      <c r="D79" s="17"/>
      <c r="E79" s="23"/>
      <c r="F79" s="23"/>
      <c r="G79" s="21" t="str">
        <f t="shared" si="2"/>
        <v/>
      </c>
      <c r="H79" s="22"/>
      <c r="I79" s="22"/>
    </row>
    <row r="80">
      <c r="A80" s="17"/>
      <c r="B80" s="18"/>
      <c r="C80" s="17"/>
      <c r="D80" s="17"/>
      <c r="E80" s="23"/>
      <c r="F80" s="23"/>
      <c r="G80" s="21" t="str">
        <f t="shared" si="2"/>
        <v/>
      </c>
      <c r="H80" s="22"/>
      <c r="I80" s="22"/>
    </row>
    <row r="81">
      <c r="A81" s="17"/>
      <c r="B81" s="18"/>
      <c r="C81" s="17"/>
      <c r="D81" s="17"/>
      <c r="E81" s="23"/>
      <c r="F81" s="23"/>
      <c r="G81" s="21" t="str">
        <f t="shared" si="2"/>
        <v/>
      </c>
      <c r="H81" s="22"/>
      <c r="I81" s="22"/>
    </row>
    <row r="82">
      <c r="A82" s="17"/>
      <c r="B82" s="18"/>
      <c r="C82" s="17"/>
      <c r="D82" s="17"/>
      <c r="E82" s="23"/>
      <c r="F82" s="23"/>
      <c r="G82" s="21" t="str">
        <f t="shared" si="2"/>
        <v/>
      </c>
      <c r="H82" s="22"/>
      <c r="I82" s="22"/>
    </row>
    <row r="83">
      <c r="A83" s="17"/>
      <c r="B83" s="18"/>
      <c r="C83" s="17"/>
      <c r="D83" s="17"/>
      <c r="E83" s="23"/>
      <c r="F83" s="23"/>
      <c r="G83" s="21" t="str">
        <f t="shared" si="2"/>
        <v/>
      </c>
      <c r="H83" s="22"/>
      <c r="I83" s="22"/>
    </row>
    <row r="84">
      <c r="A84" s="17"/>
      <c r="B84" s="18"/>
      <c r="C84" s="17"/>
      <c r="D84" s="17"/>
      <c r="E84" s="23"/>
      <c r="F84" s="23"/>
      <c r="G84" s="21" t="str">
        <f t="shared" si="2"/>
        <v/>
      </c>
      <c r="H84" s="22"/>
      <c r="I84" s="22"/>
    </row>
    <row r="85">
      <c r="A85" s="17"/>
      <c r="B85" s="18"/>
      <c r="C85" s="17"/>
      <c r="D85" s="17"/>
      <c r="E85" s="23"/>
      <c r="F85" s="23"/>
      <c r="G85" s="21" t="str">
        <f t="shared" si="2"/>
        <v/>
      </c>
      <c r="H85" s="22"/>
      <c r="I85" s="22"/>
    </row>
    <row r="86">
      <c r="A86" s="17"/>
      <c r="B86" s="18"/>
      <c r="C86" s="17"/>
      <c r="D86" s="17"/>
      <c r="E86" s="23"/>
      <c r="F86" s="23"/>
      <c r="G86" s="21" t="str">
        <f t="shared" si="2"/>
        <v/>
      </c>
      <c r="H86" s="22"/>
      <c r="I86" s="22"/>
    </row>
    <row r="87">
      <c r="A87" s="17"/>
      <c r="B87" s="18"/>
      <c r="C87" s="17"/>
      <c r="D87" s="17"/>
      <c r="E87" s="23"/>
      <c r="F87" s="23"/>
      <c r="G87" s="21" t="str">
        <f t="shared" si="2"/>
        <v/>
      </c>
      <c r="H87" s="22"/>
      <c r="I87" s="22"/>
    </row>
    <row r="88">
      <c r="A88" s="17"/>
      <c r="B88" s="18"/>
      <c r="C88" s="17"/>
      <c r="D88" s="17"/>
      <c r="E88" s="23"/>
      <c r="F88" s="23"/>
      <c r="G88" s="21" t="str">
        <f t="shared" si="2"/>
        <v/>
      </c>
      <c r="H88" s="22"/>
      <c r="I88" s="22"/>
    </row>
    <row r="89">
      <c r="A89" s="17"/>
      <c r="B89" s="18"/>
      <c r="C89" s="17"/>
      <c r="D89" s="17"/>
      <c r="E89" s="23"/>
      <c r="F89" s="23"/>
      <c r="G89" s="21" t="str">
        <f t="shared" si="2"/>
        <v/>
      </c>
      <c r="H89" s="22"/>
      <c r="I89" s="22"/>
    </row>
    <row r="90">
      <c r="A90" s="17"/>
      <c r="B90" s="18"/>
      <c r="C90" s="17"/>
      <c r="D90" s="17"/>
      <c r="E90" s="23"/>
      <c r="F90" s="23"/>
      <c r="G90" s="21" t="str">
        <f t="shared" si="2"/>
        <v/>
      </c>
      <c r="H90" s="22"/>
      <c r="I90" s="22"/>
    </row>
    <row r="91">
      <c r="A91" s="17"/>
      <c r="B91" s="18"/>
      <c r="C91" s="17"/>
      <c r="D91" s="17"/>
      <c r="E91" s="23"/>
      <c r="F91" s="23"/>
      <c r="G91" s="21" t="str">
        <f t="shared" si="2"/>
        <v/>
      </c>
      <c r="H91" s="22"/>
      <c r="I91" s="22"/>
    </row>
    <row r="92">
      <c r="A92" s="17"/>
      <c r="B92" s="18"/>
      <c r="C92" s="17"/>
      <c r="D92" s="17"/>
      <c r="E92" s="23"/>
      <c r="F92" s="23"/>
      <c r="G92" s="21" t="str">
        <f t="shared" si="2"/>
        <v/>
      </c>
      <c r="H92" s="22"/>
      <c r="I92" s="22"/>
    </row>
    <row r="93">
      <c r="A93" s="17"/>
      <c r="B93" s="18"/>
      <c r="C93" s="17"/>
      <c r="D93" s="17"/>
      <c r="E93" s="23"/>
      <c r="F93" s="23"/>
      <c r="G93" s="21" t="str">
        <f t="shared" si="2"/>
        <v/>
      </c>
      <c r="H93" s="22"/>
      <c r="I93" s="22"/>
    </row>
    <row r="94">
      <c r="A94" s="17"/>
      <c r="B94" s="18"/>
      <c r="C94" s="17"/>
      <c r="D94" s="17"/>
      <c r="E94" s="23"/>
      <c r="F94" s="23"/>
      <c r="G94" s="21" t="str">
        <f t="shared" si="2"/>
        <v/>
      </c>
      <c r="H94" s="22"/>
      <c r="I94" s="22"/>
    </row>
    <row r="95">
      <c r="A95" s="17"/>
      <c r="B95" s="18"/>
      <c r="C95" s="17"/>
      <c r="D95" s="17"/>
      <c r="E95" s="23"/>
      <c r="F95" s="23"/>
      <c r="G95" s="21" t="str">
        <f t="shared" si="2"/>
        <v/>
      </c>
      <c r="H95" s="22"/>
      <c r="I95" s="22"/>
    </row>
    <row r="96">
      <c r="A96" s="17"/>
      <c r="B96" s="18"/>
      <c r="C96" s="17"/>
      <c r="D96" s="17"/>
      <c r="E96" s="23"/>
      <c r="F96" s="23"/>
      <c r="G96" s="21" t="str">
        <f t="shared" si="2"/>
        <v/>
      </c>
      <c r="H96" s="22"/>
      <c r="I96" s="22"/>
    </row>
    <row r="97">
      <c r="A97" s="17"/>
      <c r="B97" s="18"/>
      <c r="C97" s="17"/>
      <c r="D97" s="17"/>
      <c r="E97" s="23"/>
      <c r="F97" s="23"/>
      <c r="G97" s="21" t="str">
        <f t="shared" si="2"/>
        <v/>
      </c>
      <c r="H97" s="22"/>
      <c r="I97" s="22"/>
    </row>
    <row r="98">
      <c r="A98" s="17"/>
      <c r="B98" s="18"/>
      <c r="C98" s="17"/>
      <c r="D98" s="17"/>
      <c r="E98" s="23"/>
      <c r="F98" s="23"/>
      <c r="G98" s="21" t="str">
        <f t="shared" si="2"/>
        <v/>
      </c>
      <c r="H98" s="22"/>
      <c r="I98" s="22"/>
    </row>
    <row r="99">
      <c r="A99" s="17"/>
      <c r="B99" s="18"/>
      <c r="C99" s="17"/>
      <c r="D99" s="17"/>
      <c r="E99" s="23"/>
      <c r="F99" s="23"/>
      <c r="G99" s="21" t="str">
        <f t="shared" si="2"/>
        <v/>
      </c>
      <c r="H99" s="22"/>
      <c r="I99" s="22"/>
    </row>
    <row r="100">
      <c r="A100" s="17"/>
      <c r="B100" s="18"/>
      <c r="C100" s="17"/>
      <c r="D100" s="17"/>
      <c r="E100" s="23"/>
      <c r="F100" s="23"/>
      <c r="G100" s="21" t="str">
        <f t="shared" si="2"/>
        <v/>
      </c>
      <c r="H100" s="22"/>
      <c r="I100" s="22"/>
    </row>
    <row r="101">
      <c r="A101" s="17"/>
      <c r="B101" s="18"/>
      <c r="C101" s="17"/>
      <c r="D101" s="17"/>
      <c r="E101" s="23"/>
      <c r="F101" s="23"/>
      <c r="G101" s="21" t="str">
        <f t="shared" si="2"/>
        <v/>
      </c>
      <c r="H101" s="22"/>
      <c r="I101" s="22"/>
    </row>
    <row r="102">
      <c r="A102" s="17"/>
      <c r="B102" s="18"/>
      <c r="C102" s="17"/>
      <c r="D102" s="17"/>
      <c r="E102" s="23"/>
      <c r="F102" s="23"/>
      <c r="G102" s="21" t="str">
        <f t="shared" si="2"/>
        <v/>
      </c>
      <c r="H102" s="22"/>
      <c r="I102" s="22"/>
    </row>
    <row r="103">
      <c r="A103" s="17"/>
      <c r="B103" s="18"/>
      <c r="C103" s="17"/>
      <c r="D103" s="17"/>
      <c r="E103" s="23"/>
      <c r="F103" s="23"/>
      <c r="G103" s="21" t="str">
        <f t="shared" si="2"/>
        <v/>
      </c>
      <c r="H103" s="22"/>
      <c r="I103" s="22"/>
    </row>
    <row r="104">
      <c r="A104" s="17"/>
      <c r="B104" s="18"/>
      <c r="C104" s="17"/>
      <c r="D104" s="17"/>
      <c r="E104" s="23"/>
      <c r="F104" s="23"/>
      <c r="G104" s="21" t="str">
        <f t="shared" si="2"/>
        <v/>
      </c>
      <c r="H104" s="22"/>
      <c r="I104" s="22"/>
    </row>
    <row r="105">
      <c r="A105" s="17"/>
      <c r="B105" s="18"/>
      <c r="C105" s="17"/>
      <c r="D105" s="17"/>
      <c r="E105" s="23"/>
      <c r="F105" s="23"/>
      <c r="G105" s="21" t="str">
        <f t="shared" si="2"/>
        <v/>
      </c>
      <c r="H105" s="22"/>
      <c r="I105" s="22"/>
    </row>
    <row r="106">
      <c r="A106" s="17"/>
      <c r="B106" s="18"/>
      <c r="C106" s="17"/>
      <c r="D106" s="17"/>
      <c r="E106" s="23"/>
      <c r="F106" s="23"/>
      <c r="G106" s="21" t="str">
        <f t="shared" si="2"/>
        <v/>
      </c>
      <c r="H106" s="22"/>
      <c r="I106" s="22"/>
    </row>
    <row r="107">
      <c r="A107" s="17"/>
      <c r="B107" s="18"/>
      <c r="C107" s="17"/>
      <c r="D107" s="17"/>
      <c r="E107" s="23"/>
      <c r="F107" s="23"/>
      <c r="G107" s="21" t="str">
        <f t="shared" si="2"/>
        <v/>
      </c>
      <c r="H107" s="22"/>
      <c r="I107" s="22"/>
    </row>
    <row r="108">
      <c r="A108" s="17"/>
      <c r="B108" s="18"/>
      <c r="C108" s="17"/>
      <c r="D108" s="17"/>
      <c r="E108" s="23"/>
      <c r="F108" s="23"/>
      <c r="G108" s="21" t="str">
        <f t="shared" si="2"/>
        <v/>
      </c>
      <c r="H108" s="22"/>
      <c r="I108" s="22"/>
    </row>
    <row r="109">
      <c r="A109" s="17"/>
      <c r="B109" s="18"/>
      <c r="C109" s="17"/>
      <c r="D109" s="17"/>
      <c r="E109" s="23"/>
      <c r="F109" s="23"/>
      <c r="G109" s="21" t="str">
        <f t="shared" si="2"/>
        <v/>
      </c>
      <c r="H109" s="22"/>
      <c r="I109" s="22"/>
    </row>
    <row r="110">
      <c r="A110" s="17"/>
      <c r="B110" s="18"/>
      <c r="C110" s="17"/>
      <c r="D110" s="17"/>
      <c r="E110" s="23"/>
      <c r="F110" s="23"/>
      <c r="G110" s="21" t="str">
        <f t="shared" si="2"/>
        <v/>
      </c>
      <c r="H110" s="22"/>
      <c r="I110" s="22"/>
    </row>
    <row r="111">
      <c r="A111" s="17"/>
      <c r="B111" s="18"/>
      <c r="C111" s="17"/>
      <c r="D111" s="17"/>
      <c r="E111" s="23"/>
      <c r="F111" s="23"/>
      <c r="G111" s="21" t="str">
        <f t="shared" si="2"/>
        <v/>
      </c>
      <c r="H111" s="22"/>
      <c r="I111" s="22"/>
    </row>
    <row r="112">
      <c r="A112" s="17"/>
      <c r="B112" s="18"/>
      <c r="C112" s="17"/>
      <c r="D112" s="17"/>
      <c r="E112" s="23"/>
      <c r="F112" s="23"/>
      <c r="G112" s="21" t="str">
        <f t="shared" si="2"/>
        <v/>
      </c>
      <c r="H112" s="22"/>
      <c r="I112" s="22"/>
    </row>
    <row r="113">
      <c r="A113" s="17"/>
      <c r="B113" s="18"/>
      <c r="C113" s="17"/>
      <c r="D113" s="17"/>
      <c r="E113" s="23"/>
      <c r="F113" s="23"/>
      <c r="G113" s="21" t="str">
        <f t="shared" si="2"/>
        <v/>
      </c>
      <c r="H113" s="22"/>
      <c r="I113" s="22"/>
    </row>
    <row r="114">
      <c r="A114" s="17"/>
      <c r="B114" s="18"/>
      <c r="C114" s="17"/>
      <c r="D114" s="17"/>
      <c r="E114" s="23"/>
      <c r="F114" s="23"/>
      <c r="G114" s="21" t="str">
        <f t="shared" si="2"/>
        <v/>
      </c>
      <c r="H114" s="22"/>
      <c r="I114" s="22"/>
    </row>
    <row r="115">
      <c r="A115" s="17"/>
      <c r="B115" s="18"/>
      <c r="C115" s="17"/>
      <c r="D115" s="17"/>
      <c r="E115" s="23"/>
      <c r="F115" s="23"/>
      <c r="G115" s="21" t="str">
        <f t="shared" si="2"/>
        <v/>
      </c>
      <c r="H115" s="22"/>
      <c r="I115" s="22"/>
    </row>
    <row r="116">
      <c r="A116" s="17"/>
      <c r="B116" s="18"/>
      <c r="C116" s="17"/>
      <c r="D116" s="17"/>
      <c r="E116" s="23"/>
      <c r="F116" s="23"/>
      <c r="G116" s="21" t="str">
        <f t="shared" si="2"/>
        <v/>
      </c>
      <c r="H116" s="22"/>
      <c r="I116" s="22"/>
    </row>
    <row r="117">
      <c r="A117" s="17"/>
      <c r="B117" s="18"/>
      <c r="C117" s="17"/>
      <c r="D117" s="17"/>
      <c r="E117" s="23"/>
      <c r="F117" s="23"/>
      <c r="G117" s="21" t="str">
        <f t="shared" si="2"/>
        <v/>
      </c>
      <c r="H117" s="22"/>
      <c r="I117" s="22"/>
    </row>
    <row r="118">
      <c r="A118" s="17"/>
      <c r="B118" s="18"/>
      <c r="C118" s="17"/>
      <c r="D118" s="17"/>
      <c r="E118" s="23"/>
      <c r="F118" s="23"/>
      <c r="G118" s="21" t="str">
        <f t="shared" si="2"/>
        <v/>
      </c>
      <c r="H118" s="22"/>
      <c r="I118" s="22"/>
    </row>
    <row r="119">
      <c r="A119" s="17"/>
      <c r="B119" s="18"/>
      <c r="C119" s="17"/>
      <c r="D119" s="17"/>
      <c r="E119" s="23"/>
      <c r="F119" s="23"/>
      <c r="G119" s="21" t="str">
        <f t="shared" si="2"/>
        <v/>
      </c>
      <c r="H119" s="22"/>
      <c r="I119" s="22"/>
    </row>
    <row r="120">
      <c r="A120" s="17"/>
      <c r="B120" s="18"/>
      <c r="C120" s="17"/>
      <c r="D120" s="17"/>
      <c r="E120" s="23"/>
      <c r="F120" s="23"/>
      <c r="G120" s="21" t="str">
        <f t="shared" si="2"/>
        <v/>
      </c>
      <c r="H120" s="22"/>
      <c r="I120" s="22"/>
    </row>
    <row r="121">
      <c r="A121" s="17"/>
      <c r="B121" s="18"/>
      <c r="C121" s="17"/>
      <c r="D121" s="17"/>
      <c r="E121" s="23"/>
      <c r="F121" s="23"/>
      <c r="G121" s="21" t="str">
        <f t="shared" si="2"/>
        <v/>
      </c>
      <c r="H121" s="22"/>
      <c r="I121" s="22"/>
    </row>
    <row r="122">
      <c r="A122" s="17"/>
      <c r="B122" s="18"/>
      <c r="C122" s="17"/>
      <c r="D122" s="17"/>
      <c r="E122" s="23"/>
      <c r="F122" s="23"/>
      <c r="G122" s="21" t="str">
        <f t="shared" si="2"/>
        <v/>
      </c>
      <c r="H122" s="22"/>
      <c r="I122" s="22"/>
    </row>
    <row r="123">
      <c r="A123" s="17"/>
      <c r="B123" s="18"/>
      <c r="C123" s="17"/>
      <c r="D123" s="17"/>
      <c r="E123" s="23"/>
      <c r="F123" s="23"/>
      <c r="G123" s="21" t="str">
        <f t="shared" si="2"/>
        <v/>
      </c>
      <c r="H123" s="22"/>
      <c r="I123" s="22"/>
    </row>
    <row r="124">
      <c r="A124" s="17"/>
      <c r="B124" s="18"/>
      <c r="C124" s="17"/>
      <c r="D124" s="17"/>
      <c r="E124" s="23"/>
      <c r="F124" s="23"/>
      <c r="G124" s="21" t="str">
        <f t="shared" si="2"/>
        <v/>
      </c>
      <c r="H124" s="22"/>
      <c r="I124" s="22"/>
    </row>
    <row r="125">
      <c r="A125" s="17"/>
      <c r="B125" s="18"/>
      <c r="C125" s="17"/>
      <c r="D125" s="17"/>
      <c r="E125" s="23"/>
      <c r="F125" s="23"/>
      <c r="G125" s="21" t="str">
        <f t="shared" si="2"/>
        <v/>
      </c>
      <c r="H125" s="22"/>
      <c r="I125" s="22"/>
    </row>
    <row r="126">
      <c r="A126" s="17"/>
      <c r="B126" s="18"/>
      <c r="C126" s="17"/>
      <c r="D126" s="17"/>
      <c r="E126" s="23"/>
      <c r="F126" s="23"/>
      <c r="G126" s="21" t="str">
        <f t="shared" si="2"/>
        <v/>
      </c>
      <c r="H126" s="22"/>
      <c r="I126" s="22"/>
    </row>
    <row r="127">
      <c r="A127" s="17"/>
      <c r="B127" s="18"/>
      <c r="C127" s="17"/>
      <c r="D127" s="17"/>
      <c r="E127" s="23"/>
      <c r="F127" s="23"/>
      <c r="G127" s="21" t="str">
        <f t="shared" si="2"/>
        <v/>
      </c>
      <c r="H127" s="22"/>
      <c r="I127" s="22"/>
    </row>
    <row r="128">
      <c r="A128" s="17"/>
      <c r="B128" s="18"/>
      <c r="C128" s="17"/>
      <c r="D128" s="17"/>
      <c r="E128" s="23"/>
      <c r="F128" s="23"/>
      <c r="G128" s="21" t="str">
        <f t="shared" si="2"/>
        <v/>
      </c>
      <c r="H128" s="22"/>
      <c r="I128" s="22"/>
    </row>
    <row r="129">
      <c r="A129" s="17"/>
      <c r="B129" s="18"/>
      <c r="C129" s="17"/>
      <c r="D129" s="17"/>
      <c r="E129" s="23"/>
      <c r="F129" s="23"/>
      <c r="G129" s="21" t="str">
        <f t="shared" si="2"/>
        <v/>
      </c>
      <c r="H129" s="22"/>
      <c r="I129" s="22"/>
    </row>
    <row r="130">
      <c r="A130" s="17"/>
      <c r="B130" s="18"/>
      <c r="C130" s="17"/>
      <c r="D130" s="17"/>
      <c r="E130" s="23"/>
      <c r="F130" s="23"/>
      <c r="G130" s="21" t="str">
        <f t="shared" si="2"/>
        <v/>
      </c>
      <c r="H130" s="22"/>
      <c r="I130" s="22"/>
    </row>
    <row r="131">
      <c r="A131" s="17"/>
      <c r="B131" s="18"/>
      <c r="C131" s="17"/>
      <c r="D131" s="17"/>
      <c r="E131" s="23"/>
      <c r="F131" s="23"/>
      <c r="G131" s="21" t="str">
        <f t="shared" si="2"/>
        <v/>
      </c>
      <c r="H131" s="22"/>
      <c r="I131" s="22"/>
    </row>
    <row r="132">
      <c r="A132" s="17"/>
      <c r="B132" s="18"/>
      <c r="C132" s="17"/>
      <c r="D132" s="17"/>
      <c r="E132" s="23"/>
      <c r="F132" s="23"/>
      <c r="G132" s="21" t="str">
        <f t="shared" si="2"/>
        <v/>
      </c>
      <c r="H132" s="22"/>
      <c r="I132" s="22"/>
    </row>
    <row r="133">
      <c r="A133" s="17"/>
      <c r="B133" s="18"/>
      <c r="C133" s="17"/>
      <c r="D133" s="17"/>
      <c r="E133" s="23"/>
      <c r="F133" s="23"/>
      <c r="G133" s="21" t="str">
        <f t="shared" si="2"/>
        <v/>
      </c>
      <c r="H133" s="22"/>
      <c r="I133" s="22"/>
    </row>
    <row r="134">
      <c r="A134" s="17"/>
      <c r="B134" s="18"/>
      <c r="C134" s="17"/>
      <c r="D134" s="17"/>
      <c r="E134" s="23"/>
      <c r="F134" s="23"/>
      <c r="G134" s="21" t="str">
        <f t="shared" si="2"/>
        <v/>
      </c>
      <c r="H134" s="22"/>
      <c r="I134" s="22"/>
    </row>
    <row r="135">
      <c r="A135" s="17"/>
      <c r="B135" s="18"/>
      <c r="C135" s="17"/>
      <c r="D135" s="17"/>
      <c r="E135" s="23"/>
      <c r="F135" s="23"/>
      <c r="G135" s="21" t="str">
        <f t="shared" si="2"/>
        <v/>
      </c>
      <c r="H135" s="22"/>
      <c r="I135" s="22"/>
    </row>
    <row r="136">
      <c r="A136" s="17"/>
      <c r="B136" s="18"/>
      <c r="C136" s="17"/>
      <c r="D136" s="17"/>
      <c r="E136" s="23"/>
      <c r="F136" s="23"/>
      <c r="G136" s="21" t="str">
        <f t="shared" si="2"/>
        <v/>
      </c>
      <c r="H136" s="22"/>
      <c r="I136" s="22"/>
    </row>
    <row r="137">
      <c r="A137" s="17"/>
      <c r="B137" s="18"/>
      <c r="C137" s="17"/>
      <c r="D137" s="17"/>
      <c r="E137" s="23"/>
      <c r="F137" s="23"/>
      <c r="G137" s="21" t="str">
        <f t="shared" si="2"/>
        <v/>
      </c>
      <c r="H137" s="22"/>
      <c r="I137" s="22"/>
    </row>
    <row r="138">
      <c r="A138" s="17"/>
      <c r="B138" s="18"/>
      <c r="C138" s="17"/>
      <c r="D138" s="17"/>
      <c r="E138" s="23"/>
      <c r="F138" s="23"/>
      <c r="G138" s="21" t="str">
        <f t="shared" si="2"/>
        <v/>
      </c>
      <c r="H138" s="22"/>
      <c r="I138" s="22"/>
    </row>
    <row r="139">
      <c r="A139" s="17"/>
      <c r="B139" s="18"/>
      <c r="C139" s="17"/>
      <c r="D139" s="17"/>
      <c r="E139" s="23"/>
      <c r="F139" s="23"/>
      <c r="G139" s="21" t="str">
        <f t="shared" si="2"/>
        <v/>
      </c>
      <c r="H139" s="22"/>
      <c r="I139" s="22"/>
    </row>
    <row r="140">
      <c r="A140" s="17"/>
      <c r="B140" s="18"/>
      <c r="C140" s="17"/>
      <c r="D140" s="17"/>
      <c r="E140" s="23"/>
      <c r="F140" s="23"/>
      <c r="G140" s="21" t="str">
        <f t="shared" si="2"/>
        <v/>
      </c>
      <c r="H140" s="22"/>
      <c r="I140" s="22"/>
    </row>
    <row r="141">
      <c r="A141" s="17"/>
      <c r="B141" s="18"/>
      <c r="C141" s="17"/>
      <c r="D141" s="17"/>
      <c r="E141" s="23"/>
      <c r="F141" s="23"/>
      <c r="G141" s="21" t="str">
        <f t="shared" si="2"/>
        <v/>
      </c>
      <c r="H141" s="22"/>
      <c r="I141" s="22"/>
    </row>
    <row r="142">
      <c r="A142" s="17"/>
      <c r="B142" s="18"/>
      <c r="C142" s="17"/>
      <c r="D142" s="17"/>
      <c r="E142" s="23"/>
      <c r="F142" s="23"/>
      <c r="G142" s="21" t="str">
        <f t="shared" si="2"/>
        <v/>
      </c>
      <c r="H142" s="22"/>
      <c r="I142" s="22"/>
    </row>
    <row r="143">
      <c r="A143" s="17"/>
      <c r="B143" s="18"/>
      <c r="C143" s="17"/>
      <c r="D143" s="17"/>
      <c r="E143" s="23"/>
      <c r="F143" s="23"/>
      <c r="G143" s="21" t="str">
        <f t="shared" si="2"/>
        <v/>
      </c>
      <c r="H143" s="22"/>
      <c r="I143" s="22"/>
    </row>
    <row r="144">
      <c r="A144" s="17"/>
      <c r="B144" s="18"/>
      <c r="C144" s="17"/>
      <c r="D144" s="17"/>
      <c r="E144" s="23"/>
      <c r="F144" s="23"/>
      <c r="G144" s="21" t="str">
        <f t="shared" si="2"/>
        <v/>
      </c>
      <c r="H144" s="22"/>
      <c r="I144" s="22"/>
    </row>
    <row r="145">
      <c r="A145" s="17"/>
      <c r="B145" s="18"/>
      <c r="C145" s="17"/>
      <c r="D145" s="17"/>
      <c r="E145" s="23"/>
      <c r="F145" s="23"/>
      <c r="G145" s="21" t="str">
        <f t="shared" si="2"/>
        <v/>
      </c>
      <c r="H145" s="22"/>
      <c r="I145" s="22"/>
    </row>
    <row r="146">
      <c r="A146" s="17"/>
      <c r="B146" s="18"/>
      <c r="C146" s="17"/>
      <c r="D146" s="17"/>
      <c r="E146" s="23"/>
      <c r="F146" s="23"/>
      <c r="G146" s="21" t="str">
        <f t="shared" si="2"/>
        <v/>
      </c>
      <c r="H146" s="22"/>
      <c r="I146" s="22"/>
    </row>
    <row r="147">
      <c r="A147" s="17"/>
      <c r="B147" s="18"/>
      <c r="C147" s="17"/>
      <c r="D147" s="17"/>
      <c r="E147" s="23"/>
      <c r="F147" s="23"/>
      <c r="G147" s="21" t="str">
        <f t="shared" si="2"/>
        <v/>
      </c>
      <c r="H147" s="22"/>
      <c r="I147" s="22"/>
    </row>
    <row r="148">
      <c r="A148" s="17"/>
      <c r="B148" s="18"/>
      <c r="C148" s="17"/>
      <c r="D148" s="17"/>
      <c r="E148" s="23"/>
      <c r="F148" s="23"/>
      <c r="G148" s="21" t="str">
        <f t="shared" si="2"/>
        <v/>
      </c>
      <c r="H148" s="22"/>
      <c r="I148" s="22"/>
    </row>
    <row r="149">
      <c r="A149" s="17"/>
      <c r="B149" s="18"/>
      <c r="C149" s="17"/>
      <c r="D149" s="17"/>
      <c r="E149" s="23"/>
      <c r="F149" s="23"/>
      <c r="G149" s="21" t="str">
        <f t="shared" si="2"/>
        <v/>
      </c>
      <c r="H149" s="22"/>
      <c r="I149" s="22"/>
    </row>
    <row r="150">
      <c r="A150" s="17"/>
      <c r="B150" s="18"/>
      <c r="C150" s="17"/>
      <c r="D150" s="17"/>
      <c r="E150" s="23"/>
      <c r="F150" s="23"/>
      <c r="G150" s="21" t="str">
        <f t="shared" si="2"/>
        <v/>
      </c>
      <c r="H150" s="22"/>
      <c r="I150" s="22"/>
    </row>
    <row r="151">
      <c r="A151" s="17"/>
      <c r="B151" s="18"/>
      <c r="C151" s="17"/>
      <c r="D151" s="17"/>
      <c r="E151" s="23"/>
      <c r="F151" s="23"/>
      <c r="G151" s="21" t="str">
        <f t="shared" si="2"/>
        <v/>
      </c>
      <c r="H151" s="22"/>
      <c r="I151" s="22"/>
    </row>
    <row r="152">
      <c r="A152" s="17"/>
      <c r="B152" s="18"/>
      <c r="C152" s="17"/>
      <c r="D152" s="17"/>
      <c r="E152" s="23"/>
      <c r="F152" s="23"/>
      <c r="G152" s="21" t="str">
        <f t="shared" si="2"/>
        <v/>
      </c>
      <c r="H152" s="22"/>
      <c r="I152" s="22"/>
    </row>
    <row r="153">
      <c r="A153" s="17"/>
      <c r="B153" s="18"/>
      <c r="C153" s="17"/>
      <c r="D153" s="17"/>
      <c r="E153" s="23"/>
      <c r="F153" s="23"/>
      <c r="G153" s="21" t="str">
        <f t="shared" si="2"/>
        <v/>
      </c>
      <c r="H153" s="22"/>
      <c r="I153" s="22"/>
    </row>
    <row r="154">
      <c r="A154" s="17"/>
      <c r="B154" s="18"/>
      <c r="C154" s="17"/>
      <c r="D154" s="17"/>
      <c r="E154" s="23"/>
      <c r="F154" s="23"/>
      <c r="G154" s="21" t="str">
        <f t="shared" si="2"/>
        <v/>
      </c>
      <c r="H154" s="22"/>
      <c r="I154" s="22"/>
    </row>
    <row r="155">
      <c r="A155" s="17"/>
      <c r="B155" s="18"/>
      <c r="C155" s="17"/>
      <c r="D155" s="17"/>
      <c r="E155" s="23"/>
      <c r="F155" s="23"/>
      <c r="G155" s="21" t="str">
        <f t="shared" si="2"/>
        <v/>
      </c>
      <c r="H155" s="22"/>
      <c r="I155" s="22"/>
    </row>
    <row r="156">
      <c r="A156" s="17"/>
      <c r="B156" s="18"/>
      <c r="C156" s="17"/>
      <c r="D156" s="17"/>
      <c r="E156" s="23"/>
      <c r="F156" s="23"/>
      <c r="G156" s="21" t="str">
        <f t="shared" si="2"/>
        <v/>
      </c>
      <c r="H156" s="22"/>
      <c r="I156" s="22"/>
    </row>
    <row r="157">
      <c r="A157" s="17"/>
      <c r="B157" s="18"/>
      <c r="C157" s="17"/>
      <c r="D157" s="17"/>
      <c r="E157" s="23"/>
      <c r="F157" s="23"/>
      <c r="G157" s="21" t="str">
        <f t="shared" si="2"/>
        <v/>
      </c>
      <c r="H157" s="22"/>
      <c r="I157" s="22"/>
    </row>
    <row r="158">
      <c r="A158" s="17"/>
      <c r="B158" s="18"/>
      <c r="C158" s="17"/>
      <c r="D158" s="17"/>
      <c r="E158" s="23"/>
      <c r="F158" s="23"/>
      <c r="G158" s="21" t="str">
        <f t="shared" si="2"/>
        <v/>
      </c>
      <c r="H158" s="22"/>
      <c r="I158" s="22"/>
    </row>
    <row r="159">
      <c r="A159" s="17"/>
      <c r="B159" s="18"/>
      <c r="C159" s="17"/>
      <c r="D159" s="17"/>
      <c r="E159" s="23"/>
      <c r="F159" s="23"/>
      <c r="G159" s="21" t="str">
        <f t="shared" si="2"/>
        <v/>
      </c>
      <c r="H159" s="22"/>
      <c r="I159" s="22"/>
    </row>
    <row r="160">
      <c r="A160" s="17"/>
      <c r="B160" s="18"/>
      <c r="C160" s="17"/>
      <c r="D160" s="17"/>
      <c r="E160" s="23"/>
      <c r="F160" s="23"/>
      <c r="G160" s="21" t="str">
        <f t="shared" si="2"/>
        <v/>
      </c>
      <c r="H160" s="22"/>
      <c r="I160" s="22"/>
    </row>
    <row r="161">
      <c r="A161" s="17"/>
      <c r="B161" s="18"/>
      <c r="C161" s="17"/>
      <c r="D161" s="17"/>
      <c r="E161" s="23"/>
      <c r="F161" s="23"/>
      <c r="G161" s="21" t="str">
        <f t="shared" si="2"/>
        <v/>
      </c>
      <c r="H161" s="22"/>
      <c r="I161" s="22"/>
    </row>
    <row r="162">
      <c r="A162" s="17"/>
      <c r="B162" s="18"/>
      <c r="C162" s="17"/>
      <c r="D162" s="17"/>
      <c r="E162" s="23"/>
      <c r="F162" s="23"/>
      <c r="G162" s="21" t="str">
        <f t="shared" si="2"/>
        <v/>
      </c>
      <c r="H162" s="22"/>
      <c r="I162" s="22"/>
    </row>
    <row r="163">
      <c r="A163" s="17"/>
      <c r="B163" s="18"/>
      <c r="C163" s="17"/>
      <c r="D163" s="17"/>
      <c r="E163" s="23"/>
      <c r="F163" s="23"/>
      <c r="G163" s="21" t="str">
        <f t="shared" si="2"/>
        <v/>
      </c>
      <c r="H163" s="22"/>
      <c r="I163" s="22"/>
    </row>
    <row r="164">
      <c r="A164" s="17"/>
      <c r="B164" s="18"/>
      <c r="C164" s="17"/>
      <c r="D164" s="17"/>
      <c r="E164" s="23"/>
      <c r="F164" s="23"/>
      <c r="G164" s="21" t="str">
        <f t="shared" si="2"/>
        <v/>
      </c>
      <c r="H164" s="22"/>
      <c r="I164" s="22"/>
    </row>
    <row r="165">
      <c r="A165" s="17"/>
      <c r="B165" s="18"/>
      <c r="C165" s="17"/>
      <c r="D165" s="17"/>
      <c r="E165" s="23"/>
      <c r="F165" s="23"/>
      <c r="G165" s="21" t="str">
        <f t="shared" si="2"/>
        <v/>
      </c>
      <c r="H165" s="22"/>
      <c r="I165" s="22"/>
    </row>
    <row r="166">
      <c r="A166" s="17"/>
      <c r="B166" s="18"/>
      <c r="C166" s="17"/>
      <c r="D166" s="17"/>
      <c r="E166" s="23"/>
      <c r="F166" s="23"/>
      <c r="G166" s="21" t="str">
        <f t="shared" si="2"/>
        <v/>
      </c>
      <c r="H166" s="22"/>
      <c r="I166" s="22"/>
    </row>
    <row r="167">
      <c r="A167" s="17"/>
      <c r="B167" s="18"/>
      <c r="C167" s="17"/>
      <c r="D167" s="17"/>
      <c r="E167" s="23"/>
      <c r="F167" s="23"/>
      <c r="G167" s="21" t="str">
        <f t="shared" si="2"/>
        <v/>
      </c>
      <c r="H167" s="22"/>
      <c r="I167" s="22"/>
    </row>
    <row r="168">
      <c r="A168" s="17"/>
      <c r="B168" s="18"/>
      <c r="C168" s="17"/>
      <c r="D168" s="17"/>
      <c r="E168" s="23"/>
      <c r="F168" s="23"/>
      <c r="G168" s="21" t="str">
        <f t="shared" si="2"/>
        <v/>
      </c>
      <c r="H168" s="22"/>
      <c r="I168" s="22"/>
    </row>
    <row r="169">
      <c r="A169" s="17"/>
      <c r="B169" s="18"/>
      <c r="C169" s="17"/>
      <c r="D169" s="17"/>
      <c r="E169" s="23"/>
      <c r="F169" s="23"/>
      <c r="G169" s="21" t="str">
        <f t="shared" si="2"/>
        <v/>
      </c>
      <c r="H169" s="22"/>
      <c r="I169" s="22"/>
    </row>
    <row r="170">
      <c r="A170" s="17"/>
      <c r="B170" s="18"/>
      <c r="C170" s="17"/>
      <c r="D170" s="17"/>
      <c r="E170" s="23"/>
      <c r="F170" s="23"/>
      <c r="G170" s="21" t="str">
        <f t="shared" si="2"/>
        <v/>
      </c>
      <c r="H170" s="22"/>
      <c r="I170" s="22"/>
    </row>
    <row r="171">
      <c r="A171" s="17"/>
      <c r="B171" s="18"/>
      <c r="C171" s="17"/>
      <c r="D171" s="17"/>
      <c r="E171" s="23"/>
      <c r="F171" s="23"/>
      <c r="G171" s="21" t="str">
        <f t="shared" si="2"/>
        <v/>
      </c>
      <c r="H171" s="22"/>
      <c r="I171" s="22"/>
    </row>
    <row r="172">
      <c r="A172" s="17"/>
      <c r="B172" s="18"/>
      <c r="C172" s="17"/>
      <c r="D172" s="17"/>
      <c r="E172" s="23"/>
      <c r="F172" s="23"/>
      <c r="G172" s="21" t="str">
        <f t="shared" si="2"/>
        <v/>
      </c>
      <c r="H172" s="22"/>
      <c r="I172" s="22"/>
    </row>
    <row r="173">
      <c r="A173" s="17"/>
      <c r="B173" s="18"/>
      <c r="C173" s="17"/>
      <c r="D173" s="17"/>
      <c r="E173" s="23"/>
      <c r="F173" s="23"/>
      <c r="G173" s="21" t="str">
        <f t="shared" si="2"/>
        <v/>
      </c>
      <c r="H173" s="22"/>
      <c r="I173" s="22"/>
    </row>
    <row r="174">
      <c r="A174" s="17"/>
      <c r="B174" s="18"/>
      <c r="C174" s="17"/>
      <c r="D174" s="17"/>
      <c r="E174" s="23"/>
      <c r="F174" s="23"/>
      <c r="G174" s="21" t="str">
        <f t="shared" si="2"/>
        <v/>
      </c>
      <c r="H174" s="22"/>
      <c r="I174" s="22"/>
    </row>
    <row r="175">
      <c r="A175" s="17"/>
      <c r="B175" s="18"/>
      <c r="C175" s="17"/>
      <c r="D175" s="17"/>
      <c r="E175" s="23"/>
      <c r="F175" s="23"/>
      <c r="G175" s="21" t="str">
        <f t="shared" si="2"/>
        <v/>
      </c>
      <c r="H175" s="22"/>
      <c r="I175" s="22"/>
    </row>
    <row r="176">
      <c r="A176" s="17"/>
      <c r="B176" s="18"/>
      <c r="C176" s="17"/>
      <c r="D176" s="17"/>
      <c r="E176" s="23"/>
      <c r="F176" s="23"/>
      <c r="G176" s="21" t="str">
        <f t="shared" si="2"/>
        <v/>
      </c>
      <c r="H176" s="22"/>
      <c r="I176" s="22"/>
    </row>
    <row r="177">
      <c r="A177" s="17"/>
      <c r="B177" s="18"/>
      <c r="C177" s="17"/>
      <c r="D177" s="17"/>
      <c r="E177" s="23"/>
      <c r="F177" s="23"/>
      <c r="G177" s="21" t="str">
        <f t="shared" si="2"/>
        <v/>
      </c>
      <c r="H177" s="22"/>
      <c r="I177" s="22"/>
    </row>
    <row r="178">
      <c r="A178" s="17"/>
      <c r="B178" s="18"/>
      <c r="C178" s="17"/>
      <c r="D178" s="17"/>
      <c r="E178" s="23"/>
      <c r="F178" s="23"/>
      <c r="G178" s="21" t="str">
        <f t="shared" si="2"/>
        <v/>
      </c>
      <c r="H178" s="22"/>
      <c r="I178" s="22"/>
    </row>
    <row r="179">
      <c r="A179" s="17"/>
      <c r="B179" s="18"/>
      <c r="C179" s="17"/>
      <c r="D179" s="17"/>
      <c r="E179" s="23"/>
      <c r="F179" s="23"/>
      <c r="G179" s="21" t="str">
        <f t="shared" si="2"/>
        <v/>
      </c>
      <c r="H179" s="22"/>
      <c r="I179" s="22"/>
    </row>
    <row r="180">
      <c r="A180" s="17"/>
      <c r="B180" s="18"/>
      <c r="C180" s="17"/>
      <c r="D180" s="17"/>
      <c r="E180" s="23"/>
      <c r="F180" s="23"/>
      <c r="G180" s="21" t="str">
        <f t="shared" si="2"/>
        <v/>
      </c>
      <c r="H180" s="22"/>
      <c r="I180" s="22"/>
    </row>
    <row r="181">
      <c r="A181" s="17"/>
      <c r="B181" s="18"/>
      <c r="C181" s="17"/>
      <c r="D181" s="17"/>
      <c r="E181" s="23"/>
      <c r="F181" s="23"/>
      <c r="G181" s="21" t="str">
        <f t="shared" si="2"/>
        <v/>
      </c>
      <c r="H181" s="22"/>
      <c r="I181" s="22"/>
    </row>
    <row r="182">
      <c r="A182" s="17"/>
      <c r="B182" s="18"/>
      <c r="C182" s="17"/>
      <c r="D182" s="17"/>
      <c r="E182" s="23"/>
      <c r="F182" s="23"/>
      <c r="G182" s="21" t="str">
        <f t="shared" si="2"/>
        <v/>
      </c>
      <c r="H182" s="22"/>
      <c r="I182" s="22"/>
    </row>
    <row r="183">
      <c r="A183" s="17"/>
      <c r="B183" s="18"/>
      <c r="C183" s="17"/>
      <c r="D183" s="17"/>
      <c r="E183" s="23"/>
      <c r="F183" s="23"/>
      <c r="G183" s="21" t="str">
        <f t="shared" si="2"/>
        <v/>
      </c>
      <c r="H183" s="22"/>
      <c r="I183" s="22"/>
    </row>
    <row r="184">
      <c r="A184" s="17"/>
      <c r="B184" s="18"/>
      <c r="C184" s="17"/>
      <c r="D184" s="17"/>
      <c r="E184" s="23"/>
      <c r="F184" s="23"/>
      <c r="G184" s="21" t="str">
        <f t="shared" si="2"/>
        <v/>
      </c>
      <c r="H184" s="22"/>
      <c r="I184" s="22"/>
    </row>
    <row r="185">
      <c r="A185" s="17"/>
      <c r="B185" s="18"/>
      <c r="C185" s="17"/>
      <c r="D185" s="17"/>
      <c r="E185" s="23"/>
      <c r="F185" s="23"/>
      <c r="G185" s="21" t="str">
        <f t="shared" si="2"/>
        <v/>
      </c>
      <c r="H185" s="22"/>
      <c r="I185" s="22"/>
    </row>
    <row r="186">
      <c r="A186" s="17"/>
      <c r="B186" s="18"/>
      <c r="C186" s="17"/>
      <c r="D186" s="17"/>
      <c r="E186" s="23"/>
      <c r="F186" s="23"/>
      <c r="G186" s="21" t="str">
        <f t="shared" si="2"/>
        <v/>
      </c>
      <c r="H186" s="22"/>
      <c r="I186" s="22"/>
    </row>
    <row r="187">
      <c r="A187" s="17"/>
      <c r="B187" s="18"/>
      <c r="C187" s="17"/>
      <c r="D187" s="17"/>
      <c r="E187" s="23"/>
      <c r="F187" s="23"/>
      <c r="G187" s="21" t="str">
        <f t="shared" si="2"/>
        <v/>
      </c>
      <c r="H187" s="22"/>
      <c r="I187" s="22"/>
    </row>
    <row r="188">
      <c r="A188" s="17"/>
      <c r="B188" s="18"/>
      <c r="C188" s="17"/>
      <c r="D188" s="17"/>
      <c r="E188" s="23"/>
      <c r="F188" s="23"/>
      <c r="G188" s="21" t="str">
        <f t="shared" si="2"/>
        <v/>
      </c>
      <c r="H188" s="22"/>
      <c r="I188" s="22"/>
    </row>
    <row r="189">
      <c r="A189" s="17"/>
      <c r="B189" s="18"/>
      <c r="C189" s="17"/>
      <c r="D189" s="17"/>
      <c r="E189" s="23"/>
      <c r="F189" s="23"/>
      <c r="G189" s="21" t="str">
        <f t="shared" si="2"/>
        <v/>
      </c>
      <c r="H189" s="22"/>
      <c r="I189" s="22"/>
    </row>
    <row r="190">
      <c r="A190" s="17"/>
      <c r="B190" s="18"/>
      <c r="C190" s="17"/>
      <c r="D190" s="17"/>
      <c r="E190" s="23"/>
      <c r="F190" s="23"/>
      <c r="G190" s="21" t="str">
        <f t="shared" si="2"/>
        <v/>
      </c>
      <c r="H190" s="22"/>
      <c r="I190" s="22"/>
    </row>
    <row r="191">
      <c r="A191" s="17"/>
      <c r="B191" s="18"/>
      <c r="C191" s="17"/>
      <c r="D191" s="17"/>
      <c r="E191" s="23"/>
      <c r="F191" s="23"/>
      <c r="G191" s="21" t="str">
        <f t="shared" si="2"/>
        <v/>
      </c>
      <c r="H191" s="22"/>
      <c r="I191" s="22"/>
    </row>
    <row r="192">
      <c r="A192" s="17"/>
      <c r="B192" s="18"/>
      <c r="C192" s="17"/>
      <c r="D192" s="17"/>
      <c r="E192" s="23"/>
      <c r="F192" s="23"/>
      <c r="G192" s="21" t="str">
        <f t="shared" si="2"/>
        <v/>
      </c>
      <c r="H192" s="22"/>
      <c r="I192" s="22"/>
    </row>
    <row r="193">
      <c r="A193" s="17"/>
      <c r="B193" s="18"/>
      <c r="C193" s="17"/>
      <c r="D193" s="17"/>
      <c r="E193" s="23"/>
      <c r="F193" s="23"/>
      <c r="G193" s="21" t="str">
        <f t="shared" si="2"/>
        <v/>
      </c>
      <c r="H193" s="22"/>
      <c r="I193" s="22"/>
    </row>
    <row r="194">
      <c r="A194" s="17"/>
      <c r="B194" s="18"/>
      <c r="C194" s="17"/>
      <c r="D194" s="17"/>
      <c r="E194" s="23"/>
      <c r="F194" s="23"/>
      <c r="G194" s="21" t="str">
        <f t="shared" si="2"/>
        <v/>
      </c>
      <c r="H194" s="22"/>
      <c r="I194" s="22"/>
    </row>
    <row r="195">
      <c r="A195" s="17"/>
      <c r="B195" s="18"/>
      <c r="C195" s="17"/>
      <c r="D195" s="17"/>
      <c r="E195" s="23"/>
      <c r="F195" s="23"/>
      <c r="G195" s="21" t="str">
        <f t="shared" si="2"/>
        <v/>
      </c>
      <c r="H195" s="22"/>
      <c r="I195" s="22"/>
    </row>
    <row r="196">
      <c r="A196" s="17"/>
      <c r="B196" s="18"/>
      <c r="C196" s="17"/>
      <c r="D196" s="17"/>
      <c r="E196" s="23"/>
      <c r="F196" s="23"/>
      <c r="G196" s="21" t="str">
        <f t="shared" si="2"/>
        <v/>
      </c>
      <c r="H196" s="22"/>
      <c r="I196" s="22"/>
    </row>
    <row r="197">
      <c r="A197" s="17"/>
      <c r="B197" s="18"/>
      <c r="C197" s="17"/>
      <c r="D197" s="17"/>
      <c r="E197" s="23"/>
      <c r="F197" s="23"/>
      <c r="G197" s="21" t="str">
        <f t="shared" si="2"/>
        <v/>
      </c>
      <c r="H197" s="22"/>
      <c r="I197" s="22"/>
    </row>
    <row r="198">
      <c r="A198" s="17"/>
      <c r="B198" s="18"/>
      <c r="C198" s="17"/>
      <c r="D198" s="17"/>
      <c r="E198" s="23"/>
      <c r="F198" s="23"/>
      <c r="G198" s="21" t="str">
        <f t="shared" si="2"/>
        <v/>
      </c>
      <c r="H198" s="22"/>
      <c r="I198" s="22"/>
    </row>
    <row r="199">
      <c r="A199" s="17"/>
      <c r="B199" s="18"/>
      <c r="C199" s="17"/>
      <c r="D199" s="17"/>
      <c r="E199" s="23"/>
      <c r="F199" s="23"/>
      <c r="G199" s="21" t="str">
        <f t="shared" si="2"/>
        <v/>
      </c>
      <c r="H199" s="22"/>
      <c r="I199" s="22"/>
    </row>
    <row r="200">
      <c r="A200" s="17"/>
      <c r="B200" s="18"/>
      <c r="C200" s="17"/>
      <c r="D200" s="17"/>
      <c r="E200" s="23"/>
      <c r="F200" s="23"/>
      <c r="G200" s="21" t="str">
        <f t="shared" si="2"/>
        <v/>
      </c>
      <c r="H200" s="22"/>
      <c r="I200" s="22"/>
    </row>
    <row r="201">
      <c r="A201" s="17"/>
      <c r="B201" s="18"/>
      <c r="C201" s="17"/>
      <c r="D201" s="17"/>
      <c r="E201" s="23"/>
      <c r="F201" s="23"/>
      <c r="G201" s="21" t="str">
        <f t="shared" si="2"/>
        <v/>
      </c>
      <c r="H201" s="22"/>
      <c r="I201" s="22"/>
    </row>
    <row r="202">
      <c r="A202" s="17"/>
      <c r="B202" s="18"/>
      <c r="C202" s="17"/>
      <c r="D202" s="17"/>
      <c r="E202" s="23"/>
      <c r="F202" s="23"/>
      <c r="G202" s="21" t="str">
        <f t="shared" si="2"/>
        <v/>
      </c>
      <c r="H202" s="22"/>
      <c r="I202" s="22"/>
    </row>
    <row r="203">
      <c r="A203" s="17"/>
      <c r="B203" s="18"/>
      <c r="C203" s="17"/>
      <c r="D203" s="17"/>
      <c r="E203" s="23"/>
      <c r="F203" s="23"/>
      <c r="G203" s="21" t="str">
        <f t="shared" si="2"/>
        <v/>
      </c>
      <c r="H203" s="22"/>
      <c r="I203" s="22"/>
    </row>
    <row r="204">
      <c r="A204" s="17"/>
      <c r="B204" s="18"/>
      <c r="C204" s="17"/>
      <c r="D204" s="17"/>
      <c r="E204" s="23"/>
      <c r="F204" s="23"/>
      <c r="G204" s="21" t="str">
        <f t="shared" si="2"/>
        <v/>
      </c>
      <c r="H204" s="22"/>
      <c r="I204" s="22"/>
    </row>
    <row r="205">
      <c r="A205" s="17"/>
      <c r="B205" s="18"/>
      <c r="C205" s="17"/>
      <c r="D205" s="17"/>
      <c r="E205" s="23"/>
      <c r="F205" s="23"/>
      <c r="G205" s="21" t="str">
        <f t="shared" si="2"/>
        <v/>
      </c>
      <c r="H205" s="22"/>
      <c r="I205" s="22"/>
    </row>
    <row r="206">
      <c r="A206" s="17"/>
      <c r="B206" s="18"/>
      <c r="C206" s="17"/>
      <c r="D206" s="17"/>
      <c r="E206" s="23"/>
      <c r="F206" s="23"/>
      <c r="G206" s="21" t="str">
        <f t="shared" si="2"/>
        <v/>
      </c>
      <c r="H206" s="22"/>
      <c r="I206" s="22"/>
    </row>
    <row r="207">
      <c r="A207" s="17"/>
      <c r="B207" s="18"/>
      <c r="C207" s="17"/>
      <c r="D207" s="17"/>
      <c r="E207" s="23"/>
      <c r="F207" s="23"/>
      <c r="G207" s="21" t="str">
        <f t="shared" si="2"/>
        <v/>
      </c>
      <c r="H207" s="22"/>
      <c r="I207" s="22"/>
    </row>
    <row r="208">
      <c r="A208" s="17"/>
      <c r="B208" s="18"/>
      <c r="C208" s="17"/>
      <c r="D208" s="17"/>
      <c r="E208" s="23"/>
      <c r="F208" s="23"/>
      <c r="G208" s="21" t="str">
        <f t="shared" si="2"/>
        <v/>
      </c>
      <c r="H208" s="22"/>
      <c r="I208" s="22"/>
    </row>
    <row r="209">
      <c r="A209" s="17"/>
      <c r="B209" s="18"/>
      <c r="C209" s="17"/>
      <c r="D209" s="17"/>
      <c r="E209" s="23"/>
      <c r="F209" s="23"/>
      <c r="G209" s="21" t="str">
        <f t="shared" si="2"/>
        <v/>
      </c>
      <c r="H209" s="22"/>
      <c r="I209" s="22"/>
    </row>
    <row r="210">
      <c r="A210" s="17"/>
      <c r="B210" s="18"/>
      <c r="C210" s="17"/>
      <c r="D210" s="17"/>
      <c r="E210" s="23"/>
      <c r="F210" s="23"/>
      <c r="G210" s="21" t="str">
        <f t="shared" si="2"/>
        <v/>
      </c>
      <c r="H210" s="22"/>
      <c r="I210" s="22"/>
    </row>
    <row r="211">
      <c r="A211" s="17"/>
      <c r="B211" s="18"/>
      <c r="C211" s="17"/>
      <c r="D211" s="17"/>
      <c r="E211" s="23"/>
      <c r="F211" s="23"/>
      <c r="G211" s="21" t="str">
        <f t="shared" si="2"/>
        <v/>
      </c>
      <c r="H211" s="22"/>
      <c r="I211" s="22"/>
    </row>
    <row r="212">
      <c r="A212" s="17"/>
      <c r="B212" s="18"/>
      <c r="C212" s="17"/>
      <c r="D212" s="17"/>
      <c r="E212" s="23"/>
      <c r="F212" s="23"/>
      <c r="G212" s="21" t="str">
        <f t="shared" si="2"/>
        <v/>
      </c>
      <c r="H212" s="22"/>
      <c r="I212" s="22"/>
    </row>
    <row r="213">
      <c r="A213" s="17"/>
      <c r="B213" s="18"/>
      <c r="C213" s="17"/>
      <c r="D213" s="17"/>
      <c r="E213" s="23"/>
      <c r="F213" s="23"/>
      <c r="G213" s="21" t="str">
        <f t="shared" si="2"/>
        <v/>
      </c>
      <c r="H213" s="22"/>
      <c r="I213" s="22"/>
    </row>
    <row r="214">
      <c r="A214" s="17"/>
      <c r="B214" s="18"/>
      <c r="C214" s="17"/>
      <c r="D214" s="17"/>
      <c r="E214" s="23"/>
      <c r="F214" s="23"/>
      <c r="G214" s="21" t="str">
        <f t="shared" si="2"/>
        <v/>
      </c>
      <c r="H214" s="22"/>
      <c r="I214" s="22"/>
    </row>
    <row r="215">
      <c r="A215" s="17"/>
      <c r="B215" s="18"/>
      <c r="C215" s="17"/>
      <c r="D215" s="17"/>
      <c r="E215" s="23"/>
      <c r="F215" s="23"/>
      <c r="G215" s="21" t="str">
        <f t="shared" si="2"/>
        <v/>
      </c>
      <c r="H215" s="22"/>
      <c r="I215" s="22"/>
    </row>
    <row r="216">
      <c r="A216" s="17"/>
      <c r="B216" s="18"/>
      <c r="C216" s="17"/>
      <c r="D216" s="17"/>
      <c r="E216" s="23"/>
      <c r="F216" s="23"/>
      <c r="G216" s="21" t="str">
        <f t="shared" si="2"/>
        <v/>
      </c>
      <c r="H216" s="22"/>
      <c r="I216" s="22"/>
    </row>
    <row r="217">
      <c r="A217" s="17"/>
      <c r="B217" s="18"/>
      <c r="C217" s="17"/>
      <c r="D217" s="17"/>
      <c r="E217" s="23"/>
      <c r="F217" s="23"/>
      <c r="G217" s="21" t="str">
        <f t="shared" si="2"/>
        <v/>
      </c>
      <c r="H217" s="22"/>
      <c r="I217" s="22"/>
    </row>
    <row r="218">
      <c r="A218" s="17"/>
      <c r="B218" s="18"/>
      <c r="C218" s="17"/>
      <c r="D218" s="17"/>
      <c r="E218" s="23"/>
      <c r="F218" s="23"/>
      <c r="G218" s="21" t="str">
        <f t="shared" si="2"/>
        <v/>
      </c>
      <c r="H218" s="22"/>
      <c r="I218" s="22"/>
    </row>
    <row r="219">
      <c r="A219" s="17"/>
      <c r="B219" s="18"/>
      <c r="C219" s="17"/>
      <c r="D219" s="17"/>
      <c r="E219" s="23"/>
      <c r="F219" s="23"/>
      <c r="G219" s="21" t="str">
        <f t="shared" si="2"/>
        <v/>
      </c>
      <c r="H219" s="22"/>
      <c r="I219" s="22"/>
    </row>
    <row r="220">
      <c r="A220" s="17"/>
      <c r="B220" s="18"/>
      <c r="C220" s="17"/>
      <c r="D220" s="17"/>
      <c r="E220" s="23"/>
      <c r="F220" s="23"/>
      <c r="G220" s="21" t="str">
        <f t="shared" si="2"/>
        <v/>
      </c>
      <c r="H220" s="22"/>
      <c r="I220" s="22"/>
    </row>
    <row r="221">
      <c r="A221" s="17"/>
      <c r="B221" s="18"/>
      <c r="C221" s="17"/>
      <c r="D221" s="17"/>
      <c r="E221" s="23"/>
      <c r="F221" s="23"/>
      <c r="G221" s="21" t="str">
        <f t="shared" si="2"/>
        <v/>
      </c>
      <c r="H221" s="22"/>
      <c r="I221" s="22"/>
    </row>
    <row r="222">
      <c r="A222" s="17"/>
      <c r="B222" s="18"/>
      <c r="C222" s="17"/>
      <c r="D222" s="17"/>
      <c r="E222" s="23"/>
      <c r="F222" s="23"/>
      <c r="G222" s="21" t="str">
        <f t="shared" si="2"/>
        <v/>
      </c>
      <c r="H222" s="22"/>
      <c r="I222" s="22"/>
    </row>
    <row r="223">
      <c r="A223" s="17"/>
      <c r="B223" s="18"/>
      <c r="C223" s="17"/>
      <c r="D223" s="17"/>
      <c r="E223" s="23"/>
      <c r="F223" s="23"/>
      <c r="G223" s="21" t="str">
        <f t="shared" si="2"/>
        <v/>
      </c>
      <c r="H223" s="22"/>
      <c r="I223" s="22"/>
    </row>
    <row r="224">
      <c r="A224" s="17"/>
      <c r="B224" s="18"/>
      <c r="C224" s="17"/>
      <c r="D224" s="17"/>
      <c r="E224" s="23"/>
      <c r="F224" s="23"/>
      <c r="G224" s="21" t="str">
        <f t="shared" si="2"/>
        <v/>
      </c>
      <c r="H224" s="22"/>
      <c r="I224" s="22"/>
    </row>
    <row r="225">
      <c r="A225" s="17"/>
      <c r="B225" s="18"/>
      <c r="C225" s="17"/>
      <c r="D225" s="17"/>
      <c r="E225" s="23"/>
      <c r="F225" s="23"/>
      <c r="G225" s="21" t="str">
        <f t="shared" si="2"/>
        <v/>
      </c>
      <c r="H225" s="22"/>
      <c r="I225" s="22"/>
    </row>
    <row r="226">
      <c r="A226" s="17"/>
      <c r="B226" s="18"/>
      <c r="C226" s="17"/>
      <c r="D226" s="17"/>
      <c r="E226" s="23"/>
      <c r="F226" s="23"/>
      <c r="G226" s="21" t="str">
        <f t="shared" si="2"/>
        <v/>
      </c>
      <c r="H226" s="22"/>
      <c r="I226" s="22"/>
    </row>
    <row r="227">
      <c r="A227" s="17"/>
      <c r="B227" s="18"/>
      <c r="C227" s="17"/>
      <c r="D227" s="17"/>
      <c r="E227" s="23"/>
      <c r="F227" s="23"/>
      <c r="G227" s="21" t="str">
        <f t="shared" si="2"/>
        <v/>
      </c>
      <c r="H227" s="22"/>
      <c r="I227" s="22"/>
    </row>
    <row r="228">
      <c r="A228" s="17"/>
      <c r="B228" s="18"/>
      <c r="C228" s="17"/>
      <c r="D228" s="17"/>
      <c r="E228" s="23"/>
      <c r="F228" s="23"/>
      <c r="G228" s="21" t="str">
        <f t="shared" si="2"/>
        <v/>
      </c>
      <c r="H228" s="22"/>
      <c r="I228" s="22"/>
    </row>
    <row r="229">
      <c r="A229" s="17"/>
      <c r="B229" s="18"/>
      <c r="C229" s="17"/>
      <c r="D229" s="17"/>
      <c r="E229" s="23"/>
      <c r="F229" s="23"/>
      <c r="G229" s="21" t="str">
        <f t="shared" si="2"/>
        <v/>
      </c>
      <c r="H229" s="22"/>
      <c r="I229" s="22"/>
    </row>
    <row r="230">
      <c r="A230" s="17"/>
      <c r="B230" s="18"/>
      <c r="C230" s="17"/>
      <c r="D230" s="17"/>
      <c r="E230" s="23"/>
      <c r="F230" s="23"/>
      <c r="G230" s="21" t="str">
        <f t="shared" si="2"/>
        <v/>
      </c>
      <c r="H230" s="22"/>
      <c r="I230" s="22"/>
    </row>
    <row r="231">
      <c r="A231" s="17"/>
      <c r="B231" s="18"/>
      <c r="C231" s="17"/>
      <c r="D231" s="17"/>
      <c r="E231" s="23"/>
      <c r="F231" s="23"/>
      <c r="G231" s="21" t="str">
        <f t="shared" si="2"/>
        <v/>
      </c>
      <c r="H231" s="22"/>
      <c r="I231" s="22"/>
    </row>
    <row r="232">
      <c r="A232" s="17"/>
      <c r="B232" s="18"/>
      <c r="C232" s="17"/>
      <c r="D232" s="17"/>
      <c r="E232" s="23"/>
      <c r="F232" s="23"/>
      <c r="G232" s="21" t="str">
        <f t="shared" si="2"/>
        <v/>
      </c>
      <c r="H232" s="22"/>
      <c r="I232" s="22"/>
    </row>
    <row r="233">
      <c r="A233" s="17"/>
      <c r="B233" s="18"/>
      <c r="C233" s="17"/>
      <c r="D233" s="17"/>
      <c r="E233" s="23"/>
      <c r="F233" s="23"/>
      <c r="G233" s="21" t="str">
        <f t="shared" si="2"/>
        <v/>
      </c>
      <c r="H233" s="22"/>
      <c r="I233" s="22"/>
    </row>
    <row r="234">
      <c r="A234" s="17"/>
      <c r="B234" s="18"/>
      <c r="C234" s="17"/>
      <c r="D234" s="17"/>
      <c r="E234" s="23"/>
      <c r="F234" s="23"/>
      <c r="G234" s="21" t="str">
        <f t="shared" si="2"/>
        <v/>
      </c>
      <c r="H234" s="22"/>
      <c r="I234" s="22"/>
    </row>
    <row r="235">
      <c r="A235" s="17"/>
      <c r="B235" s="18"/>
      <c r="C235" s="17"/>
      <c r="D235" s="17"/>
      <c r="E235" s="23"/>
      <c r="F235" s="23"/>
      <c r="G235" s="21" t="str">
        <f t="shared" si="2"/>
        <v/>
      </c>
      <c r="H235" s="22"/>
      <c r="I235" s="22"/>
    </row>
    <row r="236">
      <c r="A236" s="17"/>
      <c r="B236" s="18"/>
      <c r="C236" s="17"/>
      <c r="D236" s="17"/>
      <c r="E236" s="23"/>
      <c r="F236" s="23"/>
      <c r="G236" s="21" t="str">
        <f t="shared" si="2"/>
        <v/>
      </c>
      <c r="H236" s="22"/>
      <c r="I236" s="22"/>
    </row>
    <row r="237">
      <c r="A237" s="17"/>
      <c r="B237" s="18"/>
      <c r="C237" s="17"/>
      <c r="D237" s="17"/>
      <c r="E237" s="23"/>
      <c r="F237" s="23"/>
      <c r="G237" s="21" t="str">
        <f t="shared" si="2"/>
        <v/>
      </c>
      <c r="H237" s="22"/>
      <c r="I237" s="22"/>
    </row>
    <row r="238">
      <c r="A238" s="17"/>
      <c r="B238" s="18"/>
      <c r="C238" s="17"/>
      <c r="D238" s="17"/>
      <c r="E238" s="23"/>
      <c r="F238" s="23"/>
      <c r="G238" s="21" t="str">
        <f t="shared" si="2"/>
        <v/>
      </c>
      <c r="H238" s="22"/>
      <c r="I238" s="22"/>
    </row>
    <row r="239">
      <c r="A239" s="17"/>
      <c r="B239" s="18"/>
      <c r="C239" s="17"/>
      <c r="D239" s="17"/>
      <c r="E239" s="23"/>
      <c r="F239" s="23"/>
      <c r="G239" s="21" t="str">
        <f t="shared" si="2"/>
        <v/>
      </c>
      <c r="H239" s="22"/>
      <c r="I239" s="22"/>
    </row>
    <row r="240">
      <c r="A240" s="17"/>
      <c r="B240" s="18"/>
      <c r="C240" s="17"/>
      <c r="D240" s="17"/>
      <c r="E240" s="23"/>
      <c r="F240" s="23"/>
      <c r="G240" s="21" t="str">
        <f t="shared" si="2"/>
        <v/>
      </c>
      <c r="H240" s="22"/>
      <c r="I240" s="22"/>
    </row>
    <row r="241">
      <c r="A241" s="17"/>
      <c r="B241" s="18"/>
      <c r="C241" s="17"/>
      <c r="D241" s="17"/>
      <c r="E241" s="23"/>
      <c r="F241" s="23"/>
      <c r="G241" s="21" t="str">
        <f t="shared" si="2"/>
        <v/>
      </c>
      <c r="H241" s="22"/>
      <c r="I241" s="22"/>
    </row>
    <row r="242">
      <c r="A242" s="17"/>
      <c r="B242" s="18"/>
      <c r="C242" s="17"/>
      <c r="D242" s="17"/>
      <c r="E242" s="23"/>
      <c r="F242" s="23"/>
      <c r="G242" s="21" t="str">
        <f t="shared" si="2"/>
        <v/>
      </c>
      <c r="H242" s="22"/>
      <c r="I242" s="22"/>
    </row>
    <row r="243">
      <c r="A243" s="17"/>
      <c r="B243" s="18"/>
      <c r="C243" s="17"/>
      <c r="D243" s="17"/>
      <c r="E243" s="23"/>
      <c r="F243" s="23"/>
      <c r="G243" s="21" t="str">
        <f t="shared" si="2"/>
        <v/>
      </c>
      <c r="H243" s="22"/>
      <c r="I243" s="22"/>
    </row>
    <row r="244">
      <c r="A244" s="17"/>
      <c r="B244" s="18"/>
      <c r="C244" s="17"/>
      <c r="D244" s="17"/>
      <c r="E244" s="23"/>
      <c r="F244" s="23"/>
      <c r="G244" s="21" t="str">
        <f t="shared" si="2"/>
        <v/>
      </c>
      <c r="H244" s="22"/>
      <c r="I244" s="22"/>
    </row>
    <row r="245">
      <c r="A245" s="17"/>
      <c r="B245" s="18"/>
      <c r="C245" s="17"/>
      <c r="D245" s="17"/>
      <c r="E245" s="23"/>
      <c r="F245" s="23"/>
      <c r="G245" s="21" t="str">
        <f t="shared" si="2"/>
        <v/>
      </c>
      <c r="H245" s="22"/>
      <c r="I245" s="22"/>
    </row>
    <row r="246">
      <c r="A246" s="17"/>
      <c r="B246" s="18"/>
      <c r="C246" s="17"/>
      <c r="D246" s="17"/>
      <c r="E246" s="23"/>
      <c r="F246" s="23"/>
      <c r="G246" s="21" t="str">
        <f t="shared" si="2"/>
        <v/>
      </c>
      <c r="H246" s="22"/>
      <c r="I246" s="22"/>
    </row>
    <row r="247">
      <c r="A247" s="17"/>
      <c r="B247" s="18"/>
      <c r="C247" s="17"/>
      <c r="D247" s="17"/>
      <c r="E247" s="23"/>
      <c r="F247" s="23"/>
      <c r="G247" s="21" t="str">
        <f t="shared" si="2"/>
        <v/>
      </c>
      <c r="H247" s="22"/>
      <c r="I247" s="22"/>
    </row>
    <row r="248">
      <c r="A248" s="17"/>
      <c r="B248" s="18"/>
      <c r="C248" s="17"/>
      <c r="D248" s="17"/>
      <c r="E248" s="23"/>
      <c r="F248" s="23"/>
      <c r="G248" s="21" t="str">
        <f t="shared" si="2"/>
        <v/>
      </c>
      <c r="H248" s="22"/>
      <c r="I248" s="22"/>
    </row>
    <row r="249">
      <c r="A249" s="17"/>
      <c r="B249" s="18"/>
      <c r="C249" s="17"/>
      <c r="D249" s="17"/>
      <c r="E249" s="23"/>
      <c r="F249" s="23"/>
      <c r="G249" s="21" t="str">
        <f t="shared" si="2"/>
        <v/>
      </c>
      <c r="H249" s="22"/>
      <c r="I249" s="22"/>
    </row>
    <row r="250">
      <c r="A250" s="17"/>
      <c r="B250" s="18"/>
      <c r="C250" s="17"/>
      <c r="D250" s="17"/>
      <c r="E250" s="23"/>
      <c r="F250" s="23"/>
      <c r="G250" s="21" t="str">
        <f t="shared" si="2"/>
        <v/>
      </c>
      <c r="H250" s="22"/>
      <c r="I250" s="22"/>
    </row>
    <row r="251">
      <c r="A251" s="17"/>
      <c r="B251" s="18"/>
      <c r="C251" s="17"/>
      <c r="D251" s="17"/>
      <c r="E251" s="23"/>
      <c r="F251" s="23"/>
      <c r="G251" s="21" t="str">
        <f t="shared" si="2"/>
        <v/>
      </c>
      <c r="H251" s="22"/>
      <c r="I251" s="22"/>
    </row>
    <row r="252">
      <c r="A252" s="17"/>
      <c r="B252" s="18"/>
      <c r="C252" s="17"/>
      <c r="D252" s="17"/>
      <c r="E252" s="23"/>
      <c r="F252" s="23"/>
      <c r="G252" s="21" t="str">
        <f t="shared" si="2"/>
        <v/>
      </c>
      <c r="H252" s="22"/>
      <c r="I252" s="22"/>
    </row>
    <row r="253">
      <c r="A253" s="17"/>
      <c r="B253" s="18"/>
      <c r="C253" s="17"/>
      <c r="D253" s="17"/>
      <c r="E253" s="23"/>
      <c r="F253" s="23"/>
      <c r="G253" s="21" t="str">
        <f t="shared" si="2"/>
        <v/>
      </c>
      <c r="H253" s="22"/>
      <c r="I253" s="22"/>
    </row>
    <row r="254">
      <c r="A254" s="17"/>
      <c r="B254" s="18"/>
      <c r="C254" s="17"/>
      <c r="D254" s="17"/>
      <c r="E254" s="23"/>
      <c r="F254" s="23"/>
      <c r="G254" s="21" t="str">
        <f t="shared" si="2"/>
        <v/>
      </c>
      <c r="H254" s="22"/>
      <c r="I254" s="22"/>
    </row>
    <row r="255">
      <c r="A255" s="17"/>
      <c r="B255" s="18"/>
      <c r="C255" s="17"/>
      <c r="D255" s="17"/>
      <c r="E255" s="23"/>
      <c r="F255" s="23"/>
      <c r="G255" s="21" t="str">
        <f t="shared" si="2"/>
        <v/>
      </c>
      <c r="H255" s="22"/>
      <c r="I255" s="22"/>
    </row>
    <row r="256">
      <c r="A256" s="17"/>
      <c r="B256" s="18"/>
      <c r="C256" s="17"/>
      <c r="D256" s="17"/>
      <c r="E256" s="23"/>
      <c r="F256" s="23"/>
      <c r="G256" s="21" t="str">
        <f t="shared" si="2"/>
        <v/>
      </c>
      <c r="H256" s="22"/>
      <c r="I256" s="22"/>
    </row>
    <row r="257">
      <c r="A257" s="17"/>
      <c r="B257" s="18"/>
      <c r="C257" s="17"/>
      <c r="D257" s="17"/>
      <c r="E257" s="23"/>
      <c r="F257" s="23"/>
      <c r="G257" s="21" t="str">
        <f t="shared" si="2"/>
        <v/>
      </c>
      <c r="H257" s="22"/>
      <c r="I257" s="22"/>
    </row>
    <row r="258">
      <c r="A258" s="17"/>
      <c r="B258" s="18"/>
      <c r="C258" s="17"/>
      <c r="D258" s="17"/>
      <c r="E258" s="23"/>
      <c r="F258" s="23"/>
      <c r="G258" s="21" t="str">
        <f t="shared" si="2"/>
        <v/>
      </c>
      <c r="H258" s="22"/>
      <c r="I258" s="22"/>
    </row>
    <row r="259">
      <c r="A259" s="17"/>
      <c r="B259" s="18"/>
      <c r="C259" s="17"/>
      <c r="D259" s="17"/>
      <c r="E259" s="23"/>
      <c r="F259" s="23"/>
      <c r="G259" s="21" t="str">
        <f t="shared" si="2"/>
        <v/>
      </c>
      <c r="H259" s="22"/>
      <c r="I259" s="22"/>
    </row>
    <row r="260">
      <c r="A260" s="17"/>
      <c r="B260" s="18"/>
      <c r="C260" s="17"/>
      <c r="D260" s="17"/>
      <c r="E260" s="23"/>
      <c r="F260" s="23"/>
      <c r="G260" s="21" t="str">
        <f t="shared" si="2"/>
        <v/>
      </c>
      <c r="H260" s="22"/>
      <c r="I260" s="22"/>
    </row>
    <row r="261">
      <c r="A261" s="17"/>
      <c r="B261" s="18"/>
      <c r="C261" s="17"/>
      <c r="D261" s="17"/>
      <c r="E261" s="23"/>
      <c r="F261" s="23"/>
      <c r="G261" s="21" t="str">
        <f t="shared" si="2"/>
        <v/>
      </c>
      <c r="H261" s="22"/>
      <c r="I261" s="22"/>
    </row>
    <row r="262">
      <c r="A262" s="17"/>
      <c r="B262" s="18"/>
      <c r="C262" s="17"/>
      <c r="D262" s="17"/>
      <c r="E262" s="23"/>
      <c r="F262" s="23"/>
      <c r="G262" s="21" t="str">
        <f t="shared" si="2"/>
        <v/>
      </c>
      <c r="H262" s="22"/>
      <c r="I262" s="22"/>
    </row>
    <row r="263">
      <c r="A263" s="17"/>
      <c r="B263" s="18"/>
      <c r="C263" s="17"/>
      <c r="D263" s="17"/>
      <c r="E263" s="23"/>
      <c r="F263" s="23"/>
      <c r="G263" s="21" t="str">
        <f t="shared" si="2"/>
        <v/>
      </c>
      <c r="H263" s="22"/>
      <c r="I263" s="22"/>
    </row>
    <row r="264">
      <c r="A264" s="17"/>
      <c r="B264" s="18"/>
      <c r="C264" s="17"/>
      <c r="D264" s="17"/>
      <c r="E264" s="23"/>
      <c r="F264" s="23"/>
      <c r="G264" s="21" t="str">
        <f t="shared" si="2"/>
        <v/>
      </c>
      <c r="H264" s="22"/>
      <c r="I264" s="22"/>
    </row>
    <row r="265">
      <c r="A265" s="17"/>
      <c r="B265" s="18"/>
      <c r="C265" s="17"/>
      <c r="D265" s="17"/>
      <c r="E265" s="23"/>
      <c r="F265" s="23"/>
      <c r="G265" s="21" t="str">
        <f t="shared" si="2"/>
        <v/>
      </c>
      <c r="H265" s="22"/>
      <c r="I265" s="22"/>
    </row>
    <row r="266">
      <c r="A266" s="17"/>
      <c r="B266" s="18"/>
      <c r="C266" s="17"/>
      <c r="D266" s="17"/>
      <c r="E266" s="23"/>
      <c r="F266" s="23"/>
      <c r="G266" s="21" t="str">
        <f t="shared" si="2"/>
        <v/>
      </c>
      <c r="H266" s="22"/>
      <c r="I266" s="22"/>
    </row>
    <row r="267">
      <c r="A267" s="17"/>
      <c r="B267" s="18"/>
      <c r="C267" s="17"/>
      <c r="D267" s="17"/>
      <c r="E267" s="23"/>
      <c r="F267" s="23"/>
      <c r="G267" s="21" t="str">
        <f t="shared" si="2"/>
        <v/>
      </c>
      <c r="H267" s="22"/>
      <c r="I267" s="22"/>
    </row>
    <row r="268">
      <c r="A268" s="17"/>
      <c r="B268" s="18"/>
      <c r="C268" s="17"/>
      <c r="D268" s="17"/>
      <c r="E268" s="23"/>
      <c r="F268" s="23"/>
      <c r="G268" s="21" t="str">
        <f t="shared" si="2"/>
        <v/>
      </c>
      <c r="H268" s="22"/>
      <c r="I268" s="22"/>
    </row>
    <row r="269">
      <c r="A269" s="17"/>
      <c r="B269" s="18"/>
      <c r="C269" s="17"/>
      <c r="D269" s="17"/>
      <c r="E269" s="23"/>
      <c r="F269" s="23"/>
      <c r="G269" s="21" t="str">
        <f t="shared" si="2"/>
        <v/>
      </c>
      <c r="H269" s="22"/>
      <c r="I269" s="22"/>
    </row>
    <row r="270">
      <c r="A270" s="17"/>
      <c r="B270" s="18"/>
      <c r="C270" s="17"/>
      <c r="D270" s="17"/>
      <c r="E270" s="23"/>
      <c r="F270" s="23"/>
      <c r="G270" s="21" t="str">
        <f t="shared" si="2"/>
        <v/>
      </c>
      <c r="H270" s="22"/>
      <c r="I270" s="22"/>
    </row>
    <row r="271">
      <c r="A271" s="17"/>
      <c r="B271" s="18"/>
      <c r="C271" s="17"/>
      <c r="D271" s="17"/>
      <c r="E271" s="23"/>
      <c r="F271" s="23"/>
      <c r="G271" s="21" t="str">
        <f t="shared" si="2"/>
        <v/>
      </c>
      <c r="H271" s="22"/>
      <c r="I271" s="22"/>
    </row>
    <row r="272">
      <c r="A272" s="17"/>
      <c r="B272" s="18"/>
      <c r="C272" s="17"/>
      <c r="D272" s="17"/>
      <c r="E272" s="23"/>
      <c r="F272" s="23"/>
      <c r="G272" s="21" t="str">
        <f t="shared" si="2"/>
        <v/>
      </c>
      <c r="H272" s="22"/>
      <c r="I272" s="22"/>
    </row>
    <row r="273">
      <c r="A273" s="17"/>
      <c r="B273" s="18"/>
      <c r="C273" s="17"/>
      <c r="D273" s="17"/>
      <c r="E273" s="23"/>
      <c r="F273" s="23"/>
      <c r="G273" s="21" t="str">
        <f t="shared" si="2"/>
        <v/>
      </c>
      <c r="H273" s="22"/>
      <c r="I273" s="22"/>
    </row>
    <row r="274">
      <c r="A274" s="17"/>
      <c r="B274" s="18"/>
      <c r="C274" s="17"/>
      <c r="D274" s="17"/>
      <c r="E274" s="23"/>
      <c r="F274" s="23"/>
      <c r="G274" s="21" t="str">
        <f t="shared" si="2"/>
        <v/>
      </c>
      <c r="H274" s="22"/>
      <c r="I274" s="22"/>
    </row>
    <row r="275">
      <c r="A275" s="17"/>
      <c r="B275" s="18"/>
      <c r="C275" s="17"/>
      <c r="D275" s="17"/>
      <c r="E275" s="23"/>
      <c r="F275" s="23"/>
      <c r="G275" s="21" t="str">
        <f t="shared" si="2"/>
        <v/>
      </c>
      <c r="H275" s="22"/>
      <c r="I275" s="22"/>
    </row>
    <row r="276">
      <c r="A276" s="17"/>
      <c r="B276" s="18"/>
      <c r="C276" s="17"/>
      <c r="D276" s="17"/>
      <c r="E276" s="23"/>
      <c r="F276" s="23"/>
      <c r="G276" s="21" t="str">
        <f t="shared" si="2"/>
        <v/>
      </c>
      <c r="H276" s="22"/>
      <c r="I276" s="22"/>
    </row>
    <row r="277">
      <c r="A277" s="17"/>
      <c r="B277" s="18"/>
      <c r="C277" s="17"/>
      <c r="D277" s="17"/>
      <c r="E277" s="23"/>
      <c r="F277" s="23"/>
      <c r="G277" s="21" t="str">
        <f t="shared" si="2"/>
        <v/>
      </c>
      <c r="H277" s="22"/>
      <c r="I277" s="22"/>
    </row>
    <row r="278">
      <c r="A278" s="17"/>
      <c r="B278" s="18"/>
      <c r="C278" s="17"/>
      <c r="D278" s="17"/>
      <c r="E278" s="23"/>
      <c r="F278" s="23"/>
      <c r="G278" s="21" t="str">
        <f t="shared" si="2"/>
        <v/>
      </c>
      <c r="H278" s="22"/>
      <c r="I278" s="22"/>
    </row>
    <row r="279">
      <c r="A279" s="17"/>
      <c r="B279" s="18"/>
      <c r="C279" s="17"/>
      <c r="D279" s="17"/>
      <c r="E279" s="23"/>
      <c r="F279" s="23"/>
      <c r="G279" s="21" t="str">
        <f t="shared" si="2"/>
        <v/>
      </c>
      <c r="H279" s="22"/>
      <c r="I279" s="22"/>
    </row>
    <row r="280">
      <c r="A280" s="17"/>
      <c r="B280" s="18"/>
      <c r="C280" s="17"/>
      <c r="D280" s="17"/>
      <c r="E280" s="23"/>
      <c r="F280" s="23"/>
      <c r="G280" s="21" t="str">
        <f t="shared" si="2"/>
        <v/>
      </c>
      <c r="H280" s="22"/>
      <c r="I280" s="22"/>
    </row>
    <row r="281">
      <c r="A281" s="17"/>
      <c r="B281" s="18"/>
      <c r="C281" s="17"/>
      <c r="D281" s="17"/>
      <c r="E281" s="23"/>
      <c r="F281" s="23"/>
      <c r="G281" s="21" t="str">
        <f t="shared" si="2"/>
        <v/>
      </c>
      <c r="H281" s="22"/>
      <c r="I281" s="22"/>
    </row>
    <row r="282">
      <c r="A282" s="17"/>
      <c r="B282" s="18"/>
      <c r="C282" s="17"/>
      <c r="D282" s="17"/>
      <c r="E282" s="23"/>
      <c r="F282" s="23"/>
      <c r="G282" s="21" t="str">
        <f t="shared" si="2"/>
        <v/>
      </c>
      <c r="H282" s="22"/>
      <c r="I282" s="22"/>
    </row>
    <row r="283">
      <c r="A283" s="17"/>
      <c r="B283" s="18"/>
      <c r="C283" s="17"/>
      <c r="D283" s="17"/>
      <c r="E283" s="23"/>
      <c r="F283" s="23"/>
      <c r="G283" s="21" t="str">
        <f t="shared" si="2"/>
        <v/>
      </c>
      <c r="H283" s="22"/>
      <c r="I283" s="22"/>
    </row>
    <row r="284">
      <c r="A284" s="17"/>
      <c r="B284" s="18"/>
      <c r="C284" s="17"/>
      <c r="D284" s="17"/>
      <c r="E284" s="23"/>
      <c r="F284" s="23"/>
      <c r="G284" s="21" t="str">
        <f t="shared" si="2"/>
        <v/>
      </c>
      <c r="H284" s="22"/>
      <c r="I284" s="22"/>
    </row>
    <row r="285">
      <c r="A285" s="17"/>
      <c r="B285" s="18"/>
      <c r="C285" s="17"/>
      <c r="D285" s="17"/>
      <c r="E285" s="23"/>
      <c r="F285" s="23"/>
      <c r="G285" s="21" t="str">
        <f t="shared" si="2"/>
        <v/>
      </c>
      <c r="H285" s="22"/>
      <c r="I285" s="22"/>
    </row>
    <row r="286">
      <c r="A286" s="17"/>
      <c r="B286" s="18"/>
      <c r="C286" s="17"/>
      <c r="D286" s="17"/>
      <c r="E286" s="23"/>
      <c r="F286" s="23"/>
      <c r="G286" s="21" t="str">
        <f t="shared" si="2"/>
        <v/>
      </c>
      <c r="H286" s="22"/>
      <c r="I286" s="22"/>
    </row>
    <row r="287">
      <c r="A287" s="17"/>
      <c r="B287" s="18"/>
      <c r="C287" s="17"/>
      <c r="D287" s="17"/>
      <c r="E287" s="23"/>
      <c r="F287" s="23"/>
      <c r="G287" s="21" t="str">
        <f t="shared" si="2"/>
        <v/>
      </c>
      <c r="H287" s="22"/>
      <c r="I287" s="22"/>
    </row>
    <row r="288">
      <c r="A288" s="17"/>
      <c r="B288" s="18"/>
      <c r="C288" s="17"/>
      <c r="D288" s="17"/>
      <c r="E288" s="23"/>
      <c r="F288" s="23"/>
      <c r="G288" s="21" t="str">
        <f t="shared" si="2"/>
        <v/>
      </c>
      <c r="H288" s="22"/>
      <c r="I288" s="22"/>
    </row>
    <row r="289">
      <c r="A289" s="17"/>
      <c r="B289" s="18"/>
      <c r="C289" s="17"/>
      <c r="D289" s="17"/>
      <c r="E289" s="23"/>
      <c r="F289" s="23"/>
      <c r="G289" s="21" t="str">
        <f t="shared" si="2"/>
        <v/>
      </c>
      <c r="H289" s="22"/>
      <c r="I289" s="22"/>
    </row>
    <row r="290">
      <c r="A290" s="17"/>
      <c r="B290" s="18"/>
      <c r="C290" s="17"/>
      <c r="D290" s="17"/>
      <c r="E290" s="23"/>
      <c r="F290" s="23"/>
      <c r="G290" s="21" t="str">
        <f t="shared" si="2"/>
        <v/>
      </c>
      <c r="H290" s="22"/>
      <c r="I290" s="22"/>
    </row>
    <row r="291">
      <c r="A291" s="17"/>
      <c r="B291" s="18"/>
      <c r="C291" s="17"/>
      <c r="D291" s="17"/>
      <c r="E291" s="23"/>
      <c r="F291" s="23"/>
      <c r="G291" s="21" t="str">
        <f t="shared" si="2"/>
        <v/>
      </c>
      <c r="H291" s="22"/>
      <c r="I291" s="22"/>
    </row>
    <row r="292">
      <c r="A292" s="17"/>
      <c r="B292" s="18"/>
      <c r="C292" s="17"/>
      <c r="D292" s="17"/>
      <c r="E292" s="23"/>
      <c r="F292" s="23"/>
      <c r="G292" s="21" t="str">
        <f t="shared" si="2"/>
        <v/>
      </c>
      <c r="H292" s="22"/>
      <c r="I292" s="22"/>
    </row>
    <row r="293">
      <c r="A293" s="17"/>
      <c r="B293" s="18"/>
      <c r="C293" s="17"/>
      <c r="D293" s="17"/>
      <c r="E293" s="23"/>
      <c r="F293" s="23"/>
      <c r="G293" s="21" t="str">
        <f t="shared" si="2"/>
        <v/>
      </c>
      <c r="H293" s="22"/>
      <c r="I293" s="22"/>
    </row>
    <row r="294">
      <c r="A294" s="17"/>
      <c r="B294" s="18"/>
      <c r="C294" s="17"/>
      <c r="D294" s="17"/>
      <c r="E294" s="23"/>
      <c r="F294" s="23"/>
      <c r="G294" s="21" t="str">
        <f t="shared" si="2"/>
        <v/>
      </c>
      <c r="H294" s="22"/>
      <c r="I294" s="22"/>
    </row>
    <row r="295">
      <c r="A295" s="17"/>
      <c r="B295" s="18"/>
      <c r="C295" s="17"/>
      <c r="D295" s="17"/>
      <c r="E295" s="23"/>
      <c r="F295" s="23"/>
      <c r="G295" s="21" t="str">
        <f t="shared" si="2"/>
        <v/>
      </c>
      <c r="H295" s="22"/>
      <c r="I295" s="22"/>
    </row>
    <row r="296">
      <c r="A296" s="17"/>
      <c r="B296" s="18"/>
      <c r="C296" s="17"/>
      <c r="D296" s="17"/>
      <c r="E296" s="23"/>
      <c r="F296" s="23"/>
      <c r="G296" s="21" t="str">
        <f t="shared" si="2"/>
        <v/>
      </c>
      <c r="H296" s="22"/>
      <c r="I296" s="22"/>
    </row>
    <row r="297">
      <c r="A297" s="17"/>
      <c r="B297" s="18"/>
      <c r="C297" s="17"/>
      <c r="D297" s="17"/>
      <c r="E297" s="23"/>
      <c r="F297" s="23"/>
      <c r="G297" s="21" t="str">
        <f t="shared" si="2"/>
        <v/>
      </c>
      <c r="H297" s="22"/>
      <c r="I297" s="22"/>
    </row>
    <row r="298">
      <c r="A298" s="17"/>
      <c r="B298" s="18"/>
      <c r="C298" s="17"/>
      <c r="D298" s="17"/>
      <c r="E298" s="23"/>
      <c r="F298" s="23"/>
      <c r="G298" s="21" t="str">
        <f t="shared" si="2"/>
        <v/>
      </c>
      <c r="H298" s="22"/>
      <c r="I298" s="22"/>
    </row>
    <row r="299">
      <c r="A299" s="17"/>
      <c r="B299" s="18"/>
      <c r="C299" s="17"/>
      <c r="D299" s="17"/>
      <c r="E299" s="23"/>
      <c r="F299" s="23"/>
      <c r="G299" s="21" t="str">
        <f t="shared" si="2"/>
        <v/>
      </c>
      <c r="H299" s="22"/>
      <c r="I299" s="22"/>
    </row>
    <row r="300">
      <c r="A300" s="17"/>
      <c r="B300" s="18"/>
      <c r="C300" s="17"/>
      <c r="D300" s="17"/>
      <c r="E300" s="23"/>
      <c r="F300" s="23"/>
      <c r="G300" s="21" t="str">
        <f t="shared" si="2"/>
        <v/>
      </c>
      <c r="H300" s="22"/>
      <c r="I300" s="22"/>
    </row>
    <row r="301">
      <c r="A301" s="17"/>
      <c r="B301" s="18"/>
      <c r="C301" s="17"/>
      <c r="D301" s="17"/>
      <c r="E301" s="23"/>
      <c r="F301" s="23"/>
      <c r="G301" s="21" t="str">
        <f t="shared" si="2"/>
        <v/>
      </c>
      <c r="H301" s="22"/>
      <c r="I301" s="22"/>
    </row>
    <row r="302">
      <c r="A302" s="17"/>
      <c r="B302" s="18"/>
      <c r="C302" s="17"/>
      <c r="D302" s="17"/>
      <c r="E302" s="23"/>
      <c r="F302" s="23"/>
      <c r="G302" s="21" t="str">
        <f t="shared" si="2"/>
        <v/>
      </c>
      <c r="H302" s="22"/>
      <c r="I302" s="22"/>
    </row>
    <row r="303">
      <c r="A303" s="17"/>
      <c r="B303" s="18"/>
      <c r="C303" s="17"/>
      <c r="D303" s="17"/>
      <c r="E303" s="23"/>
      <c r="F303" s="23"/>
      <c r="G303" s="21" t="str">
        <f t="shared" si="2"/>
        <v/>
      </c>
      <c r="H303" s="22"/>
      <c r="I303" s="22"/>
    </row>
    <row r="304">
      <c r="A304" s="17"/>
      <c r="B304" s="18"/>
      <c r="C304" s="17"/>
      <c r="D304" s="17"/>
      <c r="E304" s="23"/>
      <c r="F304" s="23"/>
      <c r="G304" s="21" t="str">
        <f t="shared" si="2"/>
        <v/>
      </c>
      <c r="H304" s="22"/>
      <c r="I304" s="22"/>
    </row>
    <row r="305">
      <c r="A305" s="17"/>
      <c r="B305" s="18"/>
      <c r="C305" s="17"/>
      <c r="D305" s="17"/>
      <c r="E305" s="23"/>
      <c r="F305" s="23"/>
      <c r="G305" s="21" t="str">
        <f t="shared" si="2"/>
        <v/>
      </c>
      <c r="H305" s="22"/>
      <c r="I305" s="22"/>
    </row>
    <row r="306">
      <c r="A306" s="17"/>
      <c r="B306" s="18"/>
      <c r="C306" s="17"/>
      <c r="D306" s="17"/>
      <c r="E306" s="23"/>
      <c r="F306" s="23"/>
      <c r="G306" s="21" t="str">
        <f t="shared" si="2"/>
        <v/>
      </c>
      <c r="H306" s="22"/>
      <c r="I306" s="22"/>
    </row>
    <row r="307">
      <c r="A307" s="17"/>
      <c r="B307" s="18"/>
      <c r="C307" s="17"/>
      <c r="D307" s="17"/>
      <c r="E307" s="23"/>
      <c r="F307" s="23"/>
      <c r="G307" s="21" t="str">
        <f t="shared" si="2"/>
        <v/>
      </c>
      <c r="H307" s="22"/>
      <c r="I307" s="22"/>
    </row>
    <row r="308">
      <c r="A308" s="17"/>
      <c r="B308" s="18"/>
      <c r="C308" s="17"/>
      <c r="D308" s="17"/>
      <c r="E308" s="23"/>
      <c r="F308" s="23"/>
      <c r="G308" s="21" t="str">
        <f t="shared" si="2"/>
        <v/>
      </c>
      <c r="H308" s="22"/>
      <c r="I308" s="22"/>
    </row>
    <row r="309">
      <c r="A309" s="17"/>
      <c r="B309" s="18"/>
      <c r="C309" s="17"/>
      <c r="D309" s="17"/>
      <c r="E309" s="23"/>
      <c r="F309" s="23"/>
      <c r="G309" s="21" t="str">
        <f t="shared" si="2"/>
        <v/>
      </c>
      <c r="H309" s="22"/>
      <c r="I309" s="22"/>
    </row>
    <row r="310">
      <c r="A310" s="17"/>
      <c r="B310" s="18"/>
      <c r="C310" s="17"/>
      <c r="D310" s="17"/>
      <c r="E310" s="23"/>
      <c r="F310" s="23"/>
      <c r="G310" s="21" t="str">
        <f t="shared" si="2"/>
        <v/>
      </c>
      <c r="H310" s="22"/>
      <c r="I310" s="22"/>
    </row>
    <row r="311">
      <c r="A311" s="17"/>
      <c r="B311" s="18"/>
      <c r="C311" s="17"/>
      <c r="D311" s="17"/>
      <c r="E311" s="23"/>
      <c r="F311" s="23"/>
      <c r="G311" s="21" t="str">
        <f t="shared" si="2"/>
        <v/>
      </c>
      <c r="H311" s="22"/>
      <c r="I311" s="22"/>
    </row>
    <row r="312">
      <c r="A312" s="17"/>
      <c r="B312" s="18"/>
      <c r="C312" s="17"/>
      <c r="D312" s="17"/>
      <c r="E312" s="23"/>
      <c r="F312" s="23"/>
      <c r="G312" s="21" t="str">
        <f t="shared" si="2"/>
        <v/>
      </c>
      <c r="H312" s="22"/>
      <c r="I312" s="22"/>
    </row>
    <row r="313">
      <c r="A313" s="17"/>
      <c r="B313" s="18"/>
      <c r="C313" s="17"/>
      <c r="D313" s="17"/>
      <c r="E313" s="23"/>
      <c r="F313" s="23"/>
      <c r="G313" s="21" t="str">
        <f t="shared" si="2"/>
        <v/>
      </c>
      <c r="H313" s="22"/>
      <c r="I313" s="22"/>
    </row>
    <row r="314">
      <c r="A314" s="17"/>
      <c r="B314" s="18"/>
      <c r="C314" s="17"/>
      <c r="D314" s="17"/>
      <c r="E314" s="23"/>
      <c r="F314" s="23"/>
      <c r="G314" s="21" t="str">
        <f t="shared" si="2"/>
        <v/>
      </c>
      <c r="H314" s="22"/>
      <c r="I314" s="22"/>
    </row>
    <row r="315">
      <c r="A315" s="17"/>
      <c r="B315" s="18"/>
      <c r="C315" s="17"/>
      <c r="D315" s="17"/>
      <c r="E315" s="23"/>
      <c r="F315" s="23"/>
      <c r="G315" s="21" t="str">
        <f t="shared" si="2"/>
        <v/>
      </c>
      <c r="H315" s="22"/>
      <c r="I315" s="22"/>
    </row>
    <row r="316">
      <c r="A316" s="17"/>
      <c r="B316" s="18"/>
      <c r="C316" s="17"/>
      <c r="D316" s="17"/>
      <c r="E316" s="23"/>
      <c r="F316" s="23"/>
      <c r="G316" s="21" t="str">
        <f t="shared" si="2"/>
        <v/>
      </c>
      <c r="H316" s="22"/>
      <c r="I316" s="22"/>
    </row>
    <row r="317">
      <c r="A317" s="17"/>
      <c r="B317" s="18"/>
      <c r="C317" s="17"/>
      <c r="D317" s="17"/>
      <c r="E317" s="23"/>
      <c r="F317" s="23"/>
      <c r="G317" s="21" t="str">
        <f t="shared" si="2"/>
        <v/>
      </c>
      <c r="H317" s="22"/>
      <c r="I317" s="22"/>
    </row>
    <row r="318">
      <c r="A318" s="17"/>
      <c r="B318" s="18"/>
      <c r="C318" s="17"/>
      <c r="D318" s="17"/>
      <c r="E318" s="23"/>
      <c r="F318" s="23"/>
      <c r="G318" s="21" t="str">
        <f t="shared" si="2"/>
        <v/>
      </c>
      <c r="H318" s="22"/>
      <c r="I318" s="22"/>
    </row>
    <row r="319">
      <c r="A319" s="17"/>
      <c r="B319" s="18"/>
      <c r="C319" s="17"/>
      <c r="D319" s="17"/>
      <c r="E319" s="23"/>
      <c r="F319" s="23"/>
      <c r="G319" s="21" t="str">
        <f t="shared" si="2"/>
        <v/>
      </c>
      <c r="H319" s="22"/>
      <c r="I319" s="22"/>
    </row>
    <row r="320">
      <c r="A320" s="17"/>
      <c r="B320" s="18"/>
      <c r="C320" s="17"/>
      <c r="D320" s="17"/>
      <c r="E320" s="23"/>
      <c r="F320" s="23"/>
      <c r="G320" s="21" t="str">
        <f t="shared" si="2"/>
        <v/>
      </c>
      <c r="H320" s="22"/>
      <c r="I320" s="22"/>
    </row>
    <row r="321">
      <c r="A321" s="17"/>
      <c r="B321" s="18"/>
      <c r="C321" s="17"/>
      <c r="D321" s="17"/>
      <c r="E321" s="23"/>
      <c r="F321" s="23"/>
      <c r="G321" s="21" t="str">
        <f t="shared" si="2"/>
        <v/>
      </c>
      <c r="H321" s="22"/>
      <c r="I321" s="22"/>
    </row>
    <row r="322">
      <c r="A322" s="17"/>
      <c r="B322" s="18"/>
      <c r="C322" s="17"/>
      <c r="D322" s="17"/>
      <c r="E322" s="23"/>
      <c r="F322" s="23"/>
      <c r="G322" s="21" t="str">
        <f t="shared" si="2"/>
        <v/>
      </c>
      <c r="H322" s="22"/>
      <c r="I322" s="22"/>
    </row>
    <row r="323">
      <c r="A323" s="17"/>
      <c r="B323" s="18"/>
      <c r="C323" s="17"/>
      <c r="D323" s="17"/>
      <c r="E323" s="23"/>
      <c r="F323" s="23"/>
      <c r="G323" s="21" t="str">
        <f t="shared" si="2"/>
        <v/>
      </c>
      <c r="H323" s="22"/>
      <c r="I323" s="22"/>
    </row>
    <row r="324">
      <c r="A324" s="17"/>
      <c r="B324" s="18"/>
      <c r="C324" s="17"/>
      <c r="D324" s="17"/>
      <c r="E324" s="23"/>
      <c r="F324" s="23"/>
      <c r="G324" s="21" t="str">
        <f t="shared" si="2"/>
        <v/>
      </c>
      <c r="H324" s="22"/>
      <c r="I324" s="22"/>
    </row>
    <row r="325">
      <c r="A325" s="17"/>
      <c r="B325" s="18"/>
      <c r="C325" s="17"/>
      <c r="D325" s="17"/>
      <c r="E325" s="23"/>
      <c r="F325" s="23"/>
      <c r="G325" s="21" t="str">
        <f t="shared" si="2"/>
        <v/>
      </c>
      <c r="H325" s="22"/>
      <c r="I325" s="22"/>
    </row>
    <row r="326">
      <c r="A326" s="17"/>
      <c r="B326" s="18"/>
      <c r="C326" s="17"/>
      <c r="D326" s="17"/>
      <c r="E326" s="23"/>
      <c r="F326" s="23"/>
      <c r="G326" s="21" t="str">
        <f t="shared" si="2"/>
        <v/>
      </c>
      <c r="H326" s="22"/>
      <c r="I326" s="22"/>
    </row>
    <row r="327">
      <c r="A327" s="17"/>
      <c r="B327" s="18"/>
      <c r="C327" s="17"/>
      <c r="D327" s="17"/>
      <c r="E327" s="23"/>
      <c r="F327" s="23"/>
      <c r="G327" s="21" t="str">
        <f t="shared" si="2"/>
        <v/>
      </c>
      <c r="H327" s="22"/>
      <c r="I327" s="22"/>
    </row>
    <row r="328">
      <c r="A328" s="17"/>
      <c r="B328" s="18"/>
      <c r="C328" s="17"/>
      <c r="D328" s="17"/>
      <c r="E328" s="23"/>
      <c r="F328" s="23"/>
      <c r="G328" s="21" t="str">
        <f t="shared" si="2"/>
        <v/>
      </c>
      <c r="H328" s="22"/>
      <c r="I328" s="22"/>
    </row>
    <row r="329">
      <c r="A329" s="17"/>
      <c r="B329" s="18"/>
      <c r="C329" s="17"/>
      <c r="D329" s="17"/>
      <c r="E329" s="23"/>
      <c r="F329" s="23"/>
      <c r="G329" s="21" t="str">
        <f t="shared" si="2"/>
        <v/>
      </c>
      <c r="H329" s="22"/>
      <c r="I329" s="22"/>
    </row>
    <row r="330">
      <c r="A330" s="17"/>
      <c r="B330" s="18"/>
      <c r="C330" s="17"/>
      <c r="D330" s="17"/>
      <c r="E330" s="23"/>
      <c r="F330" s="23"/>
      <c r="G330" s="21" t="str">
        <f t="shared" si="2"/>
        <v/>
      </c>
      <c r="H330" s="22"/>
      <c r="I330" s="22"/>
    </row>
    <row r="331">
      <c r="A331" s="17"/>
      <c r="B331" s="18"/>
      <c r="C331" s="17"/>
      <c r="D331" s="17"/>
      <c r="E331" s="23"/>
      <c r="F331" s="23"/>
      <c r="G331" s="21" t="str">
        <f t="shared" si="2"/>
        <v/>
      </c>
      <c r="H331" s="22"/>
      <c r="I331" s="22"/>
    </row>
    <row r="332">
      <c r="A332" s="17"/>
      <c r="B332" s="18"/>
      <c r="C332" s="17"/>
      <c r="D332" s="17"/>
      <c r="E332" s="23"/>
      <c r="F332" s="23"/>
      <c r="G332" s="21" t="str">
        <f t="shared" si="2"/>
        <v/>
      </c>
      <c r="H332" s="22"/>
      <c r="I332" s="22"/>
    </row>
    <row r="333">
      <c r="A333" s="17"/>
      <c r="B333" s="18"/>
      <c r="C333" s="17"/>
      <c r="D333" s="17"/>
      <c r="E333" s="23"/>
      <c r="F333" s="23"/>
      <c r="G333" s="21" t="str">
        <f t="shared" si="2"/>
        <v/>
      </c>
      <c r="H333" s="22"/>
      <c r="I333" s="22"/>
    </row>
    <row r="334">
      <c r="A334" s="17"/>
      <c r="B334" s="18"/>
      <c r="C334" s="17"/>
      <c r="D334" s="17"/>
      <c r="E334" s="23"/>
      <c r="F334" s="23"/>
      <c r="G334" s="21" t="str">
        <f t="shared" si="2"/>
        <v/>
      </c>
      <c r="H334" s="22"/>
      <c r="I334" s="22"/>
    </row>
    <row r="335">
      <c r="A335" s="17"/>
      <c r="B335" s="18"/>
      <c r="C335" s="17"/>
      <c r="D335" s="17"/>
      <c r="E335" s="23"/>
      <c r="F335" s="23"/>
      <c r="G335" s="21" t="str">
        <f t="shared" si="2"/>
        <v/>
      </c>
      <c r="H335" s="22"/>
      <c r="I335" s="22"/>
    </row>
    <row r="336">
      <c r="A336" s="17"/>
      <c r="B336" s="18"/>
      <c r="C336" s="17"/>
      <c r="D336" s="17"/>
      <c r="E336" s="23"/>
      <c r="F336" s="23"/>
      <c r="G336" s="21" t="str">
        <f t="shared" si="2"/>
        <v/>
      </c>
      <c r="H336" s="22"/>
      <c r="I336" s="22"/>
    </row>
    <row r="337">
      <c r="A337" s="17"/>
      <c r="B337" s="18"/>
      <c r="C337" s="17"/>
      <c r="D337" s="17"/>
      <c r="E337" s="23"/>
      <c r="F337" s="23"/>
      <c r="G337" s="21" t="str">
        <f t="shared" si="2"/>
        <v/>
      </c>
      <c r="H337" s="22"/>
      <c r="I337" s="22"/>
    </row>
    <row r="338">
      <c r="A338" s="17"/>
      <c r="B338" s="18"/>
      <c r="C338" s="17"/>
      <c r="D338" s="17"/>
      <c r="E338" s="23"/>
      <c r="F338" s="23"/>
      <c r="G338" s="21" t="str">
        <f t="shared" si="2"/>
        <v/>
      </c>
      <c r="H338" s="22"/>
      <c r="I338" s="22"/>
    </row>
    <row r="339">
      <c r="A339" s="17"/>
      <c r="B339" s="18"/>
      <c r="C339" s="17"/>
      <c r="D339" s="17"/>
      <c r="E339" s="23"/>
      <c r="F339" s="23"/>
      <c r="G339" s="21" t="str">
        <f t="shared" si="2"/>
        <v/>
      </c>
      <c r="H339" s="22"/>
      <c r="I339" s="22"/>
    </row>
    <row r="340">
      <c r="A340" s="17"/>
      <c r="B340" s="18"/>
      <c r="C340" s="17"/>
      <c r="D340" s="17"/>
      <c r="E340" s="23"/>
      <c r="F340" s="23"/>
      <c r="G340" s="21" t="str">
        <f t="shared" si="2"/>
        <v/>
      </c>
      <c r="H340" s="22"/>
      <c r="I340" s="22"/>
    </row>
    <row r="341">
      <c r="A341" s="17"/>
      <c r="B341" s="18"/>
      <c r="C341" s="17"/>
      <c r="D341" s="17"/>
      <c r="E341" s="23"/>
      <c r="F341" s="23"/>
      <c r="G341" s="21" t="str">
        <f t="shared" si="2"/>
        <v/>
      </c>
      <c r="H341" s="22"/>
      <c r="I341" s="22"/>
    </row>
    <row r="342">
      <c r="A342" s="17"/>
      <c r="B342" s="18"/>
      <c r="C342" s="17"/>
      <c r="D342" s="17"/>
      <c r="E342" s="23"/>
      <c r="F342" s="23"/>
      <c r="G342" s="21" t="str">
        <f t="shared" si="2"/>
        <v/>
      </c>
      <c r="H342" s="22"/>
      <c r="I342" s="22"/>
    </row>
    <row r="343">
      <c r="A343" s="17"/>
      <c r="B343" s="18"/>
      <c r="C343" s="17"/>
      <c r="D343" s="17"/>
      <c r="E343" s="23"/>
      <c r="F343" s="23"/>
      <c r="G343" s="21" t="str">
        <f t="shared" si="2"/>
        <v/>
      </c>
      <c r="H343" s="22"/>
      <c r="I343" s="22"/>
    </row>
    <row r="344">
      <c r="A344" s="17"/>
      <c r="B344" s="18"/>
      <c r="C344" s="17"/>
      <c r="D344" s="17"/>
      <c r="E344" s="23"/>
      <c r="F344" s="23"/>
      <c r="G344" s="21" t="str">
        <f t="shared" si="2"/>
        <v/>
      </c>
      <c r="H344" s="22"/>
      <c r="I344" s="22"/>
    </row>
    <row r="345">
      <c r="A345" s="17"/>
      <c r="B345" s="18"/>
      <c r="C345" s="17"/>
      <c r="D345" s="17"/>
      <c r="E345" s="23"/>
      <c r="F345" s="23"/>
      <c r="G345" s="21" t="str">
        <f t="shared" si="2"/>
        <v/>
      </c>
      <c r="H345" s="22"/>
      <c r="I345" s="22"/>
    </row>
    <row r="346">
      <c r="A346" s="17"/>
      <c r="B346" s="18"/>
      <c r="C346" s="17"/>
      <c r="D346" s="17"/>
      <c r="E346" s="23"/>
      <c r="F346" s="23"/>
      <c r="G346" s="21" t="str">
        <f t="shared" si="2"/>
        <v/>
      </c>
      <c r="H346" s="22"/>
      <c r="I346" s="22"/>
    </row>
    <row r="347">
      <c r="A347" s="17"/>
      <c r="B347" s="18"/>
      <c r="C347" s="17"/>
      <c r="D347" s="17"/>
      <c r="E347" s="23"/>
      <c r="F347" s="23"/>
      <c r="G347" s="21" t="str">
        <f t="shared" si="2"/>
        <v/>
      </c>
      <c r="H347" s="22"/>
      <c r="I347" s="22"/>
    </row>
    <row r="348">
      <c r="A348" s="17"/>
      <c r="B348" s="18"/>
      <c r="C348" s="17"/>
      <c r="D348" s="17"/>
      <c r="E348" s="23"/>
      <c r="F348" s="23"/>
      <c r="G348" s="21" t="str">
        <f t="shared" si="2"/>
        <v/>
      </c>
      <c r="H348" s="22"/>
      <c r="I348" s="22"/>
    </row>
    <row r="349">
      <c r="A349" s="17"/>
      <c r="B349" s="18"/>
      <c r="C349" s="17"/>
      <c r="D349" s="17"/>
      <c r="E349" s="23"/>
      <c r="F349" s="23"/>
      <c r="G349" s="21" t="str">
        <f t="shared" si="2"/>
        <v/>
      </c>
      <c r="H349" s="22"/>
      <c r="I349" s="22"/>
    </row>
    <row r="350">
      <c r="A350" s="17"/>
      <c r="B350" s="18"/>
      <c r="C350" s="17"/>
      <c r="D350" s="17"/>
      <c r="E350" s="23"/>
      <c r="F350" s="23"/>
      <c r="G350" s="21" t="str">
        <f t="shared" si="2"/>
        <v/>
      </c>
      <c r="H350" s="22"/>
      <c r="I350" s="22"/>
    </row>
    <row r="351">
      <c r="A351" s="17"/>
      <c r="B351" s="18"/>
      <c r="C351" s="17"/>
      <c r="D351" s="17"/>
      <c r="E351" s="23"/>
      <c r="F351" s="23"/>
      <c r="G351" s="21" t="str">
        <f t="shared" si="2"/>
        <v/>
      </c>
      <c r="H351" s="22"/>
      <c r="I351" s="22"/>
    </row>
    <row r="352">
      <c r="A352" s="17"/>
      <c r="B352" s="18"/>
      <c r="C352" s="17"/>
      <c r="D352" s="17"/>
      <c r="E352" s="23"/>
      <c r="F352" s="23"/>
      <c r="G352" s="21" t="str">
        <f t="shared" si="2"/>
        <v/>
      </c>
      <c r="H352" s="22"/>
      <c r="I352" s="22"/>
    </row>
    <row r="353">
      <c r="A353" s="17"/>
      <c r="B353" s="18"/>
      <c r="C353" s="17"/>
      <c r="D353" s="17"/>
      <c r="E353" s="23"/>
      <c r="F353" s="23"/>
      <c r="G353" s="21" t="str">
        <f t="shared" si="2"/>
        <v/>
      </c>
      <c r="H353" s="22"/>
      <c r="I353" s="22"/>
    </row>
    <row r="354">
      <c r="A354" s="17"/>
      <c r="B354" s="18"/>
      <c r="C354" s="17"/>
      <c r="D354" s="17"/>
      <c r="E354" s="23"/>
      <c r="F354" s="23"/>
      <c r="G354" s="21" t="str">
        <f t="shared" si="2"/>
        <v/>
      </c>
      <c r="H354" s="22"/>
      <c r="I354" s="22"/>
    </row>
    <row r="355">
      <c r="A355" s="17"/>
      <c r="B355" s="18"/>
      <c r="C355" s="17"/>
      <c r="D355" s="17"/>
      <c r="E355" s="23"/>
      <c r="F355" s="23"/>
      <c r="G355" s="21" t="str">
        <f t="shared" si="2"/>
        <v/>
      </c>
      <c r="H355" s="22"/>
      <c r="I355" s="22"/>
    </row>
    <row r="356">
      <c r="A356" s="17"/>
      <c r="B356" s="18"/>
      <c r="C356" s="17"/>
      <c r="D356" s="17"/>
      <c r="E356" s="23"/>
      <c r="F356" s="23"/>
      <c r="G356" s="21" t="str">
        <f t="shared" si="2"/>
        <v/>
      </c>
      <c r="H356" s="22"/>
      <c r="I356" s="22"/>
    </row>
    <row r="357">
      <c r="A357" s="17"/>
      <c r="B357" s="18"/>
      <c r="C357" s="17"/>
      <c r="D357" s="17"/>
      <c r="E357" s="23"/>
      <c r="F357" s="23"/>
      <c r="G357" s="21" t="str">
        <f t="shared" si="2"/>
        <v/>
      </c>
      <c r="H357" s="22"/>
      <c r="I357" s="22"/>
    </row>
    <row r="358">
      <c r="A358" s="17"/>
      <c r="B358" s="18"/>
      <c r="C358" s="17"/>
      <c r="D358" s="17"/>
      <c r="E358" s="23"/>
      <c r="F358" s="23"/>
      <c r="G358" s="21" t="str">
        <f t="shared" si="2"/>
        <v/>
      </c>
      <c r="H358" s="22"/>
      <c r="I358" s="22"/>
    </row>
    <row r="359">
      <c r="A359" s="17"/>
      <c r="B359" s="18"/>
      <c r="C359" s="17"/>
      <c r="D359" s="17"/>
      <c r="E359" s="23"/>
      <c r="F359" s="23"/>
      <c r="G359" s="21" t="str">
        <f t="shared" si="2"/>
        <v/>
      </c>
      <c r="H359" s="22"/>
      <c r="I359" s="22"/>
    </row>
    <row r="360">
      <c r="A360" s="17"/>
      <c r="B360" s="18"/>
      <c r="C360" s="17"/>
      <c r="D360" s="17"/>
      <c r="E360" s="23"/>
      <c r="F360" s="23"/>
      <c r="G360" s="21" t="str">
        <f t="shared" si="2"/>
        <v/>
      </c>
      <c r="H360" s="22"/>
      <c r="I360" s="22"/>
    </row>
    <row r="361">
      <c r="A361" s="17"/>
      <c r="B361" s="18"/>
      <c r="C361" s="17"/>
      <c r="D361" s="17"/>
      <c r="E361" s="23"/>
      <c r="F361" s="23"/>
      <c r="G361" s="21" t="str">
        <f t="shared" si="2"/>
        <v/>
      </c>
      <c r="H361" s="22"/>
      <c r="I361" s="22"/>
    </row>
    <row r="362">
      <c r="A362" s="17"/>
      <c r="B362" s="18"/>
      <c r="C362" s="17"/>
      <c r="D362" s="17"/>
      <c r="E362" s="23"/>
      <c r="F362" s="23"/>
      <c r="G362" s="21" t="str">
        <f t="shared" si="2"/>
        <v/>
      </c>
      <c r="H362" s="22"/>
      <c r="I362" s="22"/>
    </row>
    <row r="363">
      <c r="A363" s="17"/>
      <c r="B363" s="18"/>
      <c r="C363" s="17"/>
      <c r="D363" s="17"/>
      <c r="E363" s="23"/>
      <c r="F363" s="23"/>
      <c r="G363" s="21" t="str">
        <f t="shared" si="2"/>
        <v/>
      </c>
      <c r="H363" s="22"/>
      <c r="I363" s="22"/>
    </row>
    <row r="364">
      <c r="A364" s="17"/>
      <c r="B364" s="18"/>
      <c r="C364" s="17"/>
      <c r="D364" s="17"/>
      <c r="E364" s="23"/>
      <c r="F364" s="23"/>
      <c r="G364" s="21" t="str">
        <f t="shared" si="2"/>
        <v/>
      </c>
      <c r="H364" s="22"/>
      <c r="I364" s="22"/>
    </row>
    <row r="365">
      <c r="A365" s="17"/>
      <c r="B365" s="18"/>
      <c r="C365" s="17"/>
      <c r="D365" s="17"/>
      <c r="E365" s="23"/>
      <c r="F365" s="23"/>
      <c r="G365" s="21" t="str">
        <f t="shared" si="2"/>
        <v/>
      </c>
      <c r="H365" s="22"/>
      <c r="I365" s="22"/>
    </row>
    <row r="366">
      <c r="A366" s="17"/>
      <c r="B366" s="18"/>
      <c r="C366" s="17"/>
      <c r="D366" s="17"/>
      <c r="E366" s="23"/>
      <c r="F366" s="23"/>
      <c r="G366" s="21" t="str">
        <f t="shared" si="2"/>
        <v/>
      </c>
      <c r="H366" s="22"/>
      <c r="I366" s="22"/>
    </row>
    <row r="367">
      <c r="A367" s="17"/>
      <c r="B367" s="18"/>
      <c r="C367" s="17"/>
      <c r="D367" s="17"/>
      <c r="E367" s="23"/>
      <c r="F367" s="23"/>
      <c r="G367" s="21" t="str">
        <f t="shared" si="2"/>
        <v/>
      </c>
      <c r="H367" s="22"/>
      <c r="I367" s="22"/>
    </row>
    <row r="368">
      <c r="A368" s="17"/>
      <c r="B368" s="18"/>
      <c r="C368" s="17"/>
      <c r="D368" s="17"/>
      <c r="E368" s="23"/>
      <c r="F368" s="23"/>
      <c r="G368" s="21" t="str">
        <f t="shared" si="2"/>
        <v/>
      </c>
      <c r="H368" s="22"/>
      <c r="I368" s="22"/>
    </row>
    <row r="369">
      <c r="A369" s="17"/>
      <c r="B369" s="18"/>
      <c r="C369" s="17"/>
      <c r="D369" s="17"/>
      <c r="E369" s="23"/>
      <c r="F369" s="23"/>
      <c r="G369" s="21" t="str">
        <f t="shared" si="2"/>
        <v/>
      </c>
      <c r="H369" s="22"/>
      <c r="I369" s="22"/>
    </row>
    <row r="370">
      <c r="A370" s="17"/>
      <c r="B370" s="18"/>
      <c r="C370" s="17"/>
      <c r="D370" s="17"/>
      <c r="E370" s="23"/>
      <c r="F370" s="23"/>
      <c r="G370" s="21" t="str">
        <f t="shared" si="2"/>
        <v/>
      </c>
      <c r="H370" s="22"/>
      <c r="I370" s="22"/>
    </row>
    <row r="371">
      <c r="A371" s="17"/>
      <c r="B371" s="18"/>
      <c r="C371" s="17"/>
      <c r="D371" s="17"/>
      <c r="E371" s="23"/>
      <c r="F371" s="23"/>
      <c r="G371" s="21" t="str">
        <f t="shared" si="2"/>
        <v/>
      </c>
      <c r="H371" s="22"/>
      <c r="I371" s="22"/>
    </row>
    <row r="372">
      <c r="A372" s="17"/>
      <c r="B372" s="18"/>
      <c r="C372" s="17"/>
      <c r="D372" s="17"/>
      <c r="E372" s="23"/>
      <c r="F372" s="23"/>
      <c r="G372" s="21" t="str">
        <f t="shared" si="2"/>
        <v/>
      </c>
      <c r="H372" s="22"/>
      <c r="I372" s="22"/>
    </row>
    <row r="373">
      <c r="A373" s="17"/>
      <c r="B373" s="18"/>
      <c r="C373" s="17"/>
      <c r="D373" s="17"/>
      <c r="E373" s="23"/>
      <c r="F373" s="23"/>
      <c r="G373" s="21" t="str">
        <f t="shared" si="2"/>
        <v/>
      </c>
      <c r="H373" s="22"/>
      <c r="I373" s="22"/>
    </row>
    <row r="374">
      <c r="A374" s="17"/>
      <c r="B374" s="18"/>
      <c r="C374" s="17"/>
      <c r="D374" s="17"/>
      <c r="E374" s="23"/>
      <c r="F374" s="23"/>
      <c r="G374" s="21" t="str">
        <f t="shared" si="2"/>
        <v/>
      </c>
      <c r="H374" s="22"/>
      <c r="I374" s="22"/>
    </row>
    <row r="375">
      <c r="A375" s="17"/>
      <c r="B375" s="18"/>
      <c r="C375" s="17"/>
      <c r="D375" s="17"/>
      <c r="E375" s="23"/>
      <c r="F375" s="23"/>
      <c r="G375" s="21" t="str">
        <f t="shared" si="2"/>
        <v/>
      </c>
      <c r="H375" s="22"/>
      <c r="I375" s="22"/>
    </row>
    <row r="376">
      <c r="A376" s="17"/>
      <c r="B376" s="18"/>
      <c r="C376" s="17"/>
      <c r="D376" s="17"/>
      <c r="E376" s="23"/>
      <c r="F376" s="23"/>
      <c r="G376" s="21" t="str">
        <f t="shared" si="2"/>
        <v/>
      </c>
      <c r="H376" s="22"/>
      <c r="I376" s="22"/>
    </row>
    <row r="377">
      <c r="A377" s="17"/>
      <c r="B377" s="18"/>
      <c r="C377" s="17"/>
      <c r="D377" s="17"/>
      <c r="E377" s="23"/>
      <c r="F377" s="23"/>
      <c r="G377" s="21" t="str">
        <f t="shared" si="2"/>
        <v/>
      </c>
      <c r="H377" s="22"/>
      <c r="I377" s="22"/>
    </row>
    <row r="378">
      <c r="A378" s="17"/>
      <c r="B378" s="18"/>
      <c r="C378" s="17"/>
      <c r="D378" s="17"/>
      <c r="E378" s="23"/>
      <c r="F378" s="23"/>
      <c r="G378" s="21" t="str">
        <f t="shared" si="2"/>
        <v/>
      </c>
      <c r="H378" s="22"/>
      <c r="I378" s="22"/>
    </row>
    <row r="379">
      <c r="A379" s="17"/>
      <c r="B379" s="18"/>
      <c r="C379" s="17"/>
      <c r="D379" s="17"/>
      <c r="E379" s="23"/>
      <c r="F379" s="23"/>
      <c r="G379" s="21" t="str">
        <f t="shared" si="2"/>
        <v/>
      </c>
      <c r="H379" s="22"/>
      <c r="I379" s="22"/>
    </row>
    <row r="380">
      <c r="A380" s="17"/>
      <c r="B380" s="18"/>
      <c r="C380" s="17"/>
      <c r="D380" s="17"/>
      <c r="E380" s="23"/>
      <c r="F380" s="23"/>
      <c r="G380" s="21" t="str">
        <f t="shared" si="2"/>
        <v/>
      </c>
      <c r="H380" s="22"/>
      <c r="I380" s="22"/>
    </row>
    <row r="381">
      <c r="A381" s="17"/>
      <c r="B381" s="18"/>
      <c r="C381" s="17"/>
      <c r="D381" s="17"/>
      <c r="E381" s="23"/>
      <c r="F381" s="23"/>
      <c r="G381" s="21" t="str">
        <f t="shared" si="2"/>
        <v/>
      </c>
      <c r="H381" s="22"/>
      <c r="I381" s="22"/>
    </row>
    <row r="382">
      <c r="A382" s="17"/>
      <c r="B382" s="18"/>
      <c r="C382" s="17"/>
      <c r="D382" s="17"/>
      <c r="E382" s="23"/>
      <c r="F382" s="23"/>
      <c r="G382" s="21" t="str">
        <f t="shared" si="2"/>
        <v/>
      </c>
      <c r="H382" s="22"/>
      <c r="I382" s="22"/>
    </row>
    <row r="383">
      <c r="A383" s="17"/>
      <c r="B383" s="18"/>
      <c r="C383" s="17"/>
      <c r="D383" s="17"/>
      <c r="E383" s="23"/>
      <c r="F383" s="23"/>
      <c r="G383" s="21" t="str">
        <f t="shared" si="2"/>
        <v/>
      </c>
      <c r="H383" s="22"/>
      <c r="I383" s="22"/>
    </row>
    <row r="384">
      <c r="A384" s="17"/>
      <c r="B384" s="18"/>
      <c r="C384" s="17"/>
      <c r="D384" s="17"/>
      <c r="E384" s="23"/>
      <c r="F384" s="23"/>
      <c r="G384" s="21" t="str">
        <f t="shared" si="2"/>
        <v/>
      </c>
      <c r="H384" s="22"/>
      <c r="I384" s="22"/>
    </row>
    <row r="385">
      <c r="A385" s="17"/>
      <c r="B385" s="18"/>
      <c r="C385" s="17"/>
      <c r="D385" s="17"/>
      <c r="E385" s="23"/>
      <c r="F385" s="23"/>
      <c r="G385" s="21" t="str">
        <f t="shared" si="2"/>
        <v/>
      </c>
      <c r="H385" s="22"/>
      <c r="I385" s="22"/>
    </row>
    <row r="386">
      <c r="A386" s="17"/>
      <c r="B386" s="18"/>
      <c r="C386" s="17"/>
      <c r="D386" s="17"/>
      <c r="E386" s="23"/>
      <c r="F386" s="23"/>
      <c r="G386" s="21" t="str">
        <f t="shared" si="2"/>
        <v/>
      </c>
      <c r="H386" s="22"/>
      <c r="I386" s="22"/>
    </row>
    <row r="387">
      <c r="A387" s="17"/>
      <c r="B387" s="18"/>
      <c r="C387" s="17"/>
      <c r="D387" s="17"/>
      <c r="E387" s="23"/>
      <c r="F387" s="23"/>
      <c r="G387" s="21" t="str">
        <f t="shared" si="2"/>
        <v/>
      </c>
      <c r="H387" s="22"/>
      <c r="I387" s="22"/>
    </row>
    <row r="388">
      <c r="A388" s="17"/>
      <c r="B388" s="18"/>
      <c r="C388" s="17"/>
      <c r="D388" s="17"/>
      <c r="E388" s="23"/>
      <c r="F388" s="23"/>
      <c r="G388" s="21" t="str">
        <f t="shared" si="2"/>
        <v/>
      </c>
      <c r="H388" s="22"/>
      <c r="I388" s="22"/>
    </row>
    <row r="389">
      <c r="A389" s="17"/>
      <c r="B389" s="18"/>
      <c r="C389" s="17"/>
      <c r="D389" s="17"/>
      <c r="E389" s="23"/>
      <c r="F389" s="23"/>
      <c r="G389" s="21" t="str">
        <f t="shared" si="2"/>
        <v/>
      </c>
      <c r="H389" s="22"/>
      <c r="I389" s="22"/>
    </row>
    <row r="390">
      <c r="A390" s="17"/>
      <c r="B390" s="18"/>
      <c r="C390" s="17"/>
      <c r="D390" s="17"/>
      <c r="E390" s="23"/>
      <c r="F390" s="23"/>
      <c r="G390" s="21" t="str">
        <f t="shared" si="2"/>
        <v/>
      </c>
      <c r="H390" s="22"/>
      <c r="I390" s="22"/>
    </row>
    <row r="391">
      <c r="A391" s="17"/>
      <c r="B391" s="18"/>
      <c r="C391" s="17"/>
      <c r="D391" s="17"/>
      <c r="E391" s="23"/>
      <c r="F391" s="23"/>
      <c r="G391" s="21" t="str">
        <f t="shared" si="2"/>
        <v/>
      </c>
      <c r="H391" s="22"/>
      <c r="I391" s="22"/>
    </row>
    <row r="392">
      <c r="A392" s="17"/>
      <c r="B392" s="18"/>
      <c r="C392" s="17"/>
      <c r="D392" s="17"/>
      <c r="E392" s="23"/>
      <c r="F392" s="23"/>
      <c r="G392" s="21" t="str">
        <f t="shared" si="2"/>
        <v/>
      </c>
      <c r="H392" s="22"/>
      <c r="I392" s="22"/>
    </row>
    <row r="393">
      <c r="A393" s="17"/>
      <c r="B393" s="18"/>
      <c r="C393" s="17"/>
      <c r="D393" s="17"/>
      <c r="E393" s="23"/>
      <c r="F393" s="23"/>
      <c r="G393" s="21" t="str">
        <f t="shared" si="2"/>
        <v/>
      </c>
      <c r="H393" s="22"/>
      <c r="I393" s="22"/>
    </row>
    <row r="394">
      <c r="A394" s="17"/>
      <c r="B394" s="18"/>
      <c r="C394" s="17"/>
      <c r="D394" s="17"/>
      <c r="E394" s="23"/>
      <c r="F394" s="23"/>
      <c r="G394" s="21" t="str">
        <f t="shared" si="2"/>
        <v/>
      </c>
      <c r="H394" s="22"/>
      <c r="I394" s="22"/>
    </row>
    <row r="395">
      <c r="A395" s="17"/>
      <c r="B395" s="18"/>
      <c r="C395" s="17"/>
      <c r="D395" s="17"/>
      <c r="E395" s="23"/>
      <c r="F395" s="23"/>
      <c r="G395" s="21" t="str">
        <f t="shared" si="2"/>
        <v/>
      </c>
      <c r="H395" s="22"/>
      <c r="I395" s="22"/>
    </row>
    <row r="396">
      <c r="A396" s="17"/>
      <c r="B396" s="18"/>
      <c r="C396" s="17"/>
      <c r="D396" s="17"/>
      <c r="E396" s="23"/>
      <c r="F396" s="23"/>
      <c r="G396" s="21" t="str">
        <f t="shared" si="2"/>
        <v/>
      </c>
      <c r="H396" s="22"/>
      <c r="I396" s="22"/>
    </row>
    <row r="397">
      <c r="A397" s="17"/>
      <c r="B397" s="18"/>
      <c r="C397" s="17"/>
      <c r="D397" s="17"/>
      <c r="E397" s="23"/>
      <c r="F397" s="23"/>
      <c r="G397" s="21" t="str">
        <f t="shared" si="2"/>
        <v/>
      </c>
      <c r="H397" s="22"/>
      <c r="I397" s="22"/>
    </row>
    <row r="398">
      <c r="A398" s="17"/>
      <c r="B398" s="18"/>
      <c r="C398" s="17"/>
      <c r="D398" s="17"/>
      <c r="E398" s="23"/>
      <c r="F398" s="23"/>
      <c r="G398" s="21" t="str">
        <f t="shared" si="2"/>
        <v/>
      </c>
      <c r="H398" s="22"/>
      <c r="I398" s="22"/>
    </row>
    <row r="399">
      <c r="A399" s="17"/>
      <c r="B399" s="18"/>
      <c r="C399" s="17"/>
      <c r="D399" s="17"/>
      <c r="E399" s="23"/>
      <c r="F399" s="23"/>
      <c r="G399" s="21" t="str">
        <f t="shared" si="2"/>
        <v/>
      </c>
      <c r="H399" s="22"/>
      <c r="I399" s="22"/>
    </row>
    <row r="400">
      <c r="A400" s="17"/>
      <c r="B400" s="18"/>
      <c r="C400" s="17"/>
      <c r="D400" s="17"/>
      <c r="E400" s="23"/>
      <c r="F400" s="23"/>
      <c r="G400" s="21" t="str">
        <f t="shared" si="2"/>
        <v/>
      </c>
      <c r="H400" s="22"/>
      <c r="I400" s="22"/>
    </row>
    <row r="401">
      <c r="A401" s="17"/>
      <c r="B401" s="18"/>
      <c r="C401" s="17"/>
      <c r="D401" s="17"/>
      <c r="E401" s="23"/>
      <c r="F401" s="23"/>
      <c r="G401" s="21" t="str">
        <f t="shared" si="2"/>
        <v/>
      </c>
      <c r="H401" s="22"/>
      <c r="I401" s="22"/>
    </row>
    <row r="402">
      <c r="A402" s="17"/>
      <c r="B402" s="18"/>
      <c r="C402" s="17"/>
      <c r="D402" s="17"/>
      <c r="E402" s="23"/>
      <c r="F402" s="23"/>
      <c r="G402" s="21" t="str">
        <f t="shared" si="2"/>
        <v/>
      </c>
      <c r="H402" s="22"/>
      <c r="I402" s="22"/>
    </row>
    <row r="403">
      <c r="A403" s="17"/>
      <c r="B403" s="18"/>
      <c r="C403" s="17"/>
      <c r="D403" s="17"/>
      <c r="E403" s="23"/>
      <c r="F403" s="23"/>
      <c r="G403" s="21" t="str">
        <f t="shared" si="2"/>
        <v/>
      </c>
      <c r="H403" s="22"/>
      <c r="I403" s="22"/>
    </row>
    <row r="404">
      <c r="A404" s="17"/>
      <c r="B404" s="18"/>
      <c r="C404" s="17"/>
      <c r="D404" s="17"/>
      <c r="E404" s="23"/>
      <c r="F404" s="23"/>
      <c r="G404" s="21" t="str">
        <f t="shared" si="2"/>
        <v/>
      </c>
      <c r="H404" s="22"/>
      <c r="I404" s="22"/>
    </row>
    <row r="405">
      <c r="A405" s="17"/>
      <c r="B405" s="18"/>
      <c r="C405" s="17"/>
      <c r="D405" s="17"/>
      <c r="E405" s="23"/>
      <c r="F405" s="23"/>
      <c r="G405" s="21" t="str">
        <f t="shared" si="2"/>
        <v/>
      </c>
      <c r="H405" s="22"/>
      <c r="I405" s="22"/>
    </row>
    <row r="406">
      <c r="A406" s="17"/>
      <c r="B406" s="18"/>
      <c r="C406" s="17"/>
      <c r="D406" s="17"/>
      <c r="E406" s="23"/>
      <c r="F406" s="23"/>
      <c r="G406" s="21" t="str">
        <f t="shared" si="2"/>
        <v/>
      </c>
      <c r="H406" s="22"/>
      <c r="I406" s="22"/>
    </row>
    <row r="407">
      <c r="A407" s="17"/>
      <c r="B407" s="18"/>
      <c r="C407" s="17"/>
      <c r="D407" s="17"/>
      <c r="E407" s="23"/>
      <c r="F407" s="23"/>
      <c r="G407" s="21" t="str">
        <f t="shared" si="2"/>
        <v/>
      </c>
      <c r="H407" s="22"/>
      <c r="I407" s="22"/>
    </row>
    <row r="408">
      <c r="A408" s="17"/>
      <c r="B408" s="18"/>
      <c r="C408" s="17"/>
      <c r="D408" s="17"/>
      <c r="E408" s="23"/>
      <c r="F408" s="23"/>
      <c r="G408" s="21" t="str">
        <f t="shared" si="2"/>
        <v/>
      </c>
      <c r="H408" s="22"/>
      <c r="I408" s="22"/>
    </row>
    <row r="409">
      <c r="A409" s="17"/>
      <c r="B409" s="18"/>
      <c r="C409" s="17"/>
      <c r="D409" s="17"/>
      <c r="E409" s="23"/>
      <c r="F409" s="23"/>
      <c r="G409" s="21" t="str">
        <f t="shared" si="2"/>
        <v/>
      </c>
      <c r="H409" s="22"/>
      <c r="I409" s="22"/>
    </row>
    <row r="410">
      <c r="A410" s="17"/>
      <c r="B410" s="18"/>
      <c r="C410" s="17"/>
      <c r="D410" s="17"/>
      <c r="E410" s="23"/>
      <c r="F410" s="23"/>
      <c r="G410" s="21" t="str">
        <f t="shared" si="2"/>
        <v/>
      </c>
      <c r="H410" s="22"/>
      <c r="I410" s="22"/>
    </row>
    <row r="411">
      <c r="A411" s="17"/>
      <c r="B411" s="18"/>
      <c r="C411" s="17"/>
      <c r="D411" s="17"/>
      <c r="E411" s="23"/>
      <c r="F411" s="23"/>
      <c r="G411" s="21" t="str">
        <f t="shared" si="2"/>
        <v/>
      </c>
      <c r="H411" s="22"/>
      <c r="I411" s="22"/>
    </row>
    <row r="412">
      <c r="A412" s="17"/>
      <c r="B412" s="18"/>
      <c r="C412" s="17"/>
      <c r="D412" s="17"/>
      <c r="E412" s="23"/>
      <c r="F412" s="23"/>
      <c r="G412" s="21" t="str">
        <f t="shared" si="2"/>
        <v/>
      </c>
      <c r="H412" s="22"/>
      <c r="I412" s="22"/>
    </row>
    <row r="413">
      <c r="A413" s="17"/>
      <c r="B413" s="18"/>
      <c r="C413" s="17"/>
      <c r="D413" s="17"/>
      <c r="E413" s="23"/>
      <c r="F413" s="23"/>
      <c r="G413" s="21" t="str">
        <f t="shared" si="2"/>
        <v/>
      </c>
      <c r="H413" s="22"/>
      <c r="I413" s="22"/>
    </row>
    <row r="414">
      <c r="A414" s="17"/>
      <c r="B414" s="18"/>
      <c r="C414" s="17"/>
      <c r="D414" s="17"/>
      <c r="E414" s="23"/>
      <c r="F414" s="23"/>
      <c r="G414" s="21" t="str">
        <f t="shared" si="2"/>
        <v/>
      </c>
      <c r="H414" s="22"/>
      <c r="I414" s="22"/>
    </row>
    <row r="415">
      <c r="A415" s="17"/>
      <c r="B415" s="18"/>
      <c r="C415" s="17"/>
      <c r="D415" s="17"/>
      <c r="E415" s="23"/>
      <c r="F415" s="23"/>
      <c r="G415" s="21" t="str">
        <f t="shared" si="2"/>
        <v/>
      </c>
      <c r="H415" s="22"/>
      <c r="I415" s="22"/>
    </row>
    <row r="416">
      <c r="A416" s="17"/>
      <c r="B416" s="18"/>
      <c r="C416" s="17"/>
      <c r="D416" s="17"/>
      <c r="E416" s="23"/>
      <c r="F416" s="23"/>
      <c r="G416" s="21" t="str">
        <f t="shared" si="2"/>
        <v/>
      </c>
      <c r="H416" s="22"/>
      <c r="I416" s="22"/>
    </row>
    <row r="417">
      <c r="A417" s="17"/>
      <c r="B417" s="18"/>
      <c r="C417" s="17"/>
      <c r="D417" s="17"/>
      <c r="E417" s="23"/>
      <c r="F417" s="23"/>
      <c r="G417" s="21" t="str">
        <f t="shared" si="2"/>
        <v/>
      </c>
      <c r="H417" s="22"/>
      <c r="I417" s="22"/>
    </row>
    <row r="418">
      <c r="A418" s="17"/>
      <c r="B418" s="18"/>
      <c r="C418" s="17"/>
      <c r="D418" s="17"/>
      <c r="E418" s="23"/>
      <c r="F418" s="23"/>
      <c r="G418" s="21" t="str">
        <f t="shared" si="2"/>
        <v/>
      </c>
      <c r="H418" s="22"/>
      <c r="I418" s="22"/>
    </row>
    <row r="419">
      <c r="A419" s="17"/>
      <c r="B419" s="18"/>
      <c r="C419" s="17"/>
      <c r="D419" s="17"/>
      <c r="E419" s="23"/>
      <c r="F419" s="23"/>
      <c r="G419" s="21" t="str">
        <f t="shared" si="2"/>
        <v/>
      </c>
      <c r="H419" s="22"/>
      <c r="I419" s="22"/>
    </row>
    <row r="420">
      <c r="A420" s="17"/>
      <c r="B420" s="18"/>
      <c r="C420" s="17"/>
      <c r="D420" s="17"/>
      <c r="E420" s="23"/>
      <c r="F420" s="23"/>
      <c r="G420" s="21" t="str">
        <f t="shared" si="2"/>
        <v/>
      </c>
      <c r="H420" s="22"/>
      <c r="I420" s="22"/>
    </row>
    <row r="421">
      <c r="A421" s="17"/>
      <c r="B421" s="18"/>
      <c r="C421" s="17"/>
      <c r="D421" s="17"/>
      <c r="E421" s="23"/>
      <c r="F421" s="23"/>
      <c r="G421" s="21" t="str">
        <f t="shared" si="2"/>
        <v/>
      </c>
      <c r="H421" s="22"/>
      <c r="I421" s="22"/>
    </row>
    <row r="422">
      <c r="A422" s="17"/>
      <c r="B422" s="18"/>
      <c r="C422" s="17"/>
      <c r="D422" s="17"/>
      <c r="E422" s="23"/>
      <c r="F422" s="23"/>
      <c r="G422" s="21" t="str">
        <f t="shared" si="2"/>
        <v/>
      </c>
      <c r="H422" s="22"/>
      <c r="I422" s="22"/>
    </row>
    <row r="423">
      <c r="A423" s="17"/>
      <c r="B423" s="18"/>
      <c r="C423" s="17"/>
      <c r="D423" s="17"/>
      <c r="E423" s="23"/>
      <c r="F423" s="23"/>
      <c r="G423" s="21" t="str">
        <f t="shared" si="2"/>
        <v/>
      </c>
      <c r="H423" s="22"/>
      <c r="I423" s="22"/>
    </row>
    <row r="424">
      <c r="A424" s="17"/>
      <c r="B424" s="18"/>
      <c r="C424" s="17"/>
      <c r="D424" s="17"/>
      <c r="E424" s="23"/>
      <c r="F424" s="23"/>
      <c r="G424" s="21" t="str">
        <f t="shared" si="2"/>
        <v/>
      </c>
      <c r="H424" s="22"/>
      <c r="I424" s="22"/>
    </row>
    <row r="425">
      <c r="A425" s="17"/>
      <c r="B425" s="18"/>
      <c r="C425" s="17"/>
      <c r="D425" s="17"/>
      <c r="E425" s="23"/>
      <c r="F425" s="23"/>
      <c r="G425" s="21" t="str">
        <f t="shared" si="2"/>
        <v/>
      </c>
      <c r="H425" s="22"/>
      <c r="I425" s="22"/>
    </row>
    <row r="426">
      <c r="A426" s="17"/>
      <c r="B426" s="18"/>
      <c r="C426" s="17"/>
      <c r="D426" s="17"/>
      <c r="E426" s="23"/>
      <c r="F426" s="23"/>
      <c r="G426" s="21" t="str">
        <f t="shared" si="2"/>
        <v/>
      </c>
      <c r="H426" s="22"/>
      <c r="I426" s="22"/>
    </row>
    <row r="427">
      <c r="A427" s="17"/>
      <c r="B427" s="18"/>
      <c r="C427" s="17"/>
      <c r="D427" s="17"/>
      <c r="E427" s="23"/>
      <c r="F427" s="23"/>
      <c r="G427" s="21" t="str">
        <f t="shared" si="2"/>
        <v/>
      </c>
      <c r="H427" s="22"/>
      <c r="I427" s="22"/>
    </row>
    <row r="428">
      <c r="A428" s="17"/>
      <c r="B428" s="18"/>
      <c r="C428" s="17"/>
      <c r="D428" s="17"/>
      <c r="E428" s="23"/>
      <c r="F428" s="23"/>
      <c r="G428" s="21" t="str">
        <f t="shared" si="2"/>
        <v/>
      </c>
      <c r="H428" s="22"/>
      <c r="I428" s="22"/>
    </row>
    <row r="429">
      <c r="A429" s="17"/>
      <c r="B429" s="18"/>
      <c r="C429" s="17"/>
      <c r="D429" s="17"/>
      <c r="E429" s="23"/>
      <c r="F429" s="23"/>
      <c r="G429" s="21" t="str">
        <f t="shared" si="2"/>
        <v/>
      </c>
      <c r="H429" s="22"/>
      <c r="I429" s="22"/>
    </row>
    <row r="430">
      <c r="A430" s="17"/>
      <c r="B430" s="18"/>
      <c r="C430" s="17"/>
      <c r="D430" s="17"/>
      <c r="E430" s="23"/>
      <c r="F430" s="23"/>
      <c r="G430" s="21" t="str">
        <f t="shared" si="2"/>
        <v/>
      </c>
      <c r="H430" s="22"/>
      <c r="I430" s="22"/>
    </row>
    <row r="431">
      <c r="A431" s="17"/>
      <c r="B431" s="18"/>
      <c r="C431" s="17"/>
      <c r="D431" s="17"/>
      <c r="E431" s="23"/>
      <c r="F431" s="23"/>
      <c r="G431" s="21" t="str">
        <f t="shared" si="2"/>
        <v/>
      </c>
      <c r="H431" s="22"/>
      <c r="I431" s="22"/>
    </row>
    <row r="432">
      <c r="A432" s="17"/>
      <c r="B432" s="18"/>
      <c r="C432" s="17"/>
      <c r="D432" s="17"/>
      <c r="E432" s="23"/>
      <c r="F432" s="23"/>
      <c r="G432" s="21" t="str">
        <f t="shared" si="2"/>
        <v/>
      </c>
      <c r="H432" s="22"/>
      <c r="I432" s="22"/>
    </row>
    <row r="433">
      <c r="A433" s="17"/>
      <c r="B433" s="18"/>
      <c r="C433" s="17"/>
      <c r="D433" s="17"/>
      <c r="E433" s="23"/>
      <c r="F433" s="23"/>
      <c r="G433" s="21" t="str">
        <f t="shared" si="2"/>
        <v/>
      </c>
      <c r="H433" s="22"/>
      <c r="I433" s="22"/>
    </row>
    <row r="434">
      <c r="A434" s="17"/>
      <c r="B434" s="18"/>
      <c r="C434" s="17"/>
      <c r="D434" s="17"/>
      <c r="E434" s="23"/>
      <c r="F434" s="23"/>
      <c r="G434" s="21" t="str">
        <f t="shared" si="2"/>
        <v/>
      </c>
      <c r="H434" s="22"/>
      <c r="I434" s="22"/>
    </row>
    <row r="435">
      <c r="A435" s="17"/>
      <c r="B435" s="18"/>
      <c r="C435" s="17"/>
      <c r="D435" s="17"/>
      <c r="E435" s="23"/>
      <c r="F435" s="23"/>
      <c r="G435" s="21" t="str">
        <f t="shared" si="2"/>
        <v/>
      </c>
      <c r="H435" s="22"/>
      <c r="I435" s="22"/>
    </row>
    <row r="436">
      <c r="A436" s="17"/>
      <c r="B436" s="18"/>
      <c r="C436" s="17"/>
      <c r="D436" s="17"/>
      <c r="E436" s="23"/>
      <c r="F436" s="23"/>
      <c r="G436" s="21" t="str">
        <f t="shared" si="2"/>
        <v/>
      </c>
      <c r="H436" s="22"/>
      <c r="I436" s="22"/>
    </row>
    <row r="437">
      <c r="A437" s="17"/>
      <c r="B437" s="18"/>
      <c r="C437" s="17"/>
      <c r="D437" s="17"/>
      <c r="E437" s="23"/>
      <c r="F437" s="23"/>
      <c r="G437" s="21" t="str">
        <f t="shared" si="2"/>
        <v/>
      </c>
      <c r="H437" s="22"/>
      <c r="I437" s="22"/>
    </row>
    <row r="438">
      <c r="A438" s="17"/>
      <c r="B438" s="18"/>
      <c r="C438" s="17"/>
      <c r="D438" s="17"/>
      <c r="E438" s="23"/>
      <c r="F438" s="23"/>
      <c r="G438" s="21" t="str">
        <f t="shared" si="2"/>
        <v/>
      </c>
      <c r="H438" s="22"/>
      <c r="I438" s="22"/>
    </row>
    <row r="439">
      <c r="A439" s="17"/>
      <c r="B439" s="18"/>
      <c r="C439" s="17"/>
      <c r="D439" s="17"/>
      <c r="E439" s="23"/>
      <c r="F439" s="23"/>
      <c r="G439" s="21" t="str">
        <f t="shared" si="2"/>
        <v/>
      </c>
      <c r="H439" s="22"/>
      <c r="I439" s="22"/>
    </row>
    <row r="440">
      <c r="A440" s="17"/>
      <c r="B440" s="18"/>
      <c r="C440" s="17"/>
      <c r="D440" s="17"/>
      <c r="E440" s="23"/>
      <c r="F440" s="23"/>
      <c r="G440" s="21" t="str">
        <f t="shared" si="2"/>
        <v/>
      </c>
      <c r="H440" s="22"/>
      <c r="I440" s="22"/>
    </row>
    <row r="441">
      <c r="A441" s="17"/>
      <c r="B441" s="18"/>
      <c r="C441" s="17"/>
      <c r="D441" s="17"/>
      <c r="E441" s="23"/>
      <c r="F441" s="23"/>
      <c r="G441" s="21" t="str">
        <f t="shared" si="2"/>
        <v/>
      </c>
      <c r="H441" s="22"/>
      <c r="I441" s="22"/>
    </row>
    <row r="442">
      <c r="A442" s="17"/>
      <c r="B442" s="18"/>
      <c r="C442" s="17"/>
      <c r="D442" s="17"/>
      <c r="E442" s="23"/>
      <c r="F442" s="23"/>
      <c r="G442" s="21" t="str">
        <f t="shared" si="2"/>
        <v/>
      </c>
      <c r="H442" s="22"/>
      <c r="I442" s="22"/>
    </row>
    <row r="443">
      <c r="A443" s="17"/>
      <c r="B443" s="18"/>
      <c r="C443" s="17"/>
      <c r="D443" s="17"/>
      <c r="E443" s="23"/>
      <c r="F443" s="23"/>
      <c r="G443" s="21" t="str">
        <f t="shared" si="2"/>
        <v/>
      </c>
      <c r="H443" s="22"/>
      <c r="I443" s="22"/>
    </row>
    <row r="444">
      <c r="A444" s="17"/>
      <c r="B444" s="18"/>
      <c r="C444" s="17"/>
      <c r="D444" s="17"/>
      <c r="E444" s="23"/>
      <c r="F444" s="23"/>
      <c r="G444" s="21" t="str">
        <f t="shared" si="2"/>
        <v/>
      </c>
      <c r="H444" s="22"/>
      <c r="I444" s="22"/>
    </row>
    <row r="445">
      <c r="A445" s="17"/>
      <c r="B445" s="18"/>
      <c r="C445" s="17"/>
      <c r="D445" s="17"/>
      <c r="E445" s="23"/>
      <c r="F445" s="23"/>
      <c r="G445" s="21" t="str">
        <f t="shared" si="2"/>
        <v/>
      </c>
      <c r="H445" s="22"/>
      <c r="I445" s="22"/>
    </row>
    <row r="446">
      <c r="A446" s="17"/>
      <c r="B446" s="18"/>
      <c r="C446" s="17"/>
      <c r="D446" s="17"/>
      <c r="E446" s="23"/>
      <c r="F446" s="23"/>
      <c r="G446" s="21" t="str">
        <f t="shared" si="2"/>
        <v/>
      </c>
      <c r="H446" s="22"/>
      <c r="I446" s="22"/>
    </row>
    <row r="447">
      <c r="A447" s="17"/>
      <c r="B447" s="18"/>
      <c r="C447" s="17"/>
      <c r="D447" s="17"/>
      <c r="E447" s="23"/>
      <c r="F447" s="23"/>
      <c r="G447" s="21" t="str">
        <f t="shared" si="2"/>
        <v/>
      </c>
      <c r="H447" s="22"/>
      <c r="I447" s="22"/>
    </row>
    <row r="448">
      <c r="A448" s="17"/>
      <c r="B448" s="18"/>
      <c r="C448" s="17"/>
      <c r="D448" s="17"/>
      <c r="E448" s="23"/>
      <c r="F448" s="23"/>
      <c r="G448" s="21" t="str">
        <f t="shared" si="2"/>
        <v/>
      </c>
      <c r="H448" s="22"/>
      <c r="I448" s="22"/>
    </row>
    <row r="449">
      <c r="A449" s="17"/>
      <c r="B449" s="18"/>
      <c r="C449" s="17"/>
      <c r="D449" s="17"/>
      <c r="E449" s="23"/>
      <c r="F449" s="23"/>
      <c r="G449" s="21" t="str">
        <f t="shared" si="2"/>
        <v/>
      </c>
      <c r="H449" s="22"/>
      <c r="I449" s="22"/>
    </row>
    <row r="450">
      <c r="A450" s="17"/>
      <c r="B450" s="18"/>
      <c r="C450" s="17"/>
      <c r="D450" s="17"/>
      <c r="E450" s="23"/>
      <c r="F450" s="23"/>
      <c r="G450" s="21" t="str">
        <f t="shared" si="2"/>
        <v/>
      </c>
      <c r="H450" s="22"/>
      <c r="I450" s="22"/>
    </row>
    <row r="451">
      <c r="A451" s="17"/>
      <c r="B451" s="18"/>
      <c r="C451" s="17"/>
      <c r="D451" s="17"/>
      <c r="E451" s="23"/>
      <c r="F451" s="23"/>
      <c r="G451" s="21" t="str">
        <f t="shared" si="2"/>
        <v/>
      </c>
      <c r="H451" s="22"/>
      <c r="I451" s="22"/>
    </row>
    <row r="452">
      <c r="A452" s="17"/>
      <c r="B452" s="18"/>
      <c r="C452" s="17"/>
      <c r="D452" s="17"/>
      <c r="E452" s="23"/>
      <c r="F452" s="23"/>
      <c r="G452" s="21" t="str">
        <f t="shared" si="2"/>
        <v/>
      </c>
      <c r="H452" s="22"/>
      <c r="I452" s="22"/>
    </row>
    <row r="453">
      <c r="A453" s="17"/>
      <c r="B453" s="18"/>
      <c r="C453" s="17"/>
      <c r="D453" s="17"/>
      <c r="E453" s="23"/>
      <c r="F453" s="23"/>
      <c r="G453" s="21" t="str">
        <f t="shared" si="2"/>
        <v/>
      </c>
      <c r="H453" s="22"/>
      <c r="I453" s="22"/>
    </row>
    <row r="454">
      <c r="A454" s="17"/>
      <c r="B454" s="18"/>
      <c r="C454" s="17"/>
      <c r="D454" s="17"/>
      <c r="E454" s="23"/>
      <c r="F454" s="23"/>
      <c r="G454" s="21" t="str">
        <f t="shared" si="2"/>
        <v/>
      </c>
      <c r="H454" s="22"/>
      <c r="I454" s="22"/>
    </row>
    <row r="455">
      <c r="A455" s="17"/>
      <c r="B455" s="18"/>
      <c r="C455" s="17"/>
      <c r="D455" s="17"/>
      <c r="E455" s="23"/>
      <c r="F455" s="23"/>
      <c r="G455" s="21" t="str">
        <f t="shared" si="2"/>
        <v/>
      </c>
      <c r="H455" s="22"/>
      <c r="I455" s="22"/>
    </row>
    <row r="456">
      <c r="A456" s="17"/>
      <c r="B456" s="18"/>
      <c r="C456" s="17"/>
      <c r="D456" s="17"/>
      <c r="E456" s="23"/>
      <c r="F456" s="23"/>
      <c r="G456" s="21" t="str">
        <f t="shared" si="2"/>
        <v/>
      </c>
      <c r="H456" s="22"/>
      <c r="I456" s="22"/>
    </row>
    <row r="457">
      <c r="A457" s="17"/>
      <c r="B457" s="18"/>
      <c r="C457" s="17"/>
      <c r="D457" s="17"/>
      <c r="E457" s="23"/>
      <c r="F457" s="23"/>
      <c r="G457" s="21" t="str">
        <f t="shared" si="2"/>
        <v/>
      </c>
      <c r="H457" s="22"/>
      <c r="I457" s="22"/>
    </row>
    <row r="458">
      <c r="A458" s="17"/>
      <c r="B458" s="18"/>
      <c r="C458" s="17"/>
      <c r="D458" s="17"/>
      <c r="E458" s="23"/>
      <c r="F458" s="23"/>
      <c r="G458" s="21" t="str">
        <f t="shared" si="2"/>
        <v/>
      </c>
      <c r="H458" s="22"/>
      <c r="I458" s="22"/>
    </row>
    <row r="459">
      <c r="A459" s="17"/>
      <c r="B459" s="18"/>
      <c r="C459" s="17"/>
      <c r="D459" s="17"/>
      <c r="E459" s="23"/>
      <c r="F459" s="23"/>
      <c r="G459" s="21" t="str">
        <f t="shared" si="2"/>
        <v/>
      </c>
      <c r="H459" s="22"/>
      <c r="I459" s="22"/>
    </row>
    <row r="460">
      <c r="A460" s="17"/>
      <c r="B460" s="18"/>
      <c r="C460" s="17"/>
      <c r="D460" s="17"/>
      <c r="E460" s="23"/>
      <c r="F460" s="23"/>
      <c r="G460" s="21" t="str">
        <f t="shared" si="2"/>
        <v/>
      </c>
      <c r="H460" s="22"/>
      <c r="I460" s="22"/>
    </row>
    <row r="461">
      <c r="A461" s="17"/>
      <c r="B461" s="18"/>
      <c r="C461" s="17"/>
      <c r="D461" s="17"/>
      <c r="E461" s="23"/>
      <c r="F461" s="23"/>
      <c r="G461" s="21" t="str">
        <f t="shared" si="2"/>
        <v/>
      </c>
      <c r="H461" s="22"/>
      <c r="I461" s="22"/>
    </row>
    <row r="462">
      <c r="A462" s="17"/>
      <c r="B462" s="18"/>
      <c r="C462" s="17"/>
      <c r="D462" s="17"/>
      <c r="E462" s="23"/>
      <c r="F462" s="23"/>
      <c r="G462" s="21" t="str">
        <f t="shared" si="2"/>
        <v/>
      </c>
      <c r="H462" s="22"/>
      <c r="I462" s="22"/>
    </row>
    <row r="463">
      <c r="A463" s="17"/>
      <c r="B463" s="18"/>
      <c r="C463" s="17"/>
      <c r="D463" s="17"/>
      <c r="E463" s="23"/>
      <c r="F463" s="23"/>
      <c r="G463" s="21" t="str">
        <f t="shared" si="2"/>
        <v/>
      </c>
      <c r="H463" s="22"/>
      <c r="I463" s="22"/>
    </row>
    <row r="464">
      <c r="A464" s="17"/>
      <c r="B464" s="18"/>
      <c r="C464" s="17"/>
      <c r="D464" s="17"/>
      <c r="E464" s="23"/>
      <c r="F464" s="23"/>
      <c r="G464" s="21" t="str">
        <f t="shared" si="2"/>
        <v/>
      </c>
      <c r="H464" s="22"/>
      <c r="I464" s="22"/>
    </row>
    <row r="465">
      <c r="A465" s="17"/>
      <c r="B465" s="18"/>
      <c r="C465" s="17"/>
      <c r="D465" s="17"/>
      <c r="E465" s="23"/>
      <c r="F465" s="23"/>
      <c r="G465" s="21" t="str">
        <f t="shared" si="2"/>
        <v/>
      </c>
      <c r="H465" s="22"/>
      <c r="I465" s="22"/>
    </row>
    <row r="466">
      <c r="A466" s="17"/>
      <c r="B466" s="18"/>
      <c r="C466" s="17"/>
      <c r="D466" s="17"/>
      <c r="E466" s="23"/>
      <c r="F466" s="23"/>
      <c r="G466" s="21" t="str">
        <f t="shared" si="2"/>
        <v/>
      </c>
      <c r="H466" s="22"/>
      <c r="I466" s="22"/>
    </row>
    <row r="467">
      <c r="A467" s="17"/>
      <c r="B467" s="18"/>
      <c r="C467" s="17"/>
      <c r="D467" s="17"/>
      <c r="E467" s="23"/>
      <c r="F467" s="23"/>
      <c r="G467" s="21" t="str">
        <f t="shared" si="2"/>
        <v/>
      </c>
      <c r="H467" s="22"/>
      <c r="I467" s="22"/>
    </row>
    <row r="468">
      <c r="A468" s="17"/>
      <c r="B468" s="18"/>
      <c r="C468" s="17"/>
      <c r="D468" s="17"/>
      <c r="E468" s="23"/>
      <c r="F468" s="23"/>
      <c r="G468" s="21" t="str">
        <f t="shared" si="2"/>
        <v/>
      </c>
      <c r="H468" s="22"/>
      <c r="I468" s="22"/>
    </row>
    <row r="469">
      <c r="A469" s="17"/>
      <c r="B469" s="18"/>
      <c r="C469" s="17"/>
      <c r="D469" s="17"/>
      <c r="E469" s="23"/>
      <c r="F469" s="23"/>
      <c r="G469" s="21" t="str">
        <f t="shared" si="2"/>
        <v/>
      </c>
      <c r="H469" s="22"/>
      <c r="I469" s="22"/>
    </row>
    <row r="470">
      <c r="A470" s="17"/>
      <c r="B470" s="18"/>
      <c r="C470" s="17"/>
      <c r="D470" s="17"/>
      <c r="E470" s="23"/>
      <c r="F470" s="23"/>
      <c r="G470" s="21" t="str">
        <f t="shared" si="2"/>
        <v/>
      </c>
      <c r="H470" s="22"/>
      <c r="I470" s="22"/>
    </row>
    <row r="471">
      <c r="A471" s="17"/>
      <c r="B471" s="18"/>
      <c r="C471" s="17"/>
      <c r="D471" s="17"/>
      <c r="E471" s="23"/>
      <c r="F471" s="23"/>
      <c r="G471" s="21" t="str">
        <f t="shared" si="2"/>
        <v/>
      </c>
      <c r="H471" s="22"/>
      <c r="I471" s="22"/>
    </row>
    <row r="472">
      <c r="A472" s="17"/>
      <c r="B472" s="18"/>
      <c r="C472" s="17"/>
      <c r="D472" s="17"/>
      <c r="E472" s="23"/>
      <c r="F472" s="23"/>
      <c r="G472" s="21" t="str">
        <f t="shared" si="2"/>
        <v/>
      </c>
      <c r="H472" s="22"/>
      <c r="I472" s="22"/>
    </row>
    <row r="473">
      <c r="A473" s="17"/>
      <c r="B473" s="18"/>
      <c r="C473" s="17"/>
      <c r="D473" s="17"/>
      <c r="E473" s="23"/>
      <c r="F473" s="23"/>
      <c r="G473" s="21" t="str">
        <f t="shared" si="2"/>
        <v/>
      </c>
      <c r="H473" s="22"/>
      <c r="I473" s="22"/>
    </row>
    <row r="474">
      <c r="A474" s="17"/>
      <c r="B474" s="18"/>
      <c r="C474" s="17"/>
      <c r="D474" s="17"/>
      <c r="E474" s="23"/>
      <c r="F474" s="23"/>
      <c r="G474" s="21" t="str">
        <f t="shared" si="2"/>
        <v/>
      </c>
      <c r="H474" s="22"/>
      <c r="I474" s="22"/>
    </row>
    <row r="475">
      <c r="A475" s="17"/>
      <c r="B475" s="18"/>
      <c r="C475" s="17"/>
      <c r="D475" s="17"/>
      <c r="E475" s="23"/>
      <c r="F475" s="23"/>
      <c r="G475" s="21" t="str">
        <f t="shared" si="2"/>
        <v/>
      </c>
      <c r="H475" s="22"/>
      <c r="I475" s="22"/>
    </row>
    <row r="476">
      <c r="A476" s="17"/>
      <c r="B476" s="18"/>
      <c r="C476" s="17"/>
      <c r="D476" s="17"/>
      <c r="E476" s="23"/>
      <c r="F476" s="23"/>
      <c r="G476" s="21" t="str">
        <f t="shared" si="2"/>
        <v/>
      </c>
      <c r="H476" s="22"/>
      <c r="I476" s="22"/>
    </row>
    <row r="477">
      <c r="A477" s="17"/>
      <c r="B477" s="18"/>
      <c r="C477" s="17"/>
      <c r="D477" s="17"/>
      <c r="E477" s="23"/>
      <c r="F477" s="23"/>
      <c r="G477" s="21" t="str">
        <f t="shared" si="2"/>
        <v/>
      </c>
      <c r="H477" s="22"/>
      <c r="I477" s="22"/>
    </row>
    <row r="478">
      <c r="A478" s="17"/>
      <c r="B478" s="18"/>
      <c r="C478" s="17"/>
      <c r="D478" s="17"/>
      <c r="E478" s="23"/>
      <c r="F478" s="23"/>
      <c r="G478" s="21" t="str">
        <f t="shared" si="2"/>
        <v/>
      </c>
      <c r="H478" s="22"/>
      <c r="I478" s="22"/>
    </row>
    <row r="479">
      <c r="A479" s="17"/>
      <c r="B479" s="18"/>
      <c r="C479" s="17"/>
      <c r="D479" s="17"/>
      <c r="E479" s="23"/>
      <c r="F479" s="23"/>
      <c r="G479" s="21" t="str">
        <f t="shared" si="2"/>
        <v/>
      </c>
      <c r="H479" s="22"/>
      <c r="I479" s="22"/>
    </row>
    <row r="480">
      <c r="A480" s="17"/>
      <c r="B480" s="18"/>
      <c r="C480" s="17"/>
      <c r="D480" s="17"/>
      <c r="E480" s="23"/>
      <c r="F480" s="23"/>
      <c r="G480" s="21" t="str">
        <f t="shared" si="2"/>
        <v/>
      </c>
      <c r="H480" s="22"/>
      <c r="I480" s="22"/>
    </row>
    <row r="481">
      <c r="A481" s="17"/>
      <c r="B481" s="18"/>
      <c r="C481" s="17"/>
      <c r="D481" s="17"/>
      <c r="E481" s="23"/>
      <c r="F481" s="23"/>
      <c r="G481" s="21" t="str">
        <f t="shared" si="2"/>
        <v/>
      </c>
      <c r="H481" s="22"/>
      <c r="I481" s="22"/>
    </row>
    <row r="482">
      <c r="A482" s="17"/>
      <c r="B482" s="18"/>
      <c r="C482" s="17"/>
      <c r="D482" s="17"/>
      <c r="E482" s="23"/>
      <c r="F482" s="23"/>
      <c r="G482" s="21" t="str">
        <f t="shared" si="2"/>
        <v/>
      </c>
      <c r="H482" s="22"/>
      <c r="I482" s="22"/>
    </row>
    <row r="483">
      <c r="A483" s="17"/>
      <c r="B483" s="18"/>
      <c r="C483" s="17"/>
      <c r="D483" s="17"/>
      <c r="E483" s="23"/>
      <c r="F483" s="23"/>
      <c r="G483" s="21" t="str">
        <f t="shared" si="2"/>
        <v/>
      </c>
      <c r="H483" s="22"/>
      <c r="I483" s="22"/>
    </row>
    <row r="484">
      <c r="A484" s="17"/>
      <c r="B484" s="18"/>
      <c r="C484" s="17"/>
      <c r="D484" s="17"/>
      <c r="E484" s="23"/>
      <c r="F484" s="23"/>
      <c r="G484" s="21" t="str">
        <f t="shared" si="2"/>
        <v/>
      </c>
      <c r="H484" s="22"/>
      <c r="I484" s="22"/>
    </row>
    <row r="485">
      <c r="A485" s="17"/>
      <c r="B485" s="18"/>
      <c r="C485" s="17"/>
      <c r="D485" s="17"/>
      <c r="E485" s="23"/>
      <c r="F485" s="23"/>
      <c r="G485" s="21" t="str">
        <f t="shared" si="2"/>
        <v/>
      </c>
      <c r="H485" s="22"/>
      <c r="I485" s="22"/>
    </row>
    <row r="486">
      <c r="A486" s="17"/>
      <c r="B486" s="18"/>
      <c r="C486" s="17"/>
      <c r="D486" s="17"/>
      <c r="E486" s="23"/>
      <c r="F486" s="23"/>
      <c r="G486" s="21" t="str">
        <f t="shared" si="2"/>
        <v/>
      </c>
      <c r="H486" s="22"/>
      <c r="I486" s="22"/>
    </row>
    <row r="487">
      <c r="A487" s="17"/>
      <c r="B487" s="18"/>
      <c r="C487" s="17"/>
      <c r="D487" s="17"/>
      <c r="E487" s="23"/>
      <c r="F487" s="23"/>
      <c r="G487" s="21" t="str">
        <f t="shared" si="2"/>
        <v/>
      </c>
      <c r="H487" s="22"/>
      <c r="I487" s="22"/>
    </row>
    <row r="488">
      <c r="A488" s="17"/>
      <c r="B488" s="18"/>
      <c r="C488" s="17"/>
      <c r="D488" s="17"/>
      <c r="E488" s="23"/>
      <c r="F488" s="23"/>
      <c r="G488" s="21" t="str">
        <f t="shared" si="2"/>
        <v/>
      </c>
      <c r="H488" s="22"/>
      <c r="I488" s="22"/>
    </row>
    <row r="489">
      <c r="A489" s="17"/>
      <c r="B489" s="18"/>
      <c r="C489" s="17"/>
      <c r="D489" s="17"/>
      <c r="E489" s="23"/>
      <c r="F489" s="23"/>
      <c r="G489" s="21" t="str">
        <f t="shared" si="2"/>
        <v/>
      </c>
      <c r="H489" s="22"/>
      <c r="I489" s="22"/>
    </row>
    <row r="490">
      <c r="A490" s="17"/>
      <c r="B490" s="18"/>
      <c r="C490" s="17"/>
      <c r="D490" s="17"/>
      <c r="E490" s="23"/>
      <c r="F490" s="23"/>
      <c r="G490" s="21" t="str">
        <f t="shared" si="2"/>
        <v/>
      </c>
      <c r="H490" s="22"/>
      <c r="I490" s="22"/>
    </row>
    <row r="491">
      <c r="A491" s="17"/>
      <c r="B491" s="18"/>
      <c r="C491" s="17"/>
      <c r="D491" s="17"/>
      <c r="E491" s="23"/>
      <c r="F491" s="23"/>
      <c r="G491" s="21" t="str">
        <f t="shared" si="2"/>
        <v/>
      </c>
      <c r="H491" s="22"/>
      <c r="I491" s="22"/>
    </row>
    <row r="492">
      <c r="A492" s="17"/>
      <c r="B492" s="18"/>
      <c r="C492" s="17"/>
      <c r="D492" s="17"/>
      <c r="E492" s="23"/>
      <c r="F492" s="23"/>
      <c r="G492" s="21" t="str">
        <f t="shared" si="2"/>
        <v/>
      </c>
      <c r="H492" s="22"/>
      <c r="I492" s="22"/>
    </row>
    <row r="493">
      <c r="A493" s="17"/>
      <c r="B493" s="18"/>
      <c r="C493" s="17"/>
      <c r="D493" s="17"/>
      <c r="E493" s="23"/>
      <c r="F493" s="23"/>
      <c r="G493" s="21" t="str">
        <f t="shared" si="2"/>
        <v/>
      </c>
      <c r="H493" s="22"/>
      <c r="I493" s="22"/>
    </row>
    <row r="494">
      <c r="A494" s="17"/>
      <c r="B494" s="18"/>
      <c r="C494" s="17"/>
      <c r="D494" s="17"/>
      <c r="E494" s="23"/>
      <c r="F494" s="23"/>
      <c r="G494" s="21" t="str">
        <f t="shared" si="2"/>
        <v/>
      </c>
      <c r="H494" s="22"/>
      <c r="I494" s="22"/>
    </row>
    <row r="495">
      <c r="A495" s="17"/>
      <c r="B495" s="18"/>
      <c r="C495" s="17"/>
      <c r="D495" s="17"/>
      <c r="E495" s="23"/>
      <c r="F495" s="23"/>
      <c r="G495" s="21" t="str">
        <f t="shared" si="2"/>
        <v/>
      </c>
      <c r="H495" s="22"/>
      <c r="I495" s="22"/>
    </row>
    <row r="496">
      <c r="A496" s="17"/>
      <c r="B496" s="18"/>
      <c r="C496" s="17"/>
      <c r="D496" s="17"/>
      <c r="E496" s="23"/>
      <c r="F496" s="23"/>
      <c r="G496" s="21" t="str">
        <f t="shared" si="2"/>
        <v/>
      </c>
      <c r="H496" s="22"/>
      <c r="I496" s="22"/>
    </row>
    <row r="497">
      <c r="A497" s="17"/>
      <c r="B497" s="18"/>
      <c r="C497" s="17"/>
      <c r="D497" s="17"/>
      <c r="E497" s="23"/>
      <c r="F497" s="23"/>
      <c r="G497" s="21" t="str">
        <f t="shared" si="2"/>
        <v/>
      </c>
      <c r="H497" s="22"/>
      <c r="I497" s="22"/>
    </row>
    <row r="498">
      <c r="A498" s="17"/>
      <c r="B498" s="18"/>
      <c r="C498" s="17"/>
      <c r="D498" s="17"/>
      <c r="E498" s="23"/>
      <c r="F498" s="23"/>
      <c r="G498" s="21" t="str">
        <f t="shared" si="2"/>
        <v/>
      </c>
      <c r="H498" s="22"/>
      <c r="I498" s="22"/>
    </row>
    <row r="499">
      <c r="A499" s="17"/>
      <c r="B499" s="18"/>
      <c r="C499" s="17"/>
      <c r="D499" s="17"/>
      <c r="E499" s="23"/>
      <c r="F499" s="23"/>
      <c r="G499" s="21" t="str">
        <f t="shared" si="2"/>
        <v/>
      </c>
      <c r="H499" s="22"/>
      <c r="I499" s="22"/>
    </row>
    <row r="500">
      <c r="A500" s="17"/>
      <c r="B500" s="18"/>
      <c r="C500" s="17"/>
      <c r="D500" s="17"/>
      <c r="E500" s="23"/>
      <c r="F500" s="23"/>
      <c r="G500" s="21" t="str">
        <f t="shared" si="2"/>
        <v/>
      </c>
      <c r="H500" s="22"/>
      <c r="I500" s="22"/>
    </row>
    <row r="501">
      <c r="A501" s="17"/>
      <c r="B501" s="18"/>
      <c r="C501" s="17"/>
      <c r="D501" s="17"/>
      <c r="E501" s="23"/>
      <c r="F501" s="23"/>
      <c r="G501" s="21" t="str">
        <f t="shared" si="2"/>
        <v/>
      </c>
      <c r="H501" s="22"/>
      <c r="I501" s="22"/>
    </row>
    <row r="502">
      <c r="A502" s="17"/>
      <c r="B502" s="18"/>
      <c r="C502" s="17"/>
      <c r="D502" s="17"/>
      <c r="E502" s="23"/>
      <c r="F502" s="23"/>
      <c r="G502" s="21" t="str">
        <f t="shared" si="2"/>
        <v/>
      </c>
      <c r="H502" s="22"/>
      <c r="I502" s="22"/>
    </row>
    <row r="503">
      <c r="A503" s="17"/>
      <c r="B503" s="18"/>
      <c r="C503" s="17"/>
      <c r="D503" s="17"/>
      <c r="E503" s="23"/>
      <c r="F503" s="23"/>
      <c r="G503" s="21" t="str">
        <f t="shared" si="2"/>
        <v/>
      </c>
      <c r="H503" s="22"/>
      <c r="I503" s="22"/>
    </row>
    <row r="504">
      <c r="A504" s="17"/>
      <c r="B504" s="18"/>
      <c r="C504" s="17"/>
      <c r="D504" s="17"/>
      <c r="E504" s="23"/>
      <c r="F504" s="23"/>
      <c r="G504" s="21" t="str">
        <f t="shared" si="2"/>
        <v/>
      </c>
      <c r="H504" s="22"/>
      <c r="I504" s="22"/>
    </row>
    <row r="505">
      <c r="A505" s="17"/>
      <c r="B505" s="18"/>
      <c r="C505" s="17"/>
      <c r="D505" s="17"/>
      <c r="E505" s="23"/>
      <c r="F505" s="23"/>
      <c r="G505" s="21" t="str">
        <f t="shared" si="2"/>
        <v/>
      </c>
      <c r="H505" s="22"/>
      <c r="I505" s="22"/>
    </row>
    <row r="506">
      <c r="A506" s="17"/>
      <c r="B506" s="18"/>
      <c r="C506" s="17"/>
      <c r="D506" s="17"/>
      <c r="E506" s="23"/>
      <c r="F506" s="23"/>
      <c r="G506" s="21" t="str">
        <f t="shared" si="2"/>
        <v/>
      </c>
      <c r="H506" s="22"/>
      <c r="I506" s="22"/>
    </row>
    <row r="507">
      <c r="A507" s="17"/>
      <c r="B507" s="18"/>
      <c r="C507" s="17"/>
      <c r="D507" s="17"/>
      <c r="E507" s="23"/>
      <c r="F507" s="23"/>
      <c r="G507" s="21" t="str">
        <f t="shared" si="2"/>
        <v/>
      </c>
      <c r="H507" s="22"/>
      <c r="I507" s="22"/>
    </row>
    <row r="508">
      <c r="A508" s="17"/>
      <c r="B508" s="18"/>
      <c r="C508" s="17"/>
      <c r="D508" s="17"/>
      <c r="E508" s="23"/>
      <c r="F508" s="23"/>
      <c r="G508" s="21" t="str">
        <f t="shared" si="2"/>
        <v/>
      </c>
      <c r="H508" s="22"/>
      <c r="I508" s="22"/>
    </row>
    <row r="509">
      <c r="A509" s="17"/>
      <c r="B509" s="18"/>
      <c r="C509" s="17"/>
      <c r="D509" s="17"/>
      <c r="E509" s="23"/>
      <c r="F509" s="23"/>
      <c r="G509" s="21" t="str">
        <f t="shared" si="2"/>
        <v/>
      </c>
      <c r="H509" s="22"/>
      <c r="I509" s="22"/>
    </row>
    <row r="510">
      <c r="A510" s="17"/>
      <c r="B510" s="18"/>
      <c r="C510" s="17"/>
      <c r="D510" s="17"/>
      <c r="E510" s="23"/>
      <c r="F510" s="23"/>
      <c r="G510" s="21" t="str">
        <f t="shared" si="2"/>
        <v/>
      </c>
      <c r="H510" s="22"/>
      <c r="I510" s="22"/>
    </row>
    <row r="511">
      <c r="A511" s="17"/>
      <c r="B511" s="18"/>
      <c r="C511" s="17"/>
      <c r="D511" s="17"/>
      <c r="E511" s="23"/>
      <c r="F511" s="23"/>
      <c r="G511" s="21" t="str">
        <f t="shared" si="2"/>
        <v/>
      </c>
      <c r="H511" s="22"/>
      <c r="I511" s="22"/>
    </row>
    <row r="512">
      <c r="A512" s="17"/>
      <c r="B512" s="18"/>
      <c r="C512" s="17"/>
      <c r="D512" s="17"/>
      <c r="E512" s="23"/>
      <c r="F512" s="23"/>
      <c r="G512" s="21" t="str">
        <f t="shared" si="2"/>
        <v/>
      </c>
      <c r="H512" s="22"/>
      <c r="I512" s="22"/>
    </row>
    <row r="513">
      <c r="A513" s="17"/>
      <c r="B513" s="18"/>
      <c r="C513" s="17"/>
      <c r="D513" s="17"/>
      <c r="E513" s="23"/>
      <c r="F513" s="23"/>
      <c r="G513" s="21" t="str">
        <f t="shared" si="2"/>
        <v/>
      </c>
      <c r="H513" s="22"/>
      <c r="I513" s="22"/>
    </row>
    <row r="514">
      <c r="A514" s="17"/>
      <c r="B514" s="18"/>
      <c r="C514" s="17"/>
      <c r="D514" s="17"/>
      <c r="E514" s="23"/>
      <c r="F514" s="23"/>
      <c r="G514" s="21" t="str">
        <f t="shared" si="2"/>
        <v/>
      </c>
      <c r="H514" s="22"/>
      <c r="I514" s="22"/>
    </row>
    <row r="515">
      <c r="A515" s="17"/>
      <c r="B515" s="18"/>
      <c r="C515" s="17"/>
      <c r="D515" s="17"/>
      <c r="E515" s="23"/>
      <c r="F515" s="23"/>
      <c r="G515" s="21" t="str">
        <f t="shared" si="2"/>
        <v/>
      </c>
      <c r="H515" s="22"/>
      <c r="I515" s="22"/>
    </row>
    <row r="516">
      <c r="A516" s="17"/>
      <c r="B516" s="18"/>
      <c r="C516" s="17"/>
      <c r="D516" s="17"/>
      <c r="E516" s="23"/>
      <c r="F516" s="23"/>
      <c r="G516" s="21" t="str">
        <f t="shared" si="2"/>
        <v/>
      </c>
      <c r="H516" s="22"/>
      <c r="I516" s="22"/>
    </row>
    <row r="517">
      <c r="A517" s="17"/>
      <c r="B517" s="18"/>
      <c r="C517" s="17"/>
      <c r="D517" s="17"/>
      <c r="E517" s="23"/>
      <c r="F517" s="23"/>
      <c r="G517" s="21" t="str">
        <f t="shared" si="2"/>
        <v/>
      </c>
      <c r="H517" s="22"/>
      <c r="I517" s="22"/>
    </row>
    <row r="518">
      <c r="A518" s="17"/>
      <c r="B518" s="18"/>
      <c r="C518" s="17"/>
      <c r="D518" s="17"/>
      <c r="E518" s="23"/>
      <c r="F518" s="23"/>
      <c r="G518" s="21" t="str">
        <f t="shared" si="2"/>
        <v/>
      </c>
      <c r="H518" s="22"/>
      <c r="I518" s="22"/>
    </row>
    <row r="519">
      <c r="A519" s="17"/>
      <c r="B519" s="18"/>
      <c r="C519" s="17"/>
      <c r="D519" s="17"/>
      <c r="E519" s="23"/>
      <c r="F519" s="23"/>
      <c r="G519" s="21" t="str">
        <f t="shared" si="2"/>
        <v/>
      </c>
      <c r="H519" s="22"/>
      <c r="I519" s="22"/>
    </row>
    <row r="520">
      <c r="A520" s="17"/>
      <c r="B520" s="18"/>
      <c r="C520" s="17"/>
      <c r="D520" s="17"/>
      <c r="E520" s="23"/>
      <c r="F520" s="23"/>
      <c r="G520" s="21" t="str">
        <f t="shared" si="2"/>
        <v/>
      </c>
      <c r="H520" s="22"/>
      <c r="I520" s="22"/>
    </row>
    <row r="521">
      <c r="A521" s="17"/>
      <c r="B521" s="18"/>
      <c r="C521" s="17"/>
      <c r="D521" s="17"/>
      <c r="E521" s="23"/>
      <c r="F521" s="23"/>
      <c r="G521" s="21" t="str">
        <f t="shared" si="2"/>
        <v/>
      </c>
      <c r="H521" s="22"/>
      <c r="I521" s="22"/>
    </row>
    <row r="522">
      <c r="A522" s="17"/>
      <c r="B522" s="18"/>
      <c r="C522" s="17"/>
      <c r="D522" s="17"/>
      <c r="E522" s="23"/>
      <c r="F522" s="23"/>
      <c r="G522" s="21" t="str">
        <f t="shared" si="2"/>
        <v/>
      </c>
      <c r="H522" s="22"/>
      <c r="I522" s="22"/>
    </row>
    <row r="523">
      <c r="A523" s="17"/>
      <c r="B523" s="18"/>
      <c r="C523" s="17"/>
      <c r="D523" s="17"/>
      <c r="E523" s="23"/>
      <c r="F523" s="23"/>
      <c r="G523" s="21" t="str">
        <f t="shared" si="2"/>
        <v/>
      </c>
      <c r="H523" s="22"/>
      <c r="I523" s="22"/>
    </row>
    <row r="524">
      <c r="A524" s="17"/>
      <c r="B524" s="18"/>
      <c r="C524" s="17"/>
      <c r="D524" s="17"/>
      <c r="E524" s="23"/>
      <c r="F524" s="23"/>
      <c r="G524" s="21" t="str">
        <f t="shared" si="2"/>
        <v/>
      </c>
      <c r="H524" s="22"/>
      <c r="I524" s="22"/>
    </row>
    <row r="525">
      <c r="A525" s="17"/>
      <c r="B525" s="18"/>
      <c r="C525" s="17"/>
      <c r="D525" s="17"/>
      <c r="E525" s="23"/>
      <c r="F525" s="23"/>
      <c r="G525" s="21" t="str">
        <f t="shared" si="2"/>
        <v/>
      </c>
      <c r="H525" s="22"/>
      <c r="I525" s="22"/>
    </row>
    <row r="526">
      <c r="A526" s="17"/>
      <c r="B526" s="18"/>
      <c r="C526" s="17"/>
      <c r="D526" s="17"/>
      <c r="E526" s="23"/>
      <c r="F526" s="23"/>
      <c r="G526" s="21" t="str">
        <f t="shared" si="2"/>
        <v/>
      </c>
      <c r="H526" s="22"/>
      <c r="I526" s="22"/>
    </row>
    <row r="527">
      <c r="A527" s="17"/>
      <c r="B527" s="18"/>
      <c r="C527" s="17"/>
      <c r="D527" s="17"/>
      <c r="E527" s="23"/>
      <c r="F527" s="23"/>
      <c r="G527" s="21" t="str">
        <f t="shared" si="2"/>
        <v/>
      </c>
      <c r="H527" s="22"/>
      <c r="I527" s="22"/>
    </row>
    <row r="528">
      <c r="A528" s="17"/>
      <c r="B528" s="18"/>
      <c r="C528" s="17"/>
      <c r="D528" s="17"/>
      <c r="E528" s="23"/>
      <c r="F528" s="23"/>
      <c r="G528" s="21" t="str">
        <f t="shared" si="2"/>
        <v/>
      </c>
      <c r="H528" s="22"/>
      <c r="I528" s="22"/>
    </row>
    <row r="529">
      <c r="A529" s="17"/>
      <c r="B529" s="18"/>
      <c r="C529" s="17"/>
      <c r="D529" s="17"/>
      <c r="E529" s="23"/>
      <c r="F529" s="23"/>
      <c r="G529" s="21" t="str">
        <f t="shared" si="2"/>
        <v/>
      </c>
      <c r="H529" s="22"/>
      <c r="I529" s="22"/>
    </row>
    <row r="530">
      <c r="A530" s="17"/>
      <c r="B530" s="18"/>
      <c r="C530" s="17"/>
      <c r="D530" s="17"/>
      <c r="E530" s="23"/>
      <c r="F530" s="23"/>
      <c r="G530" s="21" t="str">
        <f t="shared" si="2"/>
        <v/>
      </c>
      <c r="H530" s="22"/>
      <c r="I530" s="22"/>
    </row>
    <row r="531">
      <c r="A531" s="17"/>
      <c r="B531" s="18"/>
      <c r="C531" s="17"/>
      <c r="D531" s="17"/>
      <c r="E531" s="23"/>
      <c r="F531" s="23"/>
      <c r="G531" s="21" t="str">
        <f t="shared" si="2"/>
        <v/>
      </c>
      <c r="H531" s="22"/>
      <c r="I531" s="22"/>
    </row>
    <row r="532">
      <c r="A532" s="17"/>
      <c r="B532" s="18"/>
      <c r="C532" s="17"/>
      <c r="D532" s="17"/>
      <c r="E532" s="23"/>
      <c r="F532" s="23"/>
      <c r="G532" s="21" t="str">
        <f t="shared" si="2"/>
        <v/>
      </c>
      <c r="H532" s="22"/>
      <c r="I532" s="22"/>
    </row>
    <row r="533">
      <c r="A533" s="17"/>
      <c r="B533" s="18"/>
      <c r="C533" s="17"/>
      <c r="D533" s="17"/>
      <c r="E533" s="23"/>
      <c r="F533" s="23"/>
      <c r="G533" s="21" t="str">
        <f t="shared" si="2"/>
        <v/>
      </c>
      <c r="H533" s="22"/>
      <c r="I533" s="22"/>
    </row>
    <row r="534">
      <c r="A534" s="17"/>
      <c r="B534" s="18"/>
      <c r="C534" s="17"/>
      <c r="D534" s="17"/>
      <c r="E534" s="23"/>
      <c r="F534" s="23"/>
      <c r="G534" s="21" t="str">
        <f t="shared" si="2"/>
        <v/>
      </c>
      <c r="H534" s="22"/>
      <c r="I534" s="22"/>
    </row>
    <row r="535">
      <c r="A535" s="17"/>
      <c r="B535" s="18"/>
      <c r="C535" s="17"/>
      <c r="D535" s="17"/>
      <c r="E535" s="23"/>
      <c r="F535" s="23"/>
      <c r="G535" s="21" t="str">
        <f t="shared" si="2"/>
        <v/>
      </c>
      <c r="H535" s="22"/>
      <c r="I535" s="22"/>
    </row>
    <row r="536">
      <c r="A536" s="17"/>
      <c r="B536" s="18"/>
      <c r="C536" s="17"/>
      <c r="D536" s="17"/>
      <c r="E536" s="23"/>
      <c r="F536" s="23"/>
      <c r="G536" s="21" t="str">
        <f t="shared" si="2"/>
        <v/>
      </c>
      <c r="H536" s="22"/>
      <c r="I536" s="22"/>
    </row>
    <row r="537">
      <c r="A537" s="17"/>
      <c r="B537" s="18"/>
      <c r="C537" s="17"/>
      <c r="D537" s="17"/>
      <c r="E537" s="23"/>
      <c r="F537" s="23"/>
      <c r="G537" s="21" t="str">
        <f t="shared" si="2"/>
        <v/>
      </c>
      <c r="H537" s="22"/>
      <c r="I537" s="22"/>
    </row>
    <row r="538">
      <c r="A538" s="17"/>
      <c r="B538" s="18"/>
      <c r="C538" s="17"/>
      <c r="D538" s="17"/>
      <c r="E538" s="23"/>
      <c r="F538" s="23"/>
      <c r="G538" s="21" t="str">
        <f t="shared" si="2"/>
        <v/>
      </c>
      <c r="H538" s="22"/>
      <c r="I538" s="22"/>
    </row>
    <row r="539">
      <c r="A539" s="17"/>
      <c r="B539" s="18"/>
      <c r="C539" s="17"/>
      <c r="D539" s="17"/>
      <c r="E539" s="23"/>
      <c r="F539" s="23"/>
      <c r="G539" s="21" t="str">
        <f t="shared" si="2"/>
        <v/>
      </c>
      <c r="H539" s="22"/>
      <c r="I539" s="22"/>
    </row>
    <row r="540">
      <c r="A540" s="17"/>
      <c r="B540" s="18"/>
      <c r="C540" s="17"/>
      <c r="D540" s="17"/>
      <c r="E540" s="23"/>
      <c r="F540" s="23"/>
      <c r="G540" s="21" t="str">
        <f t="shared" si="2"/>
        <v/>
      </c>
      <c r="H540" s="22"/>
      <c r="I540" s="22"/>
    </row>
    <row r="541">
      <c r="A541" s="17"/>
      <c r="B541" s="18"/>
      <c r="C541" s="17"/>
      <c r="D541" s="17"/>
      <c r="E541" s="23"/>
      <c r="F541" s="23"/>
      <c r="G541" s="21" t="str">
        <f t="shared" si="2"/>
        <v/>
      </c>
      <c r="H541" s="22"/>
      <c r="I541" s="22"/>
    </row>
    <row r="542">
      <c r="A542" s="17"/>
      <c r="B542" s="18"/>
      <c r="C542" s="17"/>
      <c r="D542" s="17"/>
      <c r="E542" s="23"/>
      <c r="F542" s="23"/>
      <c r="G542" s="21" t="str">
        <f t="shared" si="2"/>
        <v/>
      </c>
      <c r="H542" s="22"/>
      <c r="I542" s="22"/>
    </row>
    <row r="543">
      <c r="A543" s="17"/>
      <c r="B543" s="18"/>
      <c r="C543" s="17"/>
      <c r="D543" s="17"/>
      <c r="E543" s="23"/>
      <c r="F543" s="23"/>
      <c r="G543" s="21" t="str">
        <f t="shared" si="2"/>
        <v/>
      </c>
      <c r="H543" s="22"/>
      <c r="I543" s="22"/>
    </row>
    <row r="544">
      <c r="A544" s="17"/>
      <c r="B544" s="18"/>
      <c r="C544" s="17"/>
      <c r="D544" s="17"/>
      <c r="E544" s="23"/>
      <c r="F544" s="23"/>
      <c r="G544" s="21" t="str">
        <f t="shared" si="2"/>
        <v/>
      </c>
      <c r="H544" s="22"/>
      <c r="I544" s="22"/>
    </row>
    <row r="545">
      <c r="A545" s="17"/>
      <c r="B545" s="18"/>
      <c r="C545" s="17"/>
      <c r="D545" s="17"/>
      <c r="E545" s="23"/>
      <c r="F545" s="23"/>
      <c r="G545" s="21" t="str">
        <f t="shared" si="2"/>
        <v/>
      </c>
      <c r="H545" s="22"/>
      <c r="I545" s="22"/>
    </row>
    <row r="546">
      <c r="A546" s="17"/>
      <c r="B546" s="18"/>
      <c r="C546" s="17"/>
      <c r="D546" s="17"/>
      <c r="E546" s="23"/>
      <c r="F546" s="23"/>
      <c r="G546" s="21" t="str">
        <f t="shared" si="2"/>
        <v/>
      </c>
      <c r="H546" s="22"/>
      <c r="I546" s="22"/>
    </row>
    <row r="547">
      <c r="A547" s="17"/>
      <c r="B547" s="18"/>
      <c r="C547" s="17"/>
      <c r="D547" s="17"/>
      <c r="E547" s="23"/>
      <c r="F547" s="23"/>
      <c r="G547" s="21" t="str">
        <f t="shared" si="2"/>
        <v/>
      </c>
      <c r="H547" s="22"/>
      <c r="I547" s="22"/>
    </row>
    <row r="548">
      <c r="A548" s="17"/>
      <c r="B548" s="18"/>
      <c r="C548" s="17"/>
      <c r="D548" s="17"/>
      <c r="E548" s="23"/>
      <c r="F548" s="23"/>
      <c r="G548" s="21" t="str">
        <f t="shared" si="2"/>
        <v/>
      </c>
      <c r="H548" s="22"/>
      <c r="I548" s="22"/>
    </row>
    <row r="549">
      <c r="A549" s="17"/>
      <c r="B549" s="18"/>
      <c r="C549" s="17"/>
      <c r="D549" s="17"/>
      <c r="E549" s="23"/>
      <c r="F549" s="23"/>
      <c r="G549" s="21" t="str">
        <f t="shared" si="2"/>
        <v/>
      </c>
      <c r="H549" s="22"/>
      <c r="I549" s="22"/>
    </row>
    <row r="550">
      <c r="A550" s="17"/>
      <c r="B550" s="18"/>
      <c r="C550" s="17"/>
      <c r="D550" s="17"/>
      <c r="E550" s="23"/>
      <c r="F550" s="23"/>
      <c r="G550" s="21" t="str">
        <f t="shared" si="2"/>
        <v/>
      </c>
      <c r="H550" s="22"/>
      <c r="I550" s="22"/>
    </row>
    <row r="551">
      <c r="A551" s="17"/>
      <c r="B551" s="18"/>
      <c r="C551" s="17"/>
      <c r="D551" s="17"/>
      <c r="E551" s="23"/>
      <c r="F551" s="23"/>
      <c r="G551" s="21" t="str">
        <f t="shared" si="2"/>
        <v/>
      </c>
      <c r="H551" s="22"/>
      <c r="I551" s="22"/>
    </row>
    <row r="552">
      <c r="A552" s="17"/>
      <c r="B552" s="18"/>
      <c r="C552" s="17"/>
      <c r="D552" s="17"/>
      <c r="E552" s="23"/>
      <c r="F552" s="23"/>
      <c r="G552" s="21" t="str">
        <f t="shared" si="2"/>
        <v/>
      </c>
      <c r="H552" s="22"/>
      <c r="I552" s="22"/>
    </row>
    <row r="553">
      <c r="A553" s="17"/>
      <c r="B553" s="18"/>
      <c r="C553" s="17"/>
      <c r="D553" s="17"/>
      <c r="E553" s="23"/>
      <c r="F553" s="23"/>
      <c r="G553" s="21" t="str">
        <f t="shared" si="2"/>
        <v/>
      </c>
      <c r="H553" s="22"/>
      <c r="I553" s="22"/>
    </row>
    <row r="554">
      <c r="A554" s="17"/>
      <c r="B554" s="18"/>
      <c r="C554" s="17"/>
      <c r="D554" s="17"/>
      <c r="E554" s="23"/>
      <c r="F554" s="23"/>
      <c r="G554" s="21" t="str">
        <f t="shared" si="2"/>
        <v/>
      </c>
      <c r="H554" s="22"/>
      <c r="I554" s="22"/>
    </row>
    <row r="555">
      <c r="A555" s="17"/>
      <c r="B555" s="18"/>
      <c r="C555" s="17"/>
      <c r="D555" s="17"/>
      <c r="E555" s="23"/>
      <c r="F555" s="23"/>
      <c r="G555" s="21" t="str">
        <f t="shared" si="2"/>
        <v/>
      </c>
      <c r="H555" s="22"/>
      <c r="I555" s="22"/>
    </row>
    <row r="556">
      <c r="A556" s="17"/>
      <c r="B556" s="18"/>
      <c r="C556" s="17"/>
      <c r="D556" s="17"/>
      <c r="E556" s="23"/>
      <c r="F556" s="23"/>
      <c r="G556" s="21" t="str">
        <f t="shared" si="2"/>
        <v/>
      </c>
      <c r="H556" s="22"/>
      <c r="I556" s="22"/>
    </row>
    <row r="557">
      <c r="A557" s="17"/>
      <c r="B557" s="18"/>
      <c r="C557" s="17"/>
      <c r="D557" s="17"/>
      <c r="E557" s="23"/>
      <c r="F557" s="23"/>
      <c r="G557" s="21" t="str">
        <f t="shared" si="2"/>
        <v/>
      </c>
      <c r="H557" s="22"/>
      <c r="I557" s="22"/>
    </row>
    <row r="558">
      <c r="A558" s="17"/>
      <c r="B558" s="18"/>
      <c r="C558" s="17"/>
      <c r="D558" s="17"/>
      <c r="E558" s="23"/>
      <c r="F558" s="23"/>
      <c r="G558" s="21" t="str">
        <f t="shared" si="2"/>
        <v/>
      </c>
      <c r="H558" s="22"/>
      <c r="I558" s="22"/>
    </row>
    <row r="559">
      <c r="A559" s="17"/>
      <c r="B559" s="18"/>
      <c r="C559" s="17"/>
      <c r="D559" s="17"/>
      <c r="E559" s="23"/>
      <c r="F559" s="23"/>
      <c r="G559" s="21" t="str">
        <f t="shared" si="2"/>
        <v/>
      </c>
      <c r="H559" s="22"/>
      <c r="I559" s="22"/>
    </row>
    <row r="560">
      <c r="A560" s="17"/>
      <c r="B560" s="18"/>
      <c r="C560" s="17"/>
      <c r="D560" s="17"/>
      <c r="E560" s="23"/>
      <c r="F560" s="23"/>
      <c r="G560" s="21" t="str">
        <f t="shared" si="2"/>
        <v/>
      </c>
      <c r="H560" s="22"/>
      <c r="I560" s="22"/>
    </row>
    <row r="561">
      <c r="A561" s="17"/>
      <c r="B561" s="18"/>
      <c r="C561" s="17"/>
      <c r="D561" s="17"/>
      <c r="E561" s="23"/>
      <c r="F561" s="23"/>
      <c r="G561" s="21" t="str">
        <f t="shared" si="2"/>
        <v/>
      </c>
      <c r="H561" s="22"/>
      <c r="I561" s="22"/>
    </row>
    <row r="562">
      <c r="A562" s="17"/>
      <c r="B562" s="18"/>
      <c r="C562" s="17"/>
      <c r="D562" s="17"/>
      <c r="E562" s="23"/>
      <c r="F562" s="23"/>
      <c r="G562" s="21" t="str">
        <f t="shared" si="2"/>
        <v/>
      </c>
      <c r="H562" s="22"/>
      <c r="I562" s="22"/>
    </row>
    <row r="563">
      <c r="A563" s="17"/>
      <c r="B563" s="18"/>
      <c r="C563" s="17"/>
      <c r="D563" s="17"/>
      <c r="E563" s="23"/>
      <c r="F563" s="23"/>
      <c r="G563" s="21" t="str">
        <f t="shared" si="2"/>
        <v/>
      </c>
      <c r="H563" s="22"/>
      <c r="I563" s="22"/>
    </row>
    <row r="564">
      <c r="A564" s="17"/>
      <c r="B564" s="18"/>
      <c r="C564" s="17"/>
      <c r="D564" s="17"/>
      <c r="E564" s="23"/>
      <c r="F564" s="23"/>
      <c r="G564" s="21" t="str">
        <f t="shared" si="2"/>
        <v/>
      </c>
      <c r="H564" s="22"/>
      <c r="I564" s="22"/>
    </row>
    <row r="565">
      <c r="A565" s="17"/>
      <c r="B565" s="18"/>
      <c r="C565" s="17"/>
      <c r="D565" s="17"/>
      <c r="E565" s="23"/>
      <c r="F565" s="23"/>
      <c r="G565" s="21" t="str">
        <f t="shared" si="2"/>
        <v/>
      </c>
      <c r="H565" s="22"/>
      <c r="I565" s="22"/>
    </row>
    <row r="566">
      <c r="A566" s="17"/>
      <c r="B566" s="18"/>
      <c r="C566" s="17"/>
      <c r="D566" s="17"/>
      <c r="E566" s="23"/>
      <c r="F566" s="23"/>
      <c r="G566" s="21" t="str">
        <f t="shared" si="2"/>
        <v/>
      </c>
      <c r="H566" s="22"/>
      <c r="I566" s="22"/>
    </row>
    <row r="567">
      <c r="A567" s="17"/>
      <c r="B567" s="18"/>
      <c r="C567" s="17"/>
      <c r="D567" s="17"/>
      <c r="E567" s="23"/>
      <c r="F567" s="23"/>
      <c r="G567" s="21" t="str">
        <f t="shared" si="2"/>
        <v/>
      </c>
      <c r="H567" s="22"/>
      <c r="I567" s="22"/>
    </row>
    <row r="568">
      <c r="A568" s="17"/>
      <c r="B568" s="18"/>
      <c r="C568" s="17"/>
      <c r="D568" s="17"/>
      <c r="E568" s="23"/>
      <c r="F568" s="23"/>
      <c r="G568" s="21" t="str">
        <f t="shared" si="2"/>
        <v/>
      </c>
      <c r="H568" s="22"/>
      <c r="I568" s="22"/>
    </row>
    <row r="569">
      <c r="A569" s="17"/>
      <c r="B569" s="18"/>
      <c r="C569" s="17"/>
      <c r="D569" s="17"/>
      <c r="E569" s="23"/>
      <c r="F569" s="23"/>
      <c r="G569" s="21" t="str">
        <f t="shared" si="2"/>
        <v/>
      </c>
      <c r="H569" s="22"/>
      <c r="I569" s="22"/>
    </row>
    <row r="570">
      <c r="A570" s="17"/>
      <c r="B570" s="18"/>
      <c r="C570" s="17"/>
      <c r="D570" s="17"/>
      <c r="E570" s="23"/>
      <c r="F570" s="23"/>
      <c r="G570" s="21" t="str">
        <f t="shared" si="2"/>
        <v/>
      </c>
      <c r="H570" s="22"/>
      <c r="I570" s="22"/>
    </row>
    <row r="571">
      <c r="A571" s="17"/>
      <c r="B571" s="18"/>
      <c r="C571" s="17"/>
      <c r="D571" s="17"/>
      <c r="E571" s="23"/>
      <c r="F571" s="23"/>
      <c r="G571" s="21" t="str">
        <f t="shared" si="2"/>
        <v/>
      </c>
      <c r="H571" s="22"/>
      <c r="I571" s="22"/>
    </row>
    <row r="572">
      <c r="A572" s="17"/>
      <c r="B572" s="18"/>
      <c r="C572" s="17"/>
      <c r="D572" s="17"/>
      <c r="E572" s="23"/>
      <c r="F572" s="23"/>
      <c r="G572" s="21" t="str">
        <f t="shared" si="2"/>
        <v/>
      </c>
      <c r="H572" s="22"/>
      <c r="I572" s="22"/>
    </row>
    <row r="573">
      <c r="A573" s="17"/>
      <c r="B573" s="18"/>
      <c r="C573" s="17"/>
      <c r="D573" s="17"/>
      <c r="E573" s="23"/>
      <c r="F573" s="23"/>
      <c r="G573" s="21" t="str">
        <f t="shared" si="2"/>
        <v/>
      </c>
      <c r="H573" s="22"/>
      <c r="I573" s="22"/>
    </row>
    <row r="574">
      <c r="A574" s="17"/>
      <c r="B574" s="18"/>
      <c r="C574" s="17"/>
      <c r="D574" s="17"/>
      <c r="E574" s="23"/>
      <c r="F574" s="23"/>
      <c r="G574" s="21" t="str">
        <f t="shared" si="2"/>
        <v/>
      </c>
      <c r="H574" s="22"/>
      <c r="I574" s="22"/>
    </row>
    <row r="575">
      <c r="A575" s="17"/>
      <c r="B575" s="18"/>
      <c r="C575" s="17"/>
      <c r="D575" s="17"/>
      <c r="E575" s="23"/>
      <c r="F575" s="23"/>
      <c r="G575" s="21" t="str">
        <f t="shared" si="2"/>
        <v/>
      </c>
      <c r="H575" s="22"/>
      <c r="I575" s="22"/>
    </row>
    <row r="576">
      <c r="A576" s="17"/>
      <c r="B576" s="18"/>
      <c r="C576" s="17"/>
      <c r="D576" s="17"/>
      <c r="E576" s="23"/>
      <c r="F576" s="23"/>
      <c r="G576" s="21" t="str">
        <f t="shared" si="2"/>
        <v/>
      </c>
      <c r="H576" s="22"/>
      <c r="I576" s="22"/>
    </row>
    <row r="577">
      <c r="A577" s="17"/>
      <c r="B577" s="18"/>
      <c r="C577" s="17"/>
      <c r="D577" s="17"/>
      <c r="E577" s="23"/>
      <c r="F577" s="23"/>
      <c r="G577" s="21" t="str">
        <f t="shared" si="2"/>
        <v/>
      </c>
      <c r="H577" s="22"/>
      <c r="I577" s="22"/>
    </row>
    <row r="578">
      <c r="A578" s="17"/>
      <c r="B578" s="18"/>
      <c r="C578" s="17"/>
      <c r="D578" s="17"/>
      <c r="E578" s="23"/>
      <c r="F578" s="23"/>
      <c r="G578" s="21" t="str">
        <f t="shared" si="2"/>
        <v/>
      </c>
      <c r="H578" s="22"/>
      <c r="I578" s="22"/>
    </row>
    <row r="579">
      <c r="A579" s="17"/>
      <c r="B579" s="18"/>
      <c r="C579" s="17"/>
      <c r="D579" s="17"/>
      <c r="E579" s="23"/>
      <c r="F579" s="23"/>
      <c r="G579" s="21" t="str">
        <f t="shared" si="2"/>
        <v/>
      </c>
      <c r="H579" s="22"/>
      <c r="I579" s="22"/>
    </row>
    <row r="580">
      <c r="A580" s="17"/>
      <c r="B580" s="18"/>
      <c r="C580" s="17"/>
      <c r="D580" s="17"/>
      <c r="E580" s="23"/>
      <c r="F580" s="23"/>
      <c r="G580" s="21" t="str">
        <f t="shared" si="2"/>
        <v/>
      </c>
      <c r="H580" s="22"/>
      <c r="I580" s="22"/>
    </row>
    <row r="581">
      <c r="A581" s="17"/>
      <c r="B581" s="18"/>
      <c r="C581" s="17"/>
      <c r="D581" s="17"/>
      <c r="E581" s="23"/>
      <c r="F581" s="23"/>
      <c r="G581" s="21" t="str">
        <f t="shared" si="2"/>
        <v/>
      </c>
      <c r="H581" s="22"/>
      <c r="I581" s="22"/>
    </row>
    <row r="582">
      <c r="A582" s="17"/>
      <c r="B582" s="18"/>
      <c r="C582" s="17"/>
      <c r="D582" s="17"/>
      <c r="E582" s="23"/>
      <c r="F582" s="23"/>
      <c r="G582" s="21" t="str">
        <f t="shared" si="2"/>
        <v/>
      </c>
      <c r="H582" s="22"/>
      <c r="I582" s="22"/>
    </row>
    <row r="583">
      <c r="A583" s="17"/>
      <c r="B583" s="18"/>
      <c r="C583" s="17"/>
      <c r="D583" s="17"/>
      <c r="E583" s="23"/>
      <c r="F583" s="23"/>
      <c r="G583" s="21" t="str">
        <f t="shared" si="2"/>
        <v/>
      </c>
      <c r="H583" s="22"/>
      <c r="I583" s="22"/>
    </row>
    <row r="584">
      <c r="A584" s="17"/>
      <c r="B584" s="18"/>
      <c r="C584" s="17"/>
      <c r="D584" s="17"/>
      <c r="E584" s="23"/>
      <c r="F584" s="23"/>
      <c r="G584" s="21" t="str">
        <f t="shared" si="2"/>
        <v/>
      </c>
      <c r="H584" s="22"/>
      <c r="I584" s="22"/>
    </row>
    <row r="585">
      <c r="A585" s="17"/>
      <c r="B585" s="18"/>
      <c r="C585" s="17"/>
      <c r="D585" s="17"/>
      <c r="E585" s="23"/>
      <c r="F585" s="23"/>
      <c r="G585" s="21" t="str">
        <f t="shared" si="2"/>
        <v/>
      </c>
      <c r="H585" s="22"/>
      <c r="I585" s="22"/>
    </row>
    <row r="586">
      <c r="A586" s="17"/>
      <c r="B586" s="18"/>
      <c r="C586" s="17"/>
      <c r="D586" s="17"/>
      <c r="E586" s="23"/>
      <c r="F586" s="23"/>
      <c r="G586" s="21" t="str">
        <f t="shared" si="2"/>
        <v/>
      </c>
      <c r="H586" s="22"/>
      <c r="I586" s="22"/>
    </row>
    <row r="587">
      <c r="A587" s="17"/>
      <c r="B587" s="18"/>
      <c r="C587" s="17"/>
      <c r="D587" s="17"/>
      <c r="E587" s="23"/>
      <c r="F587" s="23"/>
      <c r="G587" s="21" t="str">
        <f t="shared" si="2"/>
        <v/>
      </c>
      <c r="H587" s="22"/>
      <c r="I587" s="22"/>
    </row>
    <row r="588">
      <c r="A588" s="17"/>
      <c r="B588" s="18"/>
      <c r="C588" s="17"/>
      <c r="D588" s="17"/>
      <c r="E588" s="23"/>
      <c r="F588" s="23"/>
      <c r="G588" s="21" t="str">
        <f t="shared" si="2"/>
        <v/>
      </c>
      <c r="H588" s="22"/>
      <c r="I588" s="22"/>
    </row>
    <row r="589">
      <c r="A589" s="17"/>
      <c r="B589" s="18"/>
      <c r="C589" s="17"/>
      <c r="D589" s="17"/>
      <c r="E589" s="23"/>
      <c r="F589" s="23"/>
      <c r="G589" s="21" t="str">
        <f t="shared" si="2"/>
        <v/>
      </c>
      <c r="H589" s="22"/>
      <c r="I589" s="22"/>
    </row>
    <row r="590">
      <c r="A590" s="17"/>
      <c r="B590" s="18"/>
      <c r="C590" s="17"/>
      <c r="D590" s="17"/>
      <c r="E590" s="23"/>
      <c r="F590" s="23"/>
      <c r="G590" s="21" t="str">
        <f t="shared" si="2"/>
        <v/>
      </c>
      <c r="H590" s="22"/>
      <c r="I590" s="22"/>
    </row>
    <row r="591">
      <c r="A591" s="17"/>
      <c r="B591" s="18"/>
      <c r="C591" s="17"/>
      <c r="D591" s="17"/>
      <c r="E591" s="23"/>
      <c r="F591" s="23"/>
      <c r="G591" s="21" t="str">
        <f t="shared" si="2"/>
        <v/>
      </c>
      <c r="H591" s="22"/>
      <c r="I591" s="22"/>
    </row>
    <row r="592">
      <c r="A592" s="17"/>
      <c r="B592" s="18"/>
      <c r="C592" s="17"/>
      <c r="D592" s="17"/>
      <c r="E592" s="23"/>
      <c r="F592" s="23"/>
      <c r="G592" s="21" t="str">
        <f t="shared" si="2"/>
        <v/>
      </c>
      <c r="H592" s="22"/>
      <c r="I592" s="22"/>
    </row>
    <row r="593">
      <c r="A593" s="17"/>
      <c r="B593" s="18"/>
      <c r="C593" s="17"/>
      <c r="D593" s="17"/>
      <c r="E593" s="23"/>
      <c r="F593" s="23"/>
      <c r="G593" s="21" t="str">
        <f t="shared" si="2"/>
        <v/>
      </c>
      <c r="H593" s="22"/>
      <c r="I593" s="22"/>
    </row>
    <row r="594">
      <c r="A594" s="17"/>
      <c r="B594" s="18"/>
      <c r="C594" s="17"/>
      <c r="D594" s="17"/>
      <c r="E594" s="23"/>
      <c r="F594" s="23"/>
      <c r="G594" s="21" t="str">
        <f t="shared" si="2"/>
        <v/>
      </c>
      <c r="H594" s="22"/>
      <c r="I594" s="22"/>
    </row>
    <row r="595">
      <c r="A595" s="17"/>
      <c r="B595" s="18"/>
      <c r="C595" s="17"/>
      <c r="D595" s="17"/>
      <c r="E595" s="23"/>
      <c r="F595" s="23"/>
      <c r="G595" s="21" t="str">
        <f t="shared" si="2"/>
        <v/>
      </c>
      <c r="H595" s="22"/>
      <c r="I595" s="22"/>
    </row>
    <row r="596">
      <c r="A596" s="17"/>
      <c r="B596" s="18"/>
      <c r="C596" s="17"/>
      <c r="D596" s="17"/>
      <c r="E596" s="23"/>
      <c r="F596" s="23"/>
      <c r="G596" s="21" t="str">
        <f t="shared" si="2"/>
        <v/>
      </c>
      <c r="H596" s="22"/>
      <c r="I596" s="22"/>
    </row>
    <row r="597">
      <c r="A597" s="17"/>
      <c r="B597" s="18"/>
      <c r="C597" s="17"/>
      <c r="D597" s="17"/>
      <c r="E597" s="23"/>
      <c r="F597" s="23"/>
      <c r="G597" s="21" t="str">
        <f t="shared" si="2"/>
        <v/>
      </c>
      <c r="H597" s="22"/>
      <c r="I597" s="22"/>
    </row>
    <row r="598">
      <c r="A598" s="17"/>
      <c r="B598" s="18"/>
      <c r="C598" s="17"/>
      <c r="D598" s="17"/>
      <c r="E598" s="23"/>
      <c r="F598" s="23"/>
      <c r="G598" s="21" t="str">
        <f t="shared" si="2"/>
        <v/>
      </c>
      <c r="H598" s="22"/>
      <c r="I598" s="22"/>
    </row>
    <row r="599">
      <c r="A599" s="17"/>
      <c r="B599" s="18"/>
      <c r="C599" s="17"/>
      <c r="D599" s="17"/>
      <c r="E599" s="23"/>
      <c r="F599" s="23"/>
      <c r="G599" s="21" t="str">
        <f t="shared" si="2"/>
        <v/>
      </c>
      <c r="H599" s="22"/>
      <c r="I599" s="22"/>
    </row>
    <row r="600">
      <c r="A600" s="17"/>
      <c r="B600" s="18"/>
      <c r="C600" s="17"/>
      <c r="D600" s="17"/>
      <c r="E600" s="23"/>
      <c r="F600" s="23"/>
      <c r="G600" s="21" t="str">
        <f t="shared" si="2"/>
        <v/>
      </c>
      <c r="H600" s="22"/>
      <c r="I600" s="22"/>
    </row>
    <row r="601">
      <c r="A601" s="17"/>
      <c r="B601" s="18"/>
      <c r="C601" s="17"/>
      <c r="D601" s="17"/>
      <c r="E601" s="23"/>
      <c r="F601" s="23"/>
      <c r="G601" s="21" t="str">
        <f t="shared" si="2"/>
        <v/>
      </c>
      <c r="H601" s="22"/>
      <c r="I601" s="22"/>
    </row>
    <row r="602">
      <c r="A602" s="17"/>
      <c r="B602" s="18"/>
      <c r="C602" s="17"/>
      <c r="D602" s="17"/>
      <c r="E602" s="23"/>
      <c r="F602" s="23"/>
      <c r="G602" s="21" t="str">
        <f t="shared" si="2"/>
        <v/>
      </c>
      <c r="H602" s="22"/>
      <c r="I602" s="22"/>
    </row>
    <row r="603">
      <c r="A603" s="17"/>
      <c r="B603" s="18"/>
      <c r="C603" s="17"/>
      <c r="D603" s="17"/>
      <c r="E603" s="23"/>
      <c r="F603" s="23"/>
      <c r="G603" s="21" t="str">
        <f t="shared" si="2"/>
        <v/>
      </c>
      <c r="H603" s="22"/>
      <c r="I603" s="22"/>
    </row>
    <row r="604">
      <c r="A604" s="17"/>
      <c r="B604" s="18"/>
      <c r="C604" s="17"/>
      <c r="D604" s="17"/>
      <c r="E604" s="23"/>
      <c r="F604" s="23"/>
      <c r="G604" s="21" t="str">
        <f t="shared" si="2"/>
        <v/>
      </c>
      <c r="H604" s="22"/>
      <c r="I604" s="22"/>
    </row>
    <row r="605">
      <c r="A605" s="17"/>
      <c r="B605" s="18"/>
      <c r="C605" s="17"/>
      <c r="D605" s="17"/>
      <c r="E605" s="23"/>
      <c r="F605" s="23"/>
      <c r="G605" s="21" t="str">
        <f t="shared" si="2"/>
        <v/>
      </c>
      <c r="H605" s="22"/>
      <c r="I605" s="22"/>
    </row>
    <row r="606">
      <c r="A606" s="17"/>
      <c r="B606" s="18"/>
      <c r="C606" s="17"/>
      <c r="D606" s="17"/>
      <c r="E606" s="23"/>
      <c r="F606" s="23"/>
      <c r="G606" s="21" t="str">
        <f t="shared" si="2"/>
        <v/>
      </c>
      <c r="H606" s="22"/>
      <c r="I606" s="22"/>
    </row>
    <row r="607">
      <c r="A607" s="17"/>
      <c r="B607" s="18"/>
      <c r="C607" s="17"/>
      <c r="D607" s="17"/>
      <c r="E607" s="23"/>
      <c r="F607" s="23"/>
      <c r="G607" s="21" t="str">
        <f t="shared" si="2"/>
        <v/>
      </c>
      <c r="H607" s="22"/>
      <c r="I607" s="22"/>
    </row>
    <row r="608">
      <c r="A608" s="17"/>
      <c r="B608" s="18"/>
      <c r="C608" s="17"/>
      <c r="D608" s="17"/>
      <c r="E608" s="23"/>
      <c r="F608" s="23"/>
      <c r="G608" s="21" t="str">
        <f t="shared" si="2"/>
        <v/>
      </c>
      <c r="H608" s="22"/>
      <c r="I608" s="22"/>
    </row>
    <row r="609">
      <c r="A609" s="17"/>
      <c r="B609" s="18"/>
      <c r="C609" s="17"/>
      <c r="D609" s="17"/>
      <c r="E609" s="23"/>
      <c r="F609" s="23"/>
      <c r="G609" s="21" t="str">
        <f t="shared" si="2"/>
        <v/>
      </c>
      <c r="H609" s="22"/>
      <c r="I609" s="22"/>
    </row>
    <row r="610">
      <c r="A610" s="17"/>
      <c r="B610" s="18"/>
      <c r="C610" s="17"/>
      <c r="D610" s="17"/>
      <c r="E610" s="23"/>
      <c r="F610" s="23"/>
      <c r="G610" s="21" t="str">
        <f t="shared" si="2"/>
        <v/>
      </c>
      <c r="H610" s="22"/>
      <c r="I610" s="22"/>
    </row>
    <row r="611">
      <c r="A611" s="17"/>
      <c r="B611" s="18"/>
      <c r="C611" s="17"/>
      <c r="D611" s="17"/>
      <c r="E611" s="23"/>
      <c r="F611" s="23"/>
      <c r="G611" s="21" t="str">
        <f t="shared" si="2"/>
        <v/>
      </c>
      <c r="H611" s="22"/>
      <c r="I611" s="22"/>
    </row>
    <row r="612">
      <c r="A612" s="17"/>
      <c r="B612" s="18"/>
      <c r="C612" s="17"/>
      <c r="D612" s="17"/>
      <c r="E612" s="23"/>
      <c r="F612" s="23"/>
      <c r="G612" s="21" t="str">
        <f t="shared" si="2"/>
        <v/>
      </c>
      <c r="H612" s="22"/>
      <c r="I612" s="22"/>
    </row>
    <row r="613">
      <c r="A613" s="17"/>
      <c r="B613" s="18"/>
      <c r="C613" s="17"/>
      <c r="D613" s="17"/>
      <c r="E613" s="23"/>
      <c r="F613" s="23"/>
      <c r="G613" s="21" t="str">
        <f t="shared" si="2"/>
        <v/>
      </c>
      <c r="H613" s="22"/>
      <c r="I613" s="22"/>
    </row>
    <row r="614">
      <c r="A614" s="17"/>
      <c r="B614" s="18"/>
      <c r="C614" s="17"/>
      <c r="D614" s="17"/>
      <c r="E614" s="23"/>
      <c r="F614" s="23"/>
      <c r="G614" s="21" t="str">
        <f t="shared" si="2"/>
        <v/>
      </c>
      <c r="H614" s="22"/>
      <c r="I614" s="22"/>
    </row>
    <row r="615">
      <c r="A615" s="17"/>
      <c r="B615" s="18"/>
      <c r="C615" s="17"/>
      <c r="D615" s="17"/>
      <c r="E615" s="23"/>
      <c r="F615" s="23"/>
      <c r="G615" s="21" t="str">
        <f t="shared" si="2"/>
        <v/>
      </c>
      <c r="H615" s="22"/>
      <c r="I615" s="22"/>
    </row>
    <row r="616">
      <c r="A616" s="17"/>
      <c r="B616" s="18"/>
      <c r="C616" s="17"/>
      <c r="D616" s="17"/>
      <c r="E616" s="23"/>
      <c r="F616" s="23"/>
      <c r="G616" s="21" t="str">
        <f t="shared" si="2"/>
        <v/>
      </c>
      <c r="H616" s="22"/>
      <c r="I616" s="22"/>
    </row>
    <row r="617">
      <c r="A617" s="17"/>
      <c r="B617" s="18"/>
      <c r="C617" s="17"/>
      <c r="D617" s="17"/>
      <c r="E617" s="23"/>
      <c r="F617" s="23"/>
      <c r="G617" s="21" t="str">
        <f t="shared" si="2"/>
        <v/>
      </c>
      <c r="H617" s="22"/>
      <c r="I617" s="22"/>
    </row>
    <row r="618">
      <c r="A618" s="17"/>
      <c r="B618" s="18"/>
      <c r="C618" s="17"/>
      <c r="D618" s="17"/>
      <c r="E618" s="23"/>
      <c r="F618" s="23"/>
      <c r="G618" s="21" t="str">
        <f t="shared" si="2"/>
        <v/>
      </c>
      <c r="H618" s="22"/>
      <c r="I618" s="22"/>
    </row>
    <row r="619">
      <c r="A619" s="17"/>
      <c r="B619" s="18"/>
      <c r="C619" s="17"/>
      <c r="D619" s="17"/>
      <c r="E619" s="23"/>
      <c r="F619" s="23"/>
      <c r="G619" s="21" t="str">
        <f t="shared" si="2"/>
        <v/>
      </c>
      <c r="H619" s="22"/>
      <c r="I619" s="22"/>
    </row>
    <row r="620">
      <c r="A620" s="17"/>
      <c r="B620" s="18"/>
      <c r="C620" s="17"/>
      <c r="D620" s="17"/>
      <c r="E620" s="23"/>
      <c r="F620" s="23"/>
      <c r="G620" s="21" t="str">
        <f t="shared" si="2"/>
        <v/>
      </c>
      <c r="H620" s="22"/>
      <c r="I620" s="22"/>
    </row>
    <row r="621">
      <c r="A621" s="17"/>
      <c r="B621" s="18"/>
      <c r="C621" s="17"/>
      <c r="D621" s="17"/>
      <c r="E621" s="23"/>
      <c r="F621" s="23"/>
      <c r="G621" s="21" t="str">
        <f t="shared" si="2"/>
        <v/>
      </c>
      <c r="H621" s="22"/>
      <c r="I621" s="22"/>
    </row>
    <row r="622">
      <c r="A622" s="17"/>
      <c r="B622" s="18"/>
      <c r="C622" s="17"/>
      <c r="D622" s="17"/>
      <c r="E622" s="23"/>
      <c r="F622" s="23"/>
      <c r="G622" s="21" t="str">
        <f t="shared" si="2"/>
        <v/>
      </c>
      <c r="H622" s="22"/>
      <c r="I622" s="22"/>
    </row>
    <row r="623">
      <c r="A623" s="17"/>
      <c r="B623" s="18"/>
      <c r="C623" s="17"/>
      <c r="D623" s="17"/>
      <c r="E623" s="23"/>
      <c r="F623" s="23"/>
      <c r="G623" s="21" t="str">
        <f t="shared" si="2"/>
        <v/>
      </c>
      <c r="H623" s="22"/>
      <c r="I623" s="22"/>
    </row>
    <row r="624">
      <c r="A624" s="17"/>
      <c r="B624" s="18"/>
      <c r="C624" s="17"/>
      <c r="D624" s="17"/>
      <c r="E624" s="23"/>
      <c r="F624" s="23"/>
      <c r="G624" s="21" t="str">
        <f t="shared" si="2"/>
        <v/>
      </c>
      <c r="H624" s="22"/>
      <c r="I624" s="22"/>
    </row>
    <row r="625">
      <c r="A625" s="17"/>
      <c r="B625" s="18"/>
      <c r="C625" s="17"/>
      <c r="D625" s="17"/>
      <c r="E625" s="23"/>
      <c r="F625" s="23"/>
      <c r="G625" s="21" t="str">
        <f t="shared" si="2"/>
        <v/>
      </c>
      <c r="H625" s="22"/>
      <c r="I625" s="22"/>
    </row>
    <row r="626">
      <c r="A626" s="17"/>
      <c r="B626" s="18"/>
      <c r="C626" s="17"/>
      <c r="D626" s="17"/>
      <c r="E626" s="23"/>
      <c r="F626" s="23"/>
      <c r="G626" s="21" t="str">
        <f t="shared" si="2"/>
        <v/>
      </c>
      <c r="H626" s="22"/>
      <c r="I626" s="22"/>
    </row>
    <row r="627">
      <c r="A627" s="17"/>
      <c r="B627" s="18"/>
      <c r="C627" s="17"/>
      <c r="D627" s="17"/>
      <c r="E627" s="23"/>
      <c r="F627" s="23"/>
      <c r="G627" s="21" t="str">
        <f t="shared" si="2"/>
        <v/>
      </c>
      <c r="H627" s="22"/>
      <c r="I627" s="22"/>
    </row>
    <row r="628">
      <c r="A628" s="17"/>
      <c r="B628" s="18"/>
      <c r="C628" s="17"/>
      <c r="D628" s="17"/>
      <c r="E628" s="23"/>
      <c r="F628" s="23"/>
      <c r="G628" s="21" t="str">
        <f t="shared" si="2"/>
        <v/>
      </c>
      <c r="H628" s="22"/>
      <c r="I628" s="22"/>
    </row>
    <row r="629">
      <c r="A629" s="17"/>
      <c r="B629" s="18"/>
      <c r="C629" s="17"/>
      <c r="D629" s="17"/>
      <c r="E629" s="23"/>
      <c r="F629" s="23"/>
      <c r="G629" s="21" t="str">
        <f t="shared" si="2"/>
        <v/>
      </c>
      <c r="H629" s="22"/>
      <c r="I629" s="22"/>
    </row>
    <row r="630">
      <c r="A630" s="17"/>
      <c r="B630" s="18"/>
      <c r="C630" s="17"/>
      <c r="D630" s="17"/>
      <c r="E630" s="23"/>
      <c r="F630" s="23"/>
      <c r="G630" s="21" t="str">
        <f t="shared" si="2"/>
        <v/>
      </c>
      <c r="H630" s="22"/>
      <c r="I630" s="22"/>
    </row>
    <row r="631">
      <c r="A631" s="17"/>
      <c r="B631" s="18"/>
      <c r="C631" s="17"/>
      <c r="D631" s="17"/>
      <c r="E631" s="23"/>
      <c r="F631" s="23"/>
      <c r="G631" s="21" t="str">
        <f t="shared" si="2"/>
        <v/>
      </c>
      <c r="H631" s="22"/>
      <c r="I631" s="22"/>
    </row>
    <row r="632">
      <c r="A632" s="17"/>
      <c r="B632" s="18"/>
      <c r="C632" s="17"/>
      <c r="D632" s="17"/>
      <c r="E632" s="23"/>
      <c r="F632" s="23"/>
      <c r="G632" s="21" t="str">
        <f t="shared" si="2"/>
        <v/>
      </c>
      <c r="H632" s="22"/>
      <c r="I632" s="22"/>
    </row>
    <row r="633">
      <c r="A633" s="17"/>
      <c r="B633" s="18"/>
      <c r="C633" s="17"/>
      <c r="D633" s="17"/>
      <c r="E633" s="23"/>
      <c r="F633" s="23"/>
      <c r="G633" s="21" t="str">
        <f t="shared" si="2"/>
        <v/>
      </c>
      <c r="H633" s="22"/>
      <c r="I633" s="22"/>
    </row>
    <row r="634">
      <c r="A634" s="17"/>
      <c r="B634" s="18"/>
      <c r="C634" s="17"/>
      <c r="D634" s="17"/>
      <c r="E634" s="23"/>
      <c r="F634" s="23"/>
      <c r="G634" s="21" t="str">
        <f t="shared" si="2"/>
        <v/>
      </c>
      <c r="H634" s="22"/>
      <c r="I634" s="22"/>
    </row>
    <row r="635">
      <c r="A635" s="17"/>
      <c r="B635" s="18"/>
      <c r="C635" s="17"/>
      <c r="D635" s="17"/>
      <c r="E635" s="23"/>
      <c r="F635" s="23"/>
      <c r="G635" s="21" t="str">
        <f t="shared" si="2"/>
        <v/>
      </c>
      <c r="H635" s="22"/>
      <c r="I635" s="22"/>
    </row>
    <row r="636">
      <c r="A636" s="17"/>
      <c r="B636" s="18"/>
      <c r="C636" s="17"/>
      <c r="D636" s="17"/>
      <c r="E636" s="23"/>
      <c r="F636" s="23"/>
      <c r="G636" s="21" t="str">
        <f t="shared" si="2"/>
        <v/>
      </c>
      <c r="H636" s="22"/>
      <c r="I636" s="22"/>
    </row>
    <row r="637">
      <c r="A637" s="17"/>
      <c r="B637" s="18"/>
      <c r="C637" s="17"/>
      <c r="D637" s="17"/>
      <c r="E637" s="23"/>
      <c r="F637" s="23"/>
      <c r="G637" s="21" t="str">
        <f t="shared" si="2"/>
        <v/>
      </c>
      <c r="H637" s="22"/>
      <c r="I637" s="22"/>
    </row>
    <row r="638">
      <c r="A638" s="17"/>
      <c r="B638" s="18"/>
      <c r="C638" s="17"/>
      <c r="D638" s="17"/>
      <c r="E638" s="23"/>
      <c r="F638" s="23"/>
      <c r="G638" s="21" t="str">
        <f t="shared" si="2"/>
        <v/>
      </c>
      <c r="H638" s="22"/>
      <c r="I638" s="22"/>
    </row>
    <row r="639">
      <c r="A639" s="17"/>
      <c r="B639" s="18"/>
      <c r="C639" s="17"/>
      <c r="D639" s="17"/>
      <c r="E639" s="23"/>
      <c r="F639" s="23"/>
      <c r="G639" s="21" t="str">
        <f t="shared" si="2"/>
        <v/>
      </c>
      <c r="H639" s="22"/>
      <c r="I639" s="22"/>
    </row>
    <row r="640">
      <c r="A640" s="17"/>
      <c r="B640" s="18"/>
      <c r="C640" s="17"/>
      <c r="D640" s="17"/>
      <c r="E640" s="23"/>
      <c r="F640" s="23"/>
      <c r="G640" s="21" t="str">
        <f t="shared" si="2"/>
        <v/>
      </c>
      <c r="H640" s="22"/>
      <c r="I640" s="22"/>
    </row>
    <row r="641">
      <c r="A641" s="17"/>
      <c r="B641" s="18"/>
      <c r="C641" s="17"/>
      <c r="D641" s="17"/>
      <c r="E641" s="23"/>
      <c r="F641" s="23"/>
      <c r="G641" s="21" t="str">
        <f t="shared" si="2"/>
        <v/>
      </c>
      <c r="H641" s="22"/>
      <c r="I641" s="22"/>
    </row>
    <row r="642">
      <c r="A642" s="17"/>
      <c r="B642" s="18"/>
      <c r="C642" s="17"/>
      <c r="D642" s="17"/>
      <c r="E642" s="23"/>
      <c r="F642" s="23"/>
      <c r="G642" s="21" t="str">
        <f t="shared" si="2"/>
        <v/>
      </c>
      <c r="H642" s="22"/>
      <c r="I642" s="22"/>
    </row>
    <row r="643">
      <c r="A643" s="17"/>
      <c r="B643" s="18"/>
      <c r="C643" s="17"/>
      <c r="D643" s="17"/>
      <c r="E643" s="23"/>
      <c r="F643" s="23"/>
      <c r="G643" s="21" t="str">
        <f t="shared" si="2"/>
        <v/>
      </c>
      <c r="H643" s="22"/>
      <c r="I643" s="22"/>
    </row>
    <row r="644">
      <c r="A644" s="17"/>
      <c r="B644" s="18"/>
      <c r="C644" s="17"/>
      <c r="D644" s="17"/>
      <c r="E644" s="23"/>
      <c r="F644" s="23"/>
      <c r="G644" s="21" t="str">
        <f t="shared" si="2"/>
        <v/>
      </c>
      <c r="H644" s="22"/>
      <c r="I644" s="22"/>
    </row>
    <row r="645">
      <c r="A645" s="17"/>
      <c r="B645" s="18"/>
      <c r="C645" s="17"/>
      <c r="D645" s="17"/>
      <c r="E645" s="23"/>
      <c r="F645" s="23"/>
      <c r="G645" s="21" t="str">
        <f t="shared" si="2"/>
        <v/>
      </c>
      <c r="H645" s="22"/>
      <c r="I645" s="22"/>
    </row>
    <row r="646">
      <c r="A646" s="17"/>
      <c r="B646" s="18"/>
      <c r="C646" s="17"/>
      <c r="D646" s="17"/>
      <c r="E646" s="23"/>
      <c r="F646" s="23"/>
      <c r="G646" s="21" t="str">
        <f t="shared" si="2"/>
        <v/>
      </c>
      <c r="H646" s="22"/>
      <c r="I646" s="22"/>
    </row>
    <row r="647">
      <c r="A647" s="17"/>
      <c r="B647" s="18"/>
      <c r="C647" s="17"/>
      <c r="D647" s="17"/>
      <c r="E647" s="23"/>
      <c r="F647" s="23"/>
      <c r="G647" s="21" t="str">
        <f t="shared" si="2"/>
        <v/>
      </c>
      <c r="H647" s="22"/>
      <c r="I647" s="22"/>
    </row>
    <row r="648">
      <c r="A648" s="17"/>
      <c r="B648" s="18"/>
      <c r="C648" s="17"/>
      <c r="D648" s="17"/>
      <c r="E648" s="23"/>
      <c r="F648" s="23"/>
      <c r="G648" s="21" t="str">
        <f t="shared" si="2"/>
        <v/>
      </c>
      <c r="H648" s="22"/>
      <c r="I648" s="22"/>
    </row>
    <row r="649">
      <c r="A649" s="17"/>
      <c r="B649" s="18"/>
      <c r="C649" s="17"/>
      <c r="D649" s="17"/>
      <c r="E649" s="23"/>
      <c r="F649" s="23"/>
      <c r="G649" s="21" t="str">
        <f t="shared" si="2"/>
        <v/>
      </c>
      <c r="H649" s="22"/>
      <c r="I649" s="22"/>
    </row>
    <row r="650">
      <c r="A650" s="17"/>
      <c r="B650" s="18"/>
      <c r="C650" s="17"/>
      <c r="D650" s="17"/>
      <c r="E650" s="23"/>
      <c r="F650" s="23"/>
      <c r="G650" s="21" t="str">
        <f t="shared" si="2"/>
        <v/>
      </c>
      <c r="H650" s="22"/>
      <c r="I650" s="22"/>
    </row>
    <row r="651">
      <c r="A651" s="17"/>
      <c r="B651" s="18"/>
      <c r="C651" s="17"/>
      <c r="D651" s="17"/>
      <c r="E651" s="23"/>
      <c r="F651" s="23"/>
      <c r="G651" s="21" t="str">
        <f t="shared" si="2"/>
        <v/>
      </c>
      <c r="H651" s="22"/>
      <c r="I651" s="22"/>
    </row>
    <row r="652">
      <c r="A652" s="17"/>
      <c r="B652" s="18"/>
      <c r="C652" s="17"/>
      <c r="D652" s="17"/>
      <c r="E652" s="23"/>
      <c r="F652" s="23"/>
      <c r="G652" s="21" t="str">
        <f t="shared" si="2"/>
        <v/>
      </c>
      <c r="H652" s="22"/>
      <c r="I652" s="22"/>
    </row>
    <row r="653">
      <c r="A653" s="17"/>
      <c r="B653" s="18"/>
      <c r="C653" s="17"/>
      <c r="D653" s="17"/>
      <c r="E653" s="23"/>
      <c r="F653" s="23"/>
      <c r="G653" s="21" t="str">
        <f t="shared" si="2"/>
        <v/>
      </c>
      <c r="H653" s="22"/>
      <c r="I653" s="22"/>
    </row>
    <row r="654">
      <c r="A654" s="17"/>
      <c r="B654" s="18"/>
      <c r="C654" s="17"/>
      <c r="D654" s="17"/>
      <c r="E654" s="23"/>
      <c r="F654" s="23"/>
      <c r="G654" s="21" t="str">
        <f t="shared" si="2"/>
        <v/>
      </c>
      <c r="H654" s="22"/>
      <c r="I654" s="22"/>
    </row>
    <row r="655">
      <c r="A655" s="17"/>
      <c r="B655" s="18"/>
      <c r="C655" s="17"/>
      <c r="D655" s="17"/>
      <c r="E655" s="23"/>
      <c r="F655" s="23"/>
      <c r="G655" s="21" t="str">
        <f t="shared" si="2"/>
        <v/>
      </c>
      <c r="H655" s="22"/>
      <c r="I655" s="22"/>
    </row>
    <row r="656">
      <c r="A656" s="17"/>
      <c r="B656" s="18"/>
      <c r="C656" s="17"/>
      <c r="D656" s="17"/>
      <c r="E656" s="23"/>
      <c r="F656" s="23"/>
      <c r="G656" s="21" t="str">
        <f t="shared" si="2"/>
        <v/>
      </c>
      <c r="H656" s="22"/>
      <c r="I656" s="22"/>
    </row>
    <row r="657">
      <c r="A657" s="17"/>
      <c r="B657" s="18"/>
      <c r="C657" s="17"/>
      <c r="D657" s="17"/>
      <c r="E657" s="23"/>
      <c r="F657" s="23"/>
      <c r="G657" s="21" t="str">
        <f t="shared" si="2"/>
        <v/>
      </c>
      <c r="H657" s="22"/>
      <c r="I657" s="22"/>
    </row>
    <row r="658">
      <c r="A658" s="17"/>
      <c r="B658" s="18"/>
      <c r="C658" s="17"/>
      <c r="D658" s="17"/>
      <c r="E658" s="23"/>
      <c r="F658" s="23"/>
      <c r="G658" s="21" t="str">
        <f t="shared" si="2"/>
        <v/>
      </c>
      <c r="H658" s="22"/>
      <c r="I658" s="22"/>
    </row>
    <row r="659">
      <c r="A659" s="17"/>
      <c r="B659" s="18"/>
      <c r="C659" s="17"/>
      <c r="D659" s="17"/>
      <c r="E659" s="23"/>
      <c r="F659" s="23"/>
      <c r="G659" s="21" t="str">
        <f t="shared" si="2"/>
        <v/>
      </c>
      <c r="H659" s="22"/>
      <c r="I659" s="22"/>
    </row>
    <row r="660">
      <c r="A660" s="17"/>
      <c r="B660" s="18"/>
      <c r="C660" s="17"/>
      <c r="D660" s="17"/>
      <c r="E660" s="23"/>
      <c r="F660" s="23"/>
      <c r="G660" s="21" t="str">
        <f t="shared" si="2"/>
        <v/>
      </c>
      <c r="H660" s="22"/>
      <c r="I660" s="22"/>
    </row>
    <row r="661">
      <c r="A661" s="17"/>
      <c r="B661" s="18"/>
      <c r="C661" s="17"/>
      <c r="D661" s="17"/>
      <c r="E661" s="23"/>
      <c r="F661" s="23"/>
      <c r="G661" s="21" t="str">
        <f t="shared" si="2"/>
        <v/>
      </c>
      <c r="H661" s="22"/>
      <c r="I661" s="22"/>
    </row>
    <row r="662">
      <c r="A662" s="17"/>
      <c r="B662" s="18"/>
      <c r="C662" s="17"/>
      <c r="D662" s="17"/>
      <c r="E662" s="23"/>
      <c r="F662" s="23"/>
      <c r="G662" s="21" t="str">
        <f t="shared" si="2"/>
        <v/>
      </c>
      <c r="H662" s="22"/>
      <c r="I662" s="22"/>
    </row>
    <row r="663">
      <c r="A663" s="17"/>
      <c r="B663" s="18"/>
      <c r="C663" s="17"/>
      <c r="D663" s="17"/>
      <c r="E663" s="23"/>
      <c r="F663" s="23"/>
      <c r="G663" s="21" t="str">
        <f t="shared" si="2"/>
        <v/>
      </c>
      <c r="H663" s="22"/>
      <c r="I663" s="22"/>
    </row>
    <row r="664">
      <c r="A664" s="17"/>
      <c r="B664" s="18"/>
      <c r="C664" s="17"/>
      <c r="D664" s="17"/>
      <c r="E664" s="23"/>
      <c r="F664" s="23"/>
      <c r="G664" s="21" t="str">
        <f t="shared" si="2"/>
        <v/>
      </c>
      <c r="H664" s="22"/>
      <c r="I664" s="22"/>
    </row>
    <row r="665">
      <c r="A665" s="17"/>
      <c r="B665" s="18"/>
      <c r="C665" s="17"/>
      <c r="D665" s="17"/>
      <c r="E665" s="23"/>
      <c r="F665" s="23"/>
      <c r="G665" s="21" t="str">
        <f t="shared" si="2"/>
        <v/>
      </c>
      <c r="H665" s="22"/>
      <c r="I665" s="22"/>
    </row>
    <row r="666">
      <c r="A666" s="17"/>
      <c r="B666" s="18"/>
      <c r="C666" s="17"/>
      <c r="D666" s="17"/>
      <c r="E666" s="23"/>
      <c r="F666" s="23"/>
      <c r="G666" s="21" t="str">
        <f t="shared" si="2"/>
        <v/>
      </c>
      <c r="H666" s="22"/>
      <c r="I666" s="22"/>
    </row>
    <row r="667">
      <c r="A667" s="17"/>
      <c r="B667" s="18"/>
      <c r="C667" s="17"/>
      <c r="D667" s="17"/>
      <c r="E667" s="23"/>
      <c r="F667" s="23"/>
      <c r="G667" s="21" t="str">
        <f t="shared" si="2"/>
        <v/>
      </c>
      <c r="H667" s="22"/>
      <c r="I667" s="22"/>
    </row>
    <row r="668">
      <c r="A668" s="17"/>
      <c r="B668" s="18"/>
      <c r="C668" s="17"/>
      <c r="D668" s="17"/>
      <c r="E668" s="23"/>
      <c r="F668" s="23"/>
      <c r="G668" s="21" t="str">
        <f t="shared" si="2"/>
        <v/>
      </c>
      <c r="H668" s="22"/>
      <c r="I668" s="22"/>
    </row>
    <row r="669">
      <c r="A669" s="17"/>
      <c r="B669" s="18"/>
      <c r="C669" s="17"/>
      <c r="D669" s="17"/>
      <c r="E669" s="23"/>
      <c r="F669" s="23"/>
      <c r="G669" s="21" t="str">
        <f t="shared" si="2"/>
        <v/>
      </c>
      <c r="H669" s="22"/>
      <c r="I669" s="22"/>
    </row>
    <row r="670">
      <c r="A670" s="17"/>
      <c r="B670" s="18"/>
      <c r="C670" s="17"/>
      <c r="D670" s="17"/>
      <c r="E670" s="23"/>
      <c r="F670" s="23"/>
      <c r="G670" s="21" t="str">
        <f t="shared" si="2"/>
        <v/>
      </c>
      <c r="H670" s="22"/>
      <c r="I670" s="22"/>
    </row>
    <row r="671">
      <c r="A671" s="17"/>
      <c r="B671" s="18"/>
      <c r="C671" s="17"/>
      <c r="D671" s="17"/>
      <c r="E671" s="23"/>
      <c r="F671" s="23"/>
      <c r="G671" s="21" t="str">
        <f t="shared" si="2"/>
        <v/>
      </c>
      <c r="H671" s="22"/>
      <c r="I671" s="22"/>
    </row>
    <row r="672">
      <c r="A672" s="17"/>
      <c r="B672" s="18"/>
      <c r="C672" s="17"/>
      <c r="D672" s="17"/>
      <c r="E672" s="23"/>
      <c r="F672" s="23"/>
      <c r="G672" s="21" t="str">
        <f t="shared" si="2"/>
        <v/>
      </c>
      <c r="H672" s="22"/>
      <c r="I672" s="22"/>
    </row>
    <row r="673">
      <c r="A673" s="17"/>
      <c r="B673" s="18"/>
      <c r="C673" s="17"/>
      <c r="D673" s="17"/>
      <c r="E673" s="23"/>
      <c r="F673" s="23"/>
      <c r="G673" s="21" t="str">
        <f t="shared" si="2"/>
        <v/>
      </c>
      <c r="H673" s="22"/>
      <c r="I673" s="22"/>
    </row>
    <row r="674">
      <c r="A674" s="17"/>
      <c r="B674" s="18"/>
      <c r="C674" s="17"/>
      <c r="D674" s="17"/>
      <c r="E674" s="23"/>
      <c r="F674" s="23"/>
      <c r="G674" s="21" t="str">
        <f t="shared" si="2"/>
        <v/>
      </c>
      <c r="H674" s="22"/>
      <c r="I674" s="22"/>
    </row>
    <row r="675">
      <c r="A675" s="17"/>
      <c r="B675" s="18"/>
      <c r="C675" s="17"/>
      <c r="D675" s="17"/>
      <c r="E675" s="23"/>
      <c r="F675" s="23"/>
      <c r="G675" s="21" t="str">
        <f t="shared" si="2"/>
        <v/>
      </c>
      <c r="H675" s="22"/>
      <c r="I675" s="22"/>
    </row>
    <row r="676">
      <c r="A676" s="17"/>
      <c r="B676" s="18"/>
      <c r="C676" s="17"/>
      <c r="D676" s="17"/>
      <c r="E676" s="23"/>
      <c r="F676" s="23"/>
      <c r="G676" s="21" t="str">
        <f t="shared" si="2"/>
        <v/>
      </c>
      <c r="H676" s="22"/>
      <c r="I676" s="22"/>
    </row>
    <row r="677">
      <c r="A677" s="17"/>
      <c r="B677" s="18"/>
      <c r="C677" s="17"/>
      <c r="D677" s="17"/>
      <c r="E677" s="23"/>
      <c r="F677" s="23"/>
      <c r="G677" s="21" t="str">
        <f t="shared" si="2"/>
        <v/>
      </c>
      <c r="H677" s="22"/>
      <c r="I677" s="22"/>
    </row>
    <row r="678">
      <c r="A678" s="17"/>
      <c r="B678" s="18"/>
      <c r="C678" s="17"/>
      <c r="D678" s="17"/>
      <c r="E678" s="23"/>
      <c r="F678" s="23"/>
      <c r="G678" s="21" t="str">
        <f t="shared" si="2"/>
        <v/>
      </c>
      <c r="H678" s="22"/>
      <c r="I678" s="22"/>
    </row>
    <row r="679">
      <c r="A679" s="17"/>
      <c r="B679" s="18"/>
      <c r="C679" s="17"/>
      <c r="D679" s="17"/>
      <c r="E679" s="23"/>
      <c r="F679" s="23"/>
      <c r="G679" s="21" t="str">
        <f t="shared" si="2"/>
        <v/>
      </c>
      <c r="H679" s="22"/>
      <c r="I679" s="22"/>
    </row>
    <row r="680">
      <c r="A680" s="17"/>
      <c r="B680" s="18"/>
      <c r="C680" s="17"/>
      <c r="D680" s="17"/>
      <c r="E680" s="23"/>
      <c r="F680" s="23"/>
      <c r="G680" s="21" t="str">
        <f t="shared" si="2"/>
        <v/>
      </c>
      <c r="H680" s="22"/>
      <c r="I680" s="22"/>
    </row>
    <row r="681">
      <c r="A681" s="17"/>
      <c r="B681" s="18"/>
      <c r="C681" s="17"/>
      <c r="D681" s="17"/>
      <c r="E681" s="23"/>
      <c r="F681" s="23"/>
      <c r="G681" s="21" t="str">
        <f t="shared" si="2"/>
        <v/>
      </c>
      <c r="H681" s="22"/>
      <c r="I681" s="22"/>
    </row>
    <row r="682">
      <c r="A682" s="17"/>
      <c r="B682" s="18"/>
      <c r="C682" s="17"/>
      <c r="D682" s="17"/>
      <c r="E682" s="23"/>
      <c r="F682" s="23"/>
      <c r="G682" s="21" t="str">
        <f t="shared" si="2"/>
        <v/>
      </c>
      <c r="H682" s="22"/>
      <c r="I682" s="22"/>
    </row>
    <row r="683">
      <c r="A683" s="17"/>
      <c r="B683" s="18"/>
      <c r="C683" s="17"/>
      <c r="D683" s="17"/>
      <c r="E683" s="23"/>
      <c r="F683" s="23"/>
      <c r="G683" s="21" t="str">
        <f t="shared" si="2"/>
        <v/>
      </c>
      <c r="H683" s="22"/>
      <c r="I683" s="22"/>
    </row>
    <row r="684">
      <c r="A684" s="17"/>
      <c r="B684" s="18"/>
      <c r="C684" s="17"/>
      <c r="D684" s="17"/>
      <c r="E684" s="23"/>
      <c r="F684" s="23"/>
      <c r="G684" s="21" t="str">
        <f t="shared" si="2"/>
        <v/>
      </c>
      <c r="H684" s="22"/>
      <c r="I684" s="22"/>
    </row>
    <row r="685">
      <c r="A685" s="17"/>
      <c r="B685" s="18"/>
      <c r="C685" s="17"/>
      <c r="D685" s="17"/>
      <c r="E685" s="23"/>
      <c r="F685" s="23"/>
      <c r="G685" s="21" t="str">
        <f t="shared" si="2"/>
        <v/>
      </c>
      <c r="H685" s="22"/>
      <c r="I685" s="22"/>
    </row>
    <row r="686">
      <c r="A686" s="17"/>
      <c r="B686" s="18"/>
      <c r="C686" s="17"/>
      <c r="D686" s="17"/>
      <c r="E686" s="23"/>
      <c r="F686" s="23"/>
      <c r="G686" s="21" t="str">
        <f t="shared" si="2"/>
        <v/>
      </c>
      <c r="H686" s="22"/>
      <c r="I686" s="22"/>
    </row>
    <row r="687">
      <c r="A687" s="17"/>
      <c r="B687" s="18"/>
      <c r="C687" s="17"/>
      <c r="D687" s="17"/>
      <c r="E687" s="23"/>
      <c r="F687" s="23"/>
      <c r="G687" s="21" t="str">
        <f t="shared" si="2"/>
        <v/>
      </c>
      <c r="H687" s="22"/>
      <c r="I687" s="22"/>
    </row>
    <row r="688">
      <c r="A688" s="17"/>
      <c r="B688" s="18"/>
      <c r="C688" s="17"/>
      <c r="D688" s="17"/>
      <c r="E688" s="23"/>
      <c r="F688" s="23"/>
      <c r="G688" s="21" t="str">
        <f t="shared" si="2"/>
        <v/>
      </c>
      <c r="H688" s="22"/>
      <c r="I688" s="22"/>
    </row>
    <row r="689">
      <c r="A689" s="17"/>
      <c r="B689" s="18"/>
      <c r="C689" s="17"/>
      <c r="D689" s="17"/>
      <c r="E689" s="23"/>
      <c r="F689" s="23"/>
      <c r="G689" s="21" t="str">
        <f t="shared" si="2"/>
        <v/>
      </c>
      <c r="H689" s="22"/>
      <c r="I689" s="22"/>
    </row>
    <row r="690">
      <c r="A690" s="17"/>
      <c r="B690" s="18"/>
      <c r="C690" s="17"/>
      <c r="D690" s="17"/>
      <c r="E690" s="23"/>
      <c r="F690" s="23"/>
      <c r="G690" s="21" t="str">
        <f t="shared" si="2"/>
        <v/>
      </c>
      <c r="H690" s="22"/>
      <c r="I690" s="22"/>
    </row>
    <row r="691">
      <c r="A691" s="17"/>
      <c r="B691" s="18"/>
      <c r="C691" s="17"/>
      <c r="D691" s="17"/>
      <c r="E691" s="23"/>
      <c r="F691" s="23"/>
      <c r="G691" s="21" t="str">
        <f t="shared" si="2"/>
        <v/>
      </c>
      <c r="H691" s="22"/>
      <c r="I691" s="22"/>
    </row>
    <row r="692">
      <c r="A692" s="17"/>
      <c r="B692" s="18"/>
      <c r="C692" s="17"/>
      <c r="D692" s="17"/>
      <c r="E692" s="23"/>
      <c r="F692" s="23"/>
      <c r="G692" s="21" t="str">
        <f t="shared" si="2"/>
        <v/>
      </c>
      <c r="H692" s="22"/>
      <c r="I692" s="22"/>
    </row>
    <row r="693">
      <c r="A693" s="17"/>
      <c r="B693" s="18"/>
      <c r="C693" s="17"/>
      <c r="D693" s="17"/>
      <c r="E693" s="23"/>
      <c r="F693" s="23"/>
      <c r="G693" s="21" t="str">
        <f t="shared" si="2"/>
        <v/>
      </c>
      <c r="H693" s="22"/>
      <c r="I693" s="22"/>
    </row>
    <row r="694">
      <c r="A694" s="17"/>
      <c r="B694" s="18"/>
      <c r="C694" s="17"/>
      <c r="D694" s="17"/>
      <c r="E694" s="23"/>
      <c r="F694" s="23"/>
      <c r="G694" s="21" t="str">
        <f t="shared" si="2"/>
        <v/>
      </c>
      <c r="H694" s="22"/>
      <c r="I694" s="22"/>
    </row>
    <row r="695">
      <c r="A695" s="17"/>
      <c r="B695" s="18"/>
      <c r="C695" s="17"/>
      <c r="D695" s="17"/>
      <c r="E695" s="23"/>
      <c r="F695" s="23"/>
      <c r="G695" s="21" t="str">
        <f t="shared" si="2"/>
        <v/>
      </c>
      <c r="H695" s="22"/>
      <c r="I695" s="22"/>
    </row>
    <row r="696">
      <c r="A696" s="17"/>
      <c r="B696" s="18"/>
      <c r="C696" s="17"/>
      <c r="D696" s="17"/>
      <c r="E696" s="23"/>
      <c r="F696" s="23"/>
      <c r="G696" s="21" t="str">
        <f t="shared" si="2"/>
        <v/>
      </c>
      <c r="H696" s="22"/>
      <c r="I696" s="22"/>
    </row>
    <row r="697">
      <c r="A697" s="17"/>
      <c r="B697" s="18"/>
      <c r="C697" s="17"/>
      <c r="D697" s="17"/>
      <c r="E697" s="23"/>
      <c r="F697" s="23"/>
      <c r="G697" s="21" t="str">
        <f t="shared" si="2"/>
        <v/>
      </c>
      <c r="H697" s="22"/>
      <c r="I697" s="22"/>
    </row>
    <row r="698">
      <c r="A698" s="17"/>
      <c r="B698" s="18"/>
      <c r="C698" s="17"/>
      <c r="D698" s="17"/>
      <c r="E698" s="23"/>
      <c r="F698" s="23"/>
      <c r="G698" s="21" t="str">
        <f t="shared" si="2"/>
        <v/>
      </c>
      <c r="H698" s="22"/>
      <c r="I698" s="22"/>
    </row>
    <row r="699">
      <c r="A699" s="17"/>
      <c r="B699" s="18"/>
      <c r="C699" s="17"/>
      <c r="D699" s="17"/>
      <c r="E699" s="23"/>
      <c r="F699" s="23"/>
      <c r="G699" s="21" t="str">
        <f t="shared" si="2"/>
        <v/>
      </c>
      <c r="H699" s="22"/>
      <c r="I699" s="22"/>
    </row>
    <row r="700">
      <c r="A700" s="17"/>
      <c r="B700" s="18"/>
      <c r="C700" s="17"/>
      <c r="D700" s="17"/>
      <c r="E700" s="23"/>
      <c r="F700" s="23"/>
      <c r="G700" s="21" t="str">
        <f t="shared" si="2"/>
        <v/>
      </c>
      <c r="H700" s="22"/>
      <c r="I700" s="22"/>
    </row>
    <row r="701">
      <c r="A701" s="17"/>
      <c r="B701" s="18"/>
      <c r="C701" s="17"/>
      <c r="D701" s="17"/>
      <c r="E701" s="23"/>
      <c r="F701" s="23"/>
      <c r="G701" s="21" t="str">
        <f t="shared" si="2"/>
        <v/>
      </c>
      <c r="H701" s="22"/>
      <c r="I701" s="22"/>
    </row>
    <row r="702">
      <c r="A702" s="17"/>
      <c r="B702" s="18"/>
      <c r="C702" s="17"/>
      <c r="D702" s="17"/>
      <c r="E702" s="23"/>
      <c r="F702" s="23"/>
      <c r="G702" s="21" t="str">
        <f t="shared" si="2"/>
        <v/>
      </c>
      <c r="H702" s="22"/>
      <c r="I702" s="22"/>
    </row>
    <row r="703">
      <c r="A703" s="17"/>
      <c r="B703" s="18"/>
      <c r="C703" s="17"/>
      <c r="D703" s="17"/>
      <c r="E703" s="23"/>
      <c r="F703" s="23"/>
      <c r="G703" s="21" t="str">
        <f t="shared" si="2"/>
        <v/>
      </c>
      <c r="H703" s="22"/>
      <c r="I703" s="22"/>
    </row>
    <row r="704">
      <c r="A704" s="17"/>
      <c r="B704" s="18"/>
      <c r="C704" s="17"/>
      <c r="D704" s="17"/>
      <c r="E704" s="23"/>
      <c r="F704" s="23"/>
      <c r="G704" s="21" t="str">
        <f t="shared" si="2"/>
        <v/>
      </c>
      <c r="H704" s="22"/>
      <c r="I704" s="22"/>
    </row>
    <row r="705">
      <c r="A705" s="17"/>
      <c r="B705" s="18"/>
      <c r="C705" s="17"/>
      <c r="D705" s="17"/>
      <c r="E705" s="23"/>
      <c r="F705" s="23"/>
      <c r="G705" s="21" t="str">
        <f t="shared" si="2"/>
        <v/>
      </c>
      <c r="H705" s="22"/>
      <c r="I705" s="22"/>
    </row>
    <row r="706">
      <c r="A706" s="17"/>
      <c r="B706" s="18"/>
      <c r="C706" s="17"/>
      <c r="D706" s="17"/>
      <c r="E706" s="23"/>
      <c r="F706" s="23"/>
      <c r="G706" s="21" t="str">
        <f t="shared" si="2"/>
        <v/>
      </c>
      <c r="H706" s="22"/>
      <c r="I706" s="22"/>
    </row>
    <row r="707">
      <c r="A707" s="17"/>
      <c r="B707" s="18"/>
      <c r="C707" s="17"/>
      <c r="D707" s="17"/>
      <c r="E707" s="23"/>
      <c r="F707" s="23"/>
      <c r="G707" s="21" t="str">
        <f t="shared" si="2"/>
        <v/>
      </c>
      <c r="H707" s="22"/>
      <c r="I707" s="22"/>
    </row>
    <row r="708">
      <c r="A708" s="17"/>
      <c r="B708" s="18"/>
      <c r="C708" s="17"/>
      <c r="D708" s="17"/>
      <c r="E708" s="23"/>
      <c r="F708" s="23"/>
      <c r="G708" s="21" t="str">
        <f t="shared" si="2"/>
        <v/>
      </c>
      <c r="H708" s="22"/>
      <c r="I708" s="22"/>
    </row>
    <row r="709">
      <c r="A709" s="17"/>
      <c r="B709" s="18"/>
      <c r="C709" s="17"/>
      <c r="D709" s="17"/>
      <c r="E709" s="23"/>
      <c r="F709" s="23"/>
      <c r="G709" s="21" t="str">
        <f t="shared" si="2"/>
        <v/>
      </c>
      <c r="H709" s="22"/>
      <c r="I709" s="22"/>
    </row>
    <row r="710">
      <c r="A710" s="17"/>
      <c r="B710" s="18"/>
      <c r="C710" s="17"/>
      <c r="D710" s="17"/>
      <c r="E710" s="23"/>
      <c r="F710" s="23"/>
      <c r="G710" s="21" t="str">
        <f t="shared" si="2"/>
        <v/>
      </c>
      <c r="H710" s="22"/>
      <c r="I710" s="22"/>
    </row>
    <row r="711">
      <c r="A711" s="17"/>
      <c r="B711" s="18"/>
      <c r="C711" s="17"/>
      <c r="D711" s="17"/>
      <c r="E711" s="23"/>
      <c r="F711" s="23"/>
      <c r="G711" s="21" t="str">
        <f t="shared" si="2"/>
        <v/>
      </c>
      <c r="H711" s="22"/>
      <c r="I711" s="22"/>
    </row>
    <row r="712">
      <c r="A712" s="17"/>
      <c r="B712" s="18"/>
      <c r="C712" s="17"/>
      <c r="D712" s="17"/>
      <c r="E712" s="23"/>
      <c r="F712" s="23"/>
      <c r="G712" s="21" t="str">
        <f t="shared" si="2"/>
        <v/>
      </c>
      <c r="H712" s="22"/>
      <c r="I712" s="22"/>
    </row>
    <row r="713">
      <c r="A713" s="17"/>
      <c r="B713" s="18"/>
      <c r="C713" s="17"/>
      <c r="D713" s="17"/>
      <c r="E713" s="23"/>
      <c r="F713" s="23"/>
      <c r="G713" s="21" t="str">
        <f t="shared" si="2"/>
        <v/>
      </c>
      <c r="H713" s="22"/>
      <c r="I713" s="22"/>
    </row>
    <row r="714">
      <c r="A714" s="17"/>
      <c r="B714" s="18"/>
      <c r="C714" s="17"/>
      <c r="D714" s="17"/>
      <c r="E714" s="23"/>
      <c r="F714" s="23"/>
      <c r="G714" s="21" t="str">
        <f t="shared" si="2"/>
        <v/>
      </c>
      <c r="H714" s="22"/>
      <c r="I714" s="22"/>
    </row>
    <row r="715">
      <c r="A715" s="17"/>
      <c r="B715" s="18"/>
      <c r="C715" s="17"/>
      <c r="D715" s="17"/>
      <c r="E715" s="23"/>
      <c r="F715" s="23"/>
      <c r="G715" s="21" t="str">
        <f t="shared" si="2"/>
        <v/>
      </c>
      <c r="H715" s="22"/>
      <c r="I715" s="22"/>
    </row>
    <row r="716">
      <c r="A716" s="17"/>
      <c r="B716" s="18"/>
      <c r="C716" s="17"/>
      <c r="D716" s="17"/>
      <c r="E716" s="23"/>
      <c r="F716" s="23"/>
      <c r="G716" s="21" t="str">
        <f t="shared" si="2"/>
        <v/>
      </c>
      <c r="H716" s="22"/>
      <c r="I716" s="22"/>
    </row>
    <row r="717">
      <c r="A717" s="17"/>
      <c r="B717" s="18"/>
      <c r="C717" s="17"/>
      <c r="D717" s="17"/>
      <c r="E717" s="23"/>
      <c r="F717" s="23"/>
      <c r="G717" s="21" t="str">
        <f t="shared" si="2"/>
        <v/>
      </c>
      <c r="H717" s="22"/>
      <c r="I717" s="22"/>
    </row>
    <row r="718">
      <c r="A718" s="17"/>
      <c r="B718" s="18"/>
      <c r="C718" s="17"/>
      <c r="D718" s="17"/>
      <c r="E718" s="23"/>
      <c r="F718" s="23"/>
      <c r="G718" s="21" t="str">
        <f t="shared" si="2"/>
        <v/>
      </c>
      <c r="H718" s="22"/>
      <c r="I718" s="22"/>
    </row>
    <row r="719">
      <c r="A719" s="17"/>
      <c r="B719" s="18"/>
      <c r="C719" s="17"/>
      <c r="D719" s="17"/>
      <c r="E719" s="23"/>
      <c r="F719" s="23"/>
      <c r="G719" s="21" t="str">
        <f t="shared" si="2"/>
        <v/>
      </c>
      <c r="H719" s="22"/>
      <c r="I719" s="22"/>
    </row>
    <row r="720">
      <c r="A720" s="17"/>
      <c r="B720" s="18"/>
      <c r="C720" s="17"/>
      <c r="D720" s="17"/>
      <c r="E720" s="23"/>
      <c r="F720" s="23"/>
      <c r="G720" s="21" t="str">
        <f t="shared" si="2"/>
        <v/>
      </c>
      <c r="H720" s="22"/>
      <c r="I720" s="22"/>
    </row>
    <row r="721">
      <c r="A721" s="17"/>
      <c r="B721" s="18"/>
      <c r="C721" s="17"/>
      <c r="D721" s="17"/>
      <c r="E721" s="23"/>
      <c r="F721" s="23"/>
      <c r="G721" s="21" t="str">
        <f t="shared" si="2"/>
        <v/>
      </c>
      <c r="H721" s="22"/>
      <c r="I721" s="22"/>
    </row>
    <row r="722">
      <c r="A722" s="17"/>
      <c r="B722" s="18"/>
      <c r="C722" s="17"/>
      <c r="D722" s="17"/>
      <c r="E722" s="23"/>
      <c r="F722" s="23"/>
      <c r="G722" s="21" t="str">
        <f t="shared" si="2"/>
        <v/>
      </c>
      <c r="H722" s="22"/>
      <c r="I722" s="22"/>
    </row>
    <row r="723">
      <c r="A723" s="17"/>
      <c r="B723" s="18"/>
      <c r="C723" s="17"/>
      <c r="D723" s="17"/>
      <c r="E723" s="23"/>
      <c r="F723" s="23"/>
      <c r="G723" s="21" t="str">
        <f t="shared" si="2"/>
        <v/>
      </c>
      <c r="H723" s="22"/>
      <c r="I723" s="22"/>
    </row>
    <row r="724">
      <c r="A724" s="17"/>
      <c r="B724" s="18"/>
      <c r="C724" s="17"/>
      <c r="D724" s="17"/>
      <c r="E724" s="23"/>
      <c r="F724" s="23"/>
      <c r="G724" s="21" t="str">
        <f t="shared" si="2"/>
        <v/>
      </c>
      <c r="H724" s="22"/>
      <c r="I724" s="22"/>
    </row>
    <row r="725">
      <c r="A725" s="17"/>
      <c r="B725" s="18"/>
      <c r="C725" s="17"/>
      <c r="D725" s="17"/>
      <c r="E725" s="23"/>
      <c r="F725" s="23"/>
      <c r="G725" s="21" t="str">
        <f t="shared" si="2"/>
        <v/>
      </c>
      <c r="H725" s="22"/>
      <c r="I725" s="22"/>
    </row>
    <row r="726">
      <c r="A726" s="17"/>
      <c r="B726" s="18"/>
      <c r="C726" s="17"/>
      <c r="D726" s="17"/>
      <c r="E726" s="23"/>
      <c r="F726" s="23"/>
      <c r="G726" s="21" t="str">
        <f t="shared" si="2"/>
        <v/>
      </c>
      <c r="H726" s="22"/>
      <c r="I726" s="22"/>
    </row>
    <row r="727">
      <c r="A727" s="17"/>
      <c r="B727" s="18"/>
      <c r="C727" s="17"/>
      <c r="D727" s="17"/>
      <c r="E727" s="23"/>
      <c r="F727" s="23"/>
      <c r="G727" s="21" t="str">
        <f t="shared" si="2"/>
        <v/>
      </c>
      <c r="H727" s="22"/>
      <c r="I727" s="22"/>
    </row>
    <row r="728">
      <c r="A728" s="17"/>
      <c r="B728" s="18"/>
      <c r="C728" s="17"/>
      <c r="D728" s="17"/>
      <c r="E728" s="23"/>
      <c r="F728" s="23"/>
      <c r="G728" s="21" t="str">
        <f t="shared" si="2"/>
        <v/>
      </c>
      <c r="H728" s="22"/>
      <c r="I728" s="22"/>
    </row>
    <row r="729">
      <c r="A729" s="17"/>
      <c r="B729" s="18"/>
      <c r="C729" s="17"/>
      <c r="D729" s="17"/>
      <c r="E729" s="23"/>
      <c r="F729" s="23"/>
      <c r="G729" s="21" t="str">
        <f t="shared" si="2"/>
        <v/>
      </c>
      <c r="H729" s="22"/>
      <c r="I729" s="22"/>
    </row>
    <row r="730">
      <c r="A730" s="17"/>
      <c r="B730" s="18"/>
      <c r="C730" s="17"/>
      <c r="D730" s="17"/>
      <c r="E730" s="23"/>
      <c r="F730" s="23"/>
      <c r="G730" s="21" t="str">
        <f t="shared" si="2"/>
        <v/>
      </c>
      <c r="H730" s="22"/>
      <c r="I730" s="22"/>
    </row>
    <row r="731">
      <c r="A731" s="17"/>
      <c r="B731" s="18"/>
      <c r="C731" s="17"/>
      <c r="D731" s="17"/>
      <c r="E731" s="23"/>
      <c r="F731" s="23"/>
      <c r="G731" s="21" t="str">
        <f t="shared" si="2"/>
        <v/>
      </c>
      <c r="H731" s="22"/>
      <c r="I731" s="22"/>
    </row>
    <row r="732">
      <c r="A732" s="17"/>
      <c r="B732" s="18"/>
      <c r="C732" s="17"/>
      <c r="D732" s="17"/>
      <c r="E732" s="23"/>
      <c r="F732" s="23"/>
      <c r="G732" s="21" t="str">
        <f t="shared" si="2"/>
        <v/>
      </c>
      <c r="H732" s="22"/>
      <c r="I732" s="22"/>
    </row>
    <row r="733">
      <c r="A733" s="17"/>
      <c r="B733" s="18"/>
      <c r="C733" s="17"/>
      <c r="D733" s="17"/>
      <c r="E733" s="23"/>
      <c r="F733" s="23"/>
      <c r="G733" s="21" t="str">
        <f t="shared" si="2"/>
        <v/>
      </c>
      <c r="H733" s="22"/>
      <c r="I733" s="22"/>
    </row>
    <row r="734">
      <c r="A734" s="17"/>
      <c r="B734" s="18"/>
      <c r="C734" s="17"/>
      <c r="D734" s="17"/>
      <c r="E734" s="23"/>
      <c r="F734" s="23"/>
      <c r="G734" s="21" t="str">
        <f t="shared" si="2"/>
        <v/>
      </c>
      <c r="H734" s="22"/>
      <c r="I734" s="22"/>
    </row>
    <row r="735">
      <c r="A735" s="17"/>
      <c r="B735" s="18"/>
      <c r="C735" s="17"/>
      <c r="D735" s="17"/>
      <c r="E735" s="23"/>
      <c r="F735" s="23"/>
      <c r="G735" s="21" t="str">
        <f t="shared" si="2"/>
        <v/>
      </c>
      <c r="H735" s="22"/>
      <c r="I735" s="22"/>
    </row>
    <row r="736">
      <c r="A736" s="17"/>
      <c r="B736" s="18"/>
      <c r="C736" s="17"/>
      <c r="D736" s="17"/>
      <c r="E736" s="23"/>
      <c r="F736" s="23"/>
      <c r="G736" s="21" t="str">
        <f t="shared" si="2"/>
        <v/>
      </c>
      <c r="H736" s="22"/>
      <c r="I736" s="22"/>
    </row>
    <row r="737">
      <c r="A737" s="17"/>
      <c r="B737" s="18"/>
      <c r="C737" s="17"/>
      <c r="D737" s="17"/>
      <c r="E737" s="23"/>
      <c r="F737" s="23"/>
      <c r="G737" s="21" t="str">
        <f t="shared" si="2"/>
        <v/>
      </c>
      <c r="H737" s="22"/>
      <c r="I737" s="22"/>
    </row>
    <row r="738">
      <c r="A738" s="17"/>
      <c r="B738" s="18"/>
      <c r="C738" s="17"/>
      <c r="D738" s="17"/>
      <c r="E738" s="23"/>
      <c r="F738" s="23"/>
      <c r="G738" s="21" t="str">
        <f t="shared" si="2"/>
        <v/>
      </c>
      <c r="H738" s="22"/>
      <c r="I738" s="22"/>
    </row>
    <row r="739">
      <c r="A739" s="17"/>
      <c r="B739" s="18"/>
      <c r="C739" s="17"/>
      <c r="D739" s="17"/>
      <c r="E739" s="23"/>
      <c r="F739" s="23"/>
      <c r="G739" s="21" t="str">
        <f t="shared" si="2"/>
        <v/>
      </c>
      <c r="H739" s="22"/>
      <c r="I739" s="22"/>
    </row>
    <row r="740">
      <c r="A740" s="17"/>
      <c r="B740" s="18"/>
      <c r="C740" s="17"/>
      <c r="D740" s="17"/>
      <c r="E740" s="23"/>
      <c r="F740" s="23"/>
      <c r="G740" s="21" t="str">
        <f t="shared" si="2"/>
        <v/>
      </c>
      <c r="H740" s="22"/>
      <c r="I740" s="22"/>
    </row>
    <row r="741">
      <c r="A741" s="17"/>
      <c r="B741" s="18"/>
      <c r="C741" s="17"/>
      <c r="D741" s="17"/>
      <c r="E741" s="23"/>
      <c r="F741" s="23"/>
      <c r="G741" s="21" t="str">
        <f t="shared" si="2"/>
        <v/>
      </c>
      <c r="H741" s="22"/>
      <c r="I741" s="22"/>
    </row>
    <row r="742">
      <c r="A742" s="17"/>
      <c r="B742" s="18"/>
      <c r="C742" s="17"/>
      <c r="D742" s="17"/>
      <c r="E742" s="23"/>
      <c r="F742" s="23"/>
      <c r="G742" s="21" t="str">
        <f t="shared" si="2"/>
        <v/>
      </c>
      <c r="H742" s="22"/>
      <c r="I742" s="22"/>
    </row>
    <row r="743">
      <c r="A743" s="17"/>
      <c r="B743" s="18"/>
      <c r="C743" s="17"/>
      <c r="D743" s="17"/>
      <c r="E743" s="23"/>
      <c r="F743" s="23"/>
      <c r="G743" s="21" t="str">
        <f t="shared" si="2"/>
        <v/>
      </c>
      <c r="H743" s="22"/>
      <c r="I743" s="22"/>
    </row>
    <row r="744">
      <c r="A744" s="17"/>
      <c r="B744" s="18"/>
      <c r="C744" s="17"/>
      <c r="D744" s="17"/>
      <c r="E744" s="23"/>
      <c r="F744" s="23"/>
      <c r="G744" s="21" t="str">
        <f t="shared" si="2"/>
        <v/>
      </c>
      <c r="H744" s="22"/>
      <c r="I744" s="22"/>
    </row>
    <row r="745">
      <c r="A745" s="17"/>
      <c r="B745" s="18"/>
      <c r="C745" s="17"/>
      <c r="D745" s="17"/>
      <c r="E745" s="23"/>
      <c r="F745" s="23"/>
      <c r="G745" s="21" t="str">
        <f t="shared" si="2"/>
        <v/>
      </c>
      <c r="H745" s="22"/>
      <c r="I745" s="22"/>
    </row>
    <row r="746">
      <c r="A746" s="17"/>
      <c r="B746" s="18"/>
      <c r="C746" s="17"/>
      <c r="D746" s="17"/>
      <c r="E746" s="23"/>
      <c r="F746" s="23"/>
      <c r="G746" s="21" t="str">
        <f t="shared" si="2"/>
        <v/>
      </c>
      <c r="H746" s="22"/>
      <c r="I746" s="22"/>
    </row>
    <row r="747">
      <c r="A747" s="17"/>
      <c r="B747" s="18"/>
      <c r="C747" s="17"/>
      <c r="D747" s="17"/>
      <c r="E747" s="23"/>
      <c r="F747" s="23"/>
      <c r="G747" s="21" t="str">
        <f t="shared" si="2"/>
        <v/>
      </c>
      <c r="H747" s="22"/>
      <c r="I747" s="22"/>
    </row>
    <row r="748">
      <c r="A748" s="17"/>
      <c r="B748" s="18"/>
      <c r="C748" s="17"/>
      <c r="D748" s="17"/>
      <c r="E748" s="23"/>
      <c r="F748" s="23"/>
      <c r="G748" s="21" t="str">
        <f t="shared" si="2"/>
        <v/>
      </c>
      <c r="H748" s="22"/>
      <c r="I748" s="22"/>
    </row>
    <row r="749">
      <c r="A749" s="17"/>
      <c r="B749" s="18"/>
      <c r="C749" s="17"/>
      <c r="D749" s="17"/>
      <c r="E749" s="23"/>
      <c r="F749" s="23"/>
      <c r="G749" s="21" t="str">
        <f t="shared" si="2"/>
        <v/>
      </c>
      <c r="H749" s="22"/>
      <c r="I749" s="22"/>
    </row>
    <row r="750">
      <c r="A750" s="17"/>
      <c r="B750" s="18"/>
      <c r="C750" s="17"/>
      <c r="D750" s="17"/>
      <c r="E750" s="23"/>
      <c r="F750" s="23"/>
      <c r="G750" s="21" t="str">
        <f t="shared" si="2"/>
        <v/>
      </c>
      <c r="H750" s="22"/>
      <c r="I750" s="22"/>
    </row>
    <row r="751">
      <c r="A751" s="17"/>
      <c r="B751" s="18"/>
      <c r="C751" s="17"/>
      <c r="D751" s="17"/>
      <c r="E751" s="23"/>
      <c r="F751" s="23"/>
      <c r="G751" s="21" t="str">
        <f t="shared" si="2"/>
        <v/>
      </c>
      <c r="H751" s="22"/>
      <c r="I751" s="22"/>
    </row>
    <row r="752">
      <c r="A752" s="17"/>
      <c r="B752" s="18"/>
      <c r="C752" s="17"/>
      <c r="D752" s="17"/>
      <c r="E752" s="23"/>
      <c r="F752" s="23"/>
      <c r="G752" s="21" t="str">
        <f t="shared" si="2"/>
        <v/>
      </c>
      <c r="H752" s="22"/>
      <c r="I752" s="22"/>
    </row>
    <row r="753">
      <c r="A753" s="17"/>
      <c r="B753" s="18"/>
      <c r="C753" s="17"/>
      <c r="D753" s="17"/>
      <c r="E753" s="23"/>
      <c r="F753" s="23"/>
      <c r="G753" s="21" t="str">
        <f t="shared" si="2"/>
        <v/>
      </c>
      <c r="H753" s="22"/>
      <c r="I753" s="22"/>
    </row>
    <row r="754">
      <c r="A754" s="17"/>
      <c r="B754" s="18"/>
      <c r="C754" s="17"/>
      <c r="D754" s="17"/>
      <c r="E754" s="23"/>
      <c r="F754" s="23"/>
      <c r="G754" s="21" t="str">
        <f t="shared" si="2"/>
        <v/>
      </c>
      <c r="H754" s="22"/>
      <c r="I754" s="22"/>
    </row>
    <row r="755">
      <c r="A755" s="17"/>
      <c r="B755" s="18"/>
      <c r="C755" s="17"/>
      <c r="D755" s="17"/>
      <c r="E755" s="23"/>
      <c r="F755" s="23"/>
      <c r="G755" s="21" t="str">
        <f t="shared" si="2"/>
        <v/>
      </c>
      <c r="H755" s="22"/>
      <c r="I755" s="22"/>
    </row>
    <row r="756">
      <c r="A756" s="17"/>
      <c r="B756" s="18"/>
      <c r="C756" s="17"/>
      <c r="D756" s="17"/>
      <c r="E756" s="23"/>
      <c r="F756" s="23"/>
      <c r="G756" s="21" t="str">
        <f t="shared" si="2"/>
        <v/>
      </c>
      <c r="H756" s="22"/>
      <c r="I756" s="22"/>
    </row>
    <row r="757">
      <c r="A757" s="17"/>
      <c r="B757" s="18"/>
      <c r="C757" s="17"/>
      <c r="D757" s="17"/>
      <c r="E757" s="23"/>
      <c r="F757" s="23"/>
      <c r="G757" s="21" t="str">
        <f t="shared" si="2"/>
        <v/>
      </c>
      <c r="H757" s="22"/>
      <c r="I757" s="22"/>
    </row>
    <row r="758">
      <c r="A758" s="17"/>
      <c r="B758" s="18"/>
      <c r="C758" s="17"/>
      <c r="D758" s="17"/>
      <c r="E758" s="23"/>
      <c r="F758" s="23"/>
      <c r="G758" s="21" t="str">
        <f t="shared" si="2"/>
        <v/>
      </c>
      <c r="H758" s="22"/>
      <c r="I758" s="22"/>
    </row>
    <row r="759">
      <c r="A759" s="17"/>
      <c r="B759" s="18"/>
      <c r="C759" s="17"/>
      <c r="D759" s="17"/>
      <c r="E759" s="23"/>
      <c r="F759" s="23"/>
      <c r="G759" s="21" t="str">
        <f t="shared" si="2"/>
        <v/>
      </c>
      <c r="H759" s="22"/>
      <c r="I759" s="22"/>
    </row>
    <row r="760">
      <c r="A760" s="17"/>
      <c r="B760" s="18"/>
      <c r="C760" s="17"/>
      <c r="D760" s="17"/>
      <c r="E760" s="23"/>
      <c r="F760" s="23"/>
      <c r="G760" s="21" t="str">
        <f t="shared" si="2"/>
        <v/>
      </c>
      <c r="H760" s="22"/>
      <c r="I760" s="22"/>
    </row>
    <row r="761">
      <c r="A761" s="17"/>
      <c r="B761" s="18"/>
      <c r="C761" s="17"/>
      <c r="D761" s="17"/>
      <c r="E761" s="23"/>
      <c r="F761" s="23"/>
      <c r="G761" s="21" t="str">
        <f t="shared" si="2"/>
        <v/>
      </c>
      <c r="H761" s="22"/>
      <c r="I761" s="22"/>
    </row>
    <row r="762">
      <c r="A762" s="17"/>
      <c r="B762" s="18"/>
      <c r="C762" s="17"/>
      <c r="D762" s="17"/>
      <c r="E762" s="23"/>
      <c r="F762" s="23"/>
      <c r="G762" s="21" t="str">
        <f t="shared" si="2"/>
        <v/>
      </c>
      <c r="H762" s="22"/>
      <c r="I762" s="22"/>
    </row>
    <row r="763">
      <c r="A763" s="17"/>
      <c r="B763" s="18"/>
      <c r="C763" s="17"/>
      <c r="D763" s="17"/>
      <c r="E763" s="23"/>
      <c r="F763" s="23"/>
      <c r="G763" s="21" t="str">
        <f t="shared" si="2"/>
        <v/>
      </c>
      <c r="H763" s="22"/>
      <c r="I763" s="22"/>
    </row>
    <row r="764">
      <c r="A764" s="17"/>
      <c r="B764" s="18"/>
      <c r="C764" s="17"/>
      <c r="D764" s="17"/>
      <c r="E764" s="23"/>
      <c r="F764" s="23"/>
      <c r="G764" s="21" t="str">
        <f t="shared" si="2"/>
        <v/>
      </c>
      <c r="H764" s="22"/>
      <c r="I764" s="22"/>
    </row>
    <row r="765">
      <c r="A765" s="17"/>
      <c r="B765" s="18"/>
      <c r="C765" s="17"/>
      <c r="D765" s="17"/>
      <c r="E765" s="23"/>
      <c r="F765" s="23"/>
      <c r="G765" s="21" t="str">
        <f t="shared" si="2"/>
        <v/>
      </c>
      <c r="H765" s="22"/>
      <c r="I765" s="22"/>
    </row>
    <row r="766">
      <c r="A766" s="17"/>
      <c r="B766" s="18"/>
      <c r="C766" s="17"/>
      <c r="D766" s="17"/>
      <c r="E766" s="23"/>
      <c r="F766" s="23"/>
      <c r="G766" s="21" t="str">
        <f t="shared" si="2"/>
        <v/>
      </c>
      <c r="H766" s="22"/>
      <c r="I766" s="22"/>
    </row>
    <row r="767">
      <c r="A767" s="17"/>
      <c r="B767" s="18"/>
      <c r="C767" s="17"/>
      <c r="D767" s="17"/>
      <c r="E767" s="23"/>
      <c r="F767" s="23"/>
      <c r="G767" s="21" t="str">
        <f t="shared" si="2"/>
        <v/>
      </c>
      <c r="H767" s="22"/>
      <c r="I767" s="22"/>
    </row>
    <row r="768">
      <c r="A768" s="17"/>
      <c r="B768" s="18"/>
      <c r="C768" s="17"/>
      <c r="D768" s="17"/>
      <c r="E768" s="23"/>
      <c r="F768" s="23"/>
      <c r="G768" s="21" t="str">
        <f t="shared" si="2"/>
        <v/>
      </c>
      <c r="H768" s="22"/>
      <c r="I768" s="22"/>
    </row>
    <row r="769">
      <c r="A769" s="17"/>
      <c r="B769" s="18"/>
      <c r="C769" s="17"/>
      <c r="D769" s="17"/>
      <c r="E769" s="23"/>
      <c r="F769" s="23"/>
      <c r="G769" s="21" t="str">
        <f t="shared" si="2"/>
        <v/>
      </c>
      <c r="H769" s="22"/>
      <c r="I769" s="22"/>
    </row>
    <row r="770">
      <c r="A770" s="17"/>
      <c r="B770" s="18"/>
      <c r="C770" s="17"/>
      <c r="D770" s="17"/>
      <c r="E770" s="23"/>
      <c r="F770" s="23"/>
      <c r="G770" s="21" t="str">
        <f t="shared" si="2"/>
        <v/>
      </c>
      <c r="H770" s="22"/>
      <c r="I770" s="22"/>
    </row>
    <row r="771">
      <c r="A771" s="17"/>
      <c r="B771" s="18"/>
      <c r="C771" s="17"/>
      <c r="D771" s="17"/>
      <c r="E771" s="23"/>
      <c r="F771" s="23"/>
      <c r="G771" s="21" t="str">
        <f t="shared" si="2"/>
        <v/>
      </c>
      <c r="H771" s="22"/>
      <c r="I771" s="22"/>
    </row>
    <row r="772">
      <c r="A772" s="17"/>
      <c r="B772" s="18"/>
      <c r="C772" s="17"/>
      <c r="D772" s="17"/>
      <c r="E772" s="23"/>
      <c r="F772" s="23"/>
      <c r="G772" s="21" t="str">
        <f t="shared" si="2"/>
        <v/>
      </c>
      <c r="H772" s="22"/>
      <c r="I772" s="22"/>
    </row>
    <row r="773">
      <c r="A773" s="17"/>
      <c r="B773" s="18"/>
      <c r="C773" s="17"/>
      <c r="D773" s="17"/>
      <c r="E773" s="23"/>
      <c r="F773" s="23"/>
      <c r="G773" s="21" t="str">
        <f t="shared" si="2"/>
        <v/>
      </c>
      <c r="H773" s="22"/>
      <c r="I773" s="22"/>
    </row>
    <row r="774">
      <c r="A774" s="17"/>
      <c r="B774" s="18"/>
      <c r="C774" s="17"/>
      <c r="D774" s="17"/>
      <c r="E774" s="23"/>
      <c r="F774" s="23"/>
      <c r="G774" s="21" t="str">
        <f t="shared" si="2"/>
        <v/>
      </c>
      <c r="H774" s="22"/>
      <c r="I774" s="22"/>
    </row>
    <row r="775">
      <c r="A775" s="17"/>
      <c r="B775" s="18"/>
      <c r="C775" s="17"/>
      <c r="D775" s="17"/>
      <c r="E775" s="23"/>
      <c r="F775" s="23"/>
      <c r="G775" s="21" t="str">
        <f t="shared" si="2"/>
        <v/>
      </c>
      <c r="H775" s="22"/>
      <c r="I775" s="22"/>
    </row>
    <row r="776">
      <c r="A776" s="17"/>
      <c r="B776" s="18"/>
      <c r="C776" s="17"/>
      <c r="D776" s="17"/>
      <c r="E776" s="23"/>
      <c r="F776" s="23"/>
      <c r="G776" s="21" t="str">
        <f t="shared" si="2"/>
        <v/>
      </c>
      <c r="H776" s="22"/>
      <c r="I776" s="22"/>
    </row>
    <row r="777">
      <c r="A777" s="17"/>
      <c r="B777" s="18"/>
      <c r="C777" s="17"/>
      <c r="D777" s="17"/>
      <c r="E777" s="23"/>
      <c r="F777" s="23"/>
      <c r="G777" s="21" t="str">
        <f t="shared" si="2"/>
        <v/>
      </c>
      <c r="H777" s="22"/>
      <c r="I777" s="22"/>
    </row>
    <row r="778">
      <c r="A778" s="17"/>
      <c r="B778" s="18"/>
      <c r="C778" s="17"/>
      <c r="D778" s="17"/>
      <c r="E778" s="23"/>
      <c r="F778" s="23"/>
      <c r="G778" s="21" t="str">
        <f t="shared" si="2"/>
        <v/>
      </c>
      <c r="H778" s="22"/>
      <c r="I778" s="22"/>
    </row>
    <row r="779">
      <c r="A779" s="17"/>
      <c r="B779" s="18"/>
      <c r="C779" s="17"/>
      <c r="D779" s="17"/>
      <c r="E779" s="23"/>
      <c r="F779" s="23"/>
      <c r="G779" s="21" t="str">
        <f t="shared" si="2"/>
        <v/>
      </c>
      <c r="H779" s="22"/>
      <c r="I779" s="22"/>
    </row>
    <row r="780">
      <c r="A780" s="17"/>
      <c r="B780" s="18"/>
      <c r="C780" s="17"/>
      <c r="D780" s="17"/>
      <c r="E780" s="23"/>
      <c r="F780" s="23"/>
      <c r="G780" s="21" t="str">
        <f t="shared" si="2"/>
        <v/>
      </c>
      <c r="H780" s="22"/>
      <c r="I780" s="22"/>
    </row>
    <row r="781">
      <c r="A781" s="17"/>
      <c r="B781" s="18"/>
      <c r="C781" s="17"/>
      <c r="D781" s="17"/>
      <c r="E781" s="23"/>
      <c r="F781" s="23"/>
      <c r="G781" s="21" t="str">
        <f t="shared" si="2"/>
        <v/>
      </c>
      <c r="H781" s="22"/>
      <c r="I781" s="22"/>
    </row>
    <row r="782">
      <c r="A782" s="17"/>
      <c r="B782" s="18"/>
      <c r="C782" s="17"/>
      <c r="D782" s="17"/>
      <c r="E782" s="23"/>
      <c r="F782" s="23"/>
      <c r="G782" s="21" t="str">
        <f t="shared" si="2"/>
        <v/>
      </c>
      <c r="H782" s="22"/>
      <c r="I782" s="22"/>
    </row>
    <row r="783">
      <c r="A783" s="17"/>
      <c r="B783" s="18"/>
      <c r="C783" s="17"/>
      <c r="D783" s="17"/>
      <c r="E783" s="23"/>
      <c r="F783" s="23"/>
      <c r="G783" s="21" t="str">
        <f t="shared" si="2"/>
        <v/>
      </c>
      <c r="H783" s="22"/>
      <c r="I783" s="22"/>
    </row>
    <row r="784">
      <c r="A784" s="17"/>
      <c r="B784" s="18"/>
      <c r="C784" s="17"/>
      <c r="D784" s="17"/>
      <c r="E784" s="23"/>
      <c r="F784" s="23"/>
      <c r="G784" s="21" t="str">
        <f t="shared" si="2"/>
        <v/>
      </c>
      <c r="H784" s="22"/>
      <c r="I784" s="22"/>
    </row>
    <row r="785">
      <c r="A785" s="17"/>
      <c r="B785" s="18"/>
      <c r="C785" s="17"/>
      <c r="D785" s="17"/>
      <c r="E785" s="23"/>
      <c r="F785" s="23"/>
      <c r="G785" s="21" t="str">
        <f t="shared" si="2"/>
        <v/>
      </c>
      <c r="H785" s="22"/>
      <c r="I785" s="22"/>
    </row>
    <row r="786">
      <c r="A786" s="17"/>
      <c r="B786" s="18"/>
      <c r="C786" s="17"/>
      <c r="D786" s="17"/>
      <c r="E786" s="23"/>
      <c r="F786" s="23"/>
      <c r="G786" s="21" t="str">
        <f t="shared" si="2"/>
        <v/>
      </c>
      <c r="H786" s="22"/>
      <c r="I786" s="22"/>
    </row>
    <row r="787">
      <c r="A787" s="17"/>
      <c r="B787" s="18"/>
      <c r="C787" s="17"/>
      <c r="D787" s="17"/>
      <c r="E787" s="23"/>
      <c r="F787" s="23"/>
      <c r="G787" s="21" t="str">
        <f t="shared" si="2"/>
        <v/>
      </c>
      <c r="H787" s="22"/>
      <c r="I787" s="22"/>
    </row>
    <row r="788">
      <c r="A788" s="17"/>
      <c r="B788" s="18"/>
      <c r="C788" s="17"/>
      <c r="D788" s="17"/>
      <c r="E788" s="23"/>
      <c r="F788" s="23"/>
      <c r="G788" s="21" t="str">
        <f t="shared" si="2"/>
        <v/>
      </c>
      <c r="H788" s="22"/>
      <c r="I788" s="22"/>
    </row>
    <row r="789">
      <c r="A789" s="17"/>
      <c r="B789" s="18"/>
      <c r="C789" s="17"/>
      <c r="D789" s="17"/>
      <c r="E789" s="23"/>
      <c r="F789" s="23"/>
      <c r="G789" s="21" t="str">
        <f t="shared" si="2"/>
        <v/>
      </c>
      <c r="H789" s="22"/>
      <c r="I789" s="22"/>
    </row>
    <row r="790">
      <c r="A790" s="17"/>
      <c r="B790" s="18"/>
      <c r="C790" s="17"/>
      <c r="D790" s="17"/>
      <c r="E790" s="23"/>
      <c r="F790" s="23"/>
      <c r="G790" s="21" t="str">
        <f t="shared" si="2"/>
        <v/>
      </c>
      <c r="H790" s="22"/>
      <c r="I790" s="22"/>
    </row>
    <row r="791">
      <c r="A791" s="17"/>
      <c r="B791" s="18"/>
      <c r="C791" s="17"/>
      <c r="D791" s="17"/>
      <c r="E791" s="23"/>
      <c r="F791" s="23"/>
      <c r="G791" s="21" t="str">
        <f t="shared" si="2"/>
        <v/>
      </c>
      <c r="H791" s="22"/>
      <c r="I791" s="22"/>
    </row>
    <row r="792">
      <c r="A792" s="17"/>
      <c r="B792" s="18"/>
      <c r="C792" s="17"/>
      <c r="D792" s="17"/>
      <c r="E792" s="23"/>
      <c r="F792" s="23"/>
      <c r="G792" s="21" t="str">
        <f t="shared" si="2"/>
        <v/>
      </c>
      <c r="H792" s="22"/>
      <c r="I792" s="22"/>
    </row>
    <row r="793">
      <c r="A793" s="17"/>
      <c r="B793" s="18"/>
      <c r="C793" s="17"/>
      <c r="D793" s="17"/>
      <c r="E793" s="23"/>
      <c r="F793" s="23"/>
      <c r="G793" s="21" t="str">
        <f t="shared" si="2"/>
        <v/>
      </c>
      <c r="H793" s="22"/>
      <c r="I793" s="22"/>
    </row>
    <row r="794">
      <c r="A794" s="17"/>
      <c r="B794" s="18"/>
      <c r="C794" s="17"/>
      <c r="D794" s="17"/>
      <c r="E794" s="23"/>
      <c r="F794" s="23"/>
      <c r="G794" s="21" t="str">
        <f t="shared" si="2"/>
        <v/>
      </c>
      <c r="H794" s="22"/>
      <c r="I794" s="22"/>
    </row>
    <row r="795">
      <c r="A795" s="17"/>
      <c r="B795" s="18"/>
      <c r="C795" s="17"/>
      <c r="D795" s="17"/>
      <c r="E795" s="23"/>
      <c r="F795" s="23"/>
      <c r="G795" s="21" t="str">
        <f t="shared" si="2"/>
        <v/>
      </c>
      <c r="H795" s="22"/>
      <c r="I795" s="22"/>
    </row>
    <row r="796">
      <c r="A796" s="17"/>
      <c r="B796" s="18"/>
      <c r="C796" s="17"/>
      <c r="D796" s="17"/>
      <c r="E796" s="23"/>
      <c r="F796" s="23"/>
      <c r="G796" s="21" t="str">
        <f t="shared" si="2"/>
        <v/>
      </c>
      <c r="H796" s="22"/>
      <c r="I796" s="22"/>
    </row>
    <row r="797">
      <c r="A797" s="17"/>
      <c r="B797" s="18"/>
      <c r="C797" s="17"/>
      <c r="D797" s="17"/>
      <c r="E797" s="23"/>
      <c r="F797" s="23"/>
      <c r="G797" s="21" t="str">
        <f t="shared" si="2"/>
        <v/>
      </c>
      <c r="H797" s="22"/>
      <c r="I797" s="22"/>
    </row>
    <row r="798">
      <c r="A798" s="17"/>
      <c r="B798" s="18"/>
      <c r="C798" s="17"/>
      <c r="D798" s="17"/>
      <c r="E798" s="23"/>
      <c r="F798" s="23"/>
      <c r="G798" s="21" t="str">
        <f t="shared" si="2"/>
        <v/>
      </c>
      <c r="H798" s="22"/>
      <c r="I798" s="22"/>
    </row>
    <row r="799">
      <c r="A799" s="17"/>
      <c r="B799" s="18"/>
      <c r="C799" s="17"/>
      <c r="D799" s="17"/>
      <c r="E799" s="23"/>
      <c r="F799" s="23"/>
      <c r="G799" s="21" t="str">
        <f t="shared" si="2"/>
        <v/>
      </c>
      <c r="H799" s="22"/>
      <c r="I799" s="22"/>
    </row>
    <row r="800">
      <c r="A800" s="17"/>
      <c r="B800" s="18"/>
      <c r="C800" s="17"/>
      <c r="D800" s="17"/>
      <c r="E800" s="23"/>
      <c r="F800" s="23"/>
      <c r="G800" s="21" t="str">
        <f t="shared" si="2"/>
        <v/>
      </c>
      <c r="H800" s="22"/>
      <c r="I800" s="22"/>
    </row>
    <row r="801">
      <c r="A801" s="17"/>
      <c r="B801" s="18"/>
      <c r="C801" s="17"/>
      <c r="D801" s="17"/>
      <c r="E801" s="23"/>
      <c r="F801" s="23"/>
      <c r="G801" s="21" t="str">
        <f t="shared" si="2"/>
        <v/>
      </c>
      <c r="H801" s="22"/>
      <c r="I801" s="22"/>
    </row>
    <row r="802">
      <c r="A802" s="17"/>
      <c r="B802" s="18"/>
      <c r="C802" s="17"/>
      <c r="D802" s="17"/>
      <c r="E802" s="23"/>
      <c r="F802" s="23"/>
      <c r="G802" s="21" t="str">
        <f t="shared" si="2"/>
        <v/>
      </c>
      <c r="H802" s="22"/>
      <c r="I802" s="22"/>
    </row>
    <row r="803">
      <c r="A803" s="17"/>
      <c r="B803" s="18"/>
      <c r="C803" s="17"/>
      <c r="D803" s="17"/>
      <c r="E803" s="23"/>
      <c r="F803" s="23"/>
      <c r="G803" s="21" t="str">
        <f t="shared" si="2"/>
        <v/>
      </c>
      <c r="H803" s="22"/>
      <c r="I803" s="22"/>
    </row>
    <row r="804">
      <c r="A804" s="17"/>
      <c r="B804" s="18"/>
      <c r="C804" s="17"/>
      <c r="D804" s="17"/>
      <c r="E804" s="23"/>
      <c r="F804" s="23"/>
      <c r="G804" s="21" t="str">
        <f t="shared" si="2"/>
        <v/>
      </c>
      <c r="H804" s="22"/>
      <c r="I804" s="22"/>
    </row>
    <row r="805">
      <c r="A805" s="17"/>
      <c r="B805" s="18"/>
      <c r="C805" s="17"/>
      <c r="D805" s="17"/>
      <c r="E805" s="23"/>
      <c r="F805" s="23"/>
      <c r="G805" s="21" t="str">
        <f t="shared" si="2"/>
        <v/>
      </c>
      <c r="H805" s="22"/>
      <c r="I805" s="22"/>
    </row>
    <row r="806">
      <c r="A806" s="17"/>
      <c r="B806" s="18"/>
      <c r="C806" s="17"/>
      <c r="D806" s="17"/>
      <c r="E806" s="23"/>
      <c r="F806" s="23"/>
      <c r="G806" s="21" t="str">
        <f t="shared" si="2"/>
        <v/>
      </c>
      <c r="H806" s="22"/>
      <c r="I806" s="22"/>
    </row>
    <row r="807">
      <c r="A807" s="17"/>
      <c r="B807" s="18"/>
      <c r="C807" s="17"/>
      <c r="D807" s="17"/>
      <c r="E807" s="23"/>
      <c r="F807" s="23"/>
      <c r="G807" s="21" t="str">
        <f t="shared" si="2"/>
        <v/>
      </c>
      <c r="H807" s="22"/>
      <c r="I807" s="22"/>
    </row>
    <row r="808">
      <c r="A808" s="17"/>
      <c r="B808" s="18"/>
      <c r="C808" s="17"/>
      <c r="D808" s="17"/>
      <c r="E808" s="23"/>
      <c r="F808" s="23"/>
      <c r="G808" s="21" t="str">
        <f t="shared" si="2"/>
        <v/>
      </c>
      <c r="H808" s="22"/>
      <c r="I808" s="22"/>
    </row>
    <row r="809">
      <c r="A809" s="17"/>
      <c r="B809" s="18"/>
      <c r="C809" s="17"/>
      <c r="D809" s="17"/>
      <c r="E809" s="23"/>
      <c r="F809" s="23"/>
      <c r="G809" s="21" t="str">
        <f t="shared" si="2"/>
        <v/>
      </c>
      <c r="H809" s="22"/>
      <c r="I809" s="22"/>
    </row>
    <row r="810">
      <c r="A810" s="17"/>
      <c r="B810" s="18"/>
      <c r="C810" s="17"/>
      <c r="D810" s="17"/>
      <c r="E810" s="23"/>
      <c r="F810" s="23"/>
      <c r="G810" s="21" t="str">
        <f t="shared" si="2"/>
        <v/>
      </c>
      <c r="H810" s="22"/>
      <c r="I810" s="22"/>
    </row>
    <row r="811">
      <c r="A811" s="17"/>
      <c r="B811" s="18"/>
      <c r="C811" s="17"/>
      <c r="D811" s="17"/>
      <c r="E811" s="23"/>
      <c r="F811" s="23"/>
      <c r="G811" s="21" t="str">
        <f t="shared" si="2"/>
        <v/>
      </c>
      <c r="H811" s="22"/>
      <c r="I811" s="22"/>
    </row>
    <row r="812">
      <c r="A812" s="17"/>
      <c r="B812" s="18"/>
      <c r="C812" s="17"/>
      <c r="D812" s="17"/>
      <c r="E812" s="23"/>
      <c r="F812" s="23"/>
      <c r="G812" s="21" t="str">
        <f t="shared" si="2"/>
        <v/>
      </c>
      <c r="H812" s="22"/>
      <c r="I812" s="22"/>
    </row>
    <row r="813">
      <c r="A813" s="17"/>
      <c r="B813" s="18"/>
      <c r="C813" s="17"/>
      <c r="D813" s="17"/>
      <c r="E813" s="23"/>
      <c r="F813" s="23"/>
      <c r="G813" s="21" t="str">
        <f t="shared" si="2"/>
        <v/>
      </c>
      <c r="H813" s="22"/>
      <c r="I813" s="22"/>
    </row>
    <row r="814">
      <c r="A814" s="17"/>
      <c r="B814" s="18"/>
      <c r="C814" s="17"/>
      <c r="D814" s="17"/>
      <c r="E814" s="23"/>
      <c r="F814" s="23"/>
      <c r="G814" s="21" t="str">
        <f t="shared" si="2"/>
        <v/>
      </c>
      <c r="H814" s="22"/>
      <c r="I814" s="22"/>
    </row>
    <row r="815">
      <c r="A815" s="17"/>
      <c r="B815" s="18"/>
      <c r="C815" s="17"/>
      <c r="D815" s="17"/>
      <c r="E815" s="23"/>
      <c r="F815" s="23"/>
      <c r="G815" s="21" t="str">
        <f t="shared" si="2"/>
        <v/>
      </c>
      <c r="H815" s="22"/>
      <c r="I815" s="22"/>
    </row>
    <row r="816">
      <c r="A816" s="17"/>
      <c r="B816" s="18"/>
      <c r="C816" s="17"/>
      <c r="D816" s="17"/>
      <c r="E816" s="23"/>
      <c r="F816" s="23"/>
      <c r="G816" s="21" t="str">
        <f t="shared" si="2"/>
        <v/>
      </c>
      <c r="H816" s="22"/>
      <c r="I816" s="22"/>
    </row>
    <row r="817">
      <c r="A817" s="17"/>
      <c r="B817" s="18"/>
      <c r="C817" s="17"/>
      <c r="D817" s="17"/>
      <c r="E817" s="23"/>
      <c r="F817" s="23"/>
      <c r="G817" s="21" t="str">
        <f t="shared" si="2"/>
        <v/>
      </c>
      <c r="H817" s="22"/>
      <c r="I817" s="22"/>
    </row>
    <row r="818">
      <c r="A818" s="17"/>
      <c r="B818" s="18"/>
      <c r="C818" s="17"/>
      <c r="D818" s="17"/>
      <c r="E818" s="23"/>
      <c r="F818" s="23"/>
      <c r="G818" s="21" t="str">
        <f t="shared" si="2"/>
        <v/>
      </c>
      <c r="H818" s="22"/>
      <c r="I818" s="22"/>
    </row>
    <row r="819">
      <c r="A819" s="17"/>
      <c r="B819" s="18"/>
      <c r="C819" s="17"/>
      <c r="D819" s="17"/>
      <c r="E819" s="23"/>
      <c r="F819" s="23"/>
      <c r="G819" s="21" t="str">
        <f t="shared" si="2"/>
        <v/>
      </c>
      <c r="H819" s="22"/>
      <c r="I819" s="22"/>
    </row>
    <row r="820">
      <c r="A820" s="17"/>
      <c r="B820" s="18"/>
      <c r="C820" s="17"/>
      <c r="D820" s="17"/>
      <c r="E820" s="23"/>
      <c r="F820" s="23"/>
      <c r="G820" s="21" t="str">
        <f t="shared" si="2"/>
        <v/>
      </c>
      <c r="H820" s="22"/>
      <c r="I820" s="22"/>
    </row>
    <row r="821">
      <c r="A821" s="17"/>
      <c r="B821" s="18"/>
      <c r="C821" s="17"/>
      <c r="D821" s="17"/>
      <c r="E821" s="23"/>
      <c r="F821" s="23"/>
      <c r="G821" s="21" t="str">
        <f t="shared" si="2"/>
        <v/>
      </c>
      <c r="H821" s="22"/>
      <c r="I821" s="22"/>
    </row>
    <row r="822">
      <c r="A822" s="17"/>
      <c r="B822" s="18"/>
      <c r="C822" s="17"/>
      <c r="D822" s="17"/>
      <c r="E822" s="23"/>
      <c r="F822" s="23"/>
      <c r="G822" s="21" t="str">
        <f t="shared" si="2"/>
        <v/>
      </c>
      <c r="H822" s="22"/>
      <c r="I822" s="22"/>
    </row>
    <row r="823">
      <c r="A823" s="17"/>
      <c r="B823" s="18"/>
      <c r="C823" s="17"/>
      <c r="D823" s="17"/>
      <c r="E823" s="23"/>
      <c r="F823" s="23"/>
      <c r="G823" s="21" t="str">
        <f t="shared" si="2"/>
        <v/>
      </c>
      <c r="H823" s="22"/>
      <c r="I823" s="22"/>
    </row>
    <row r="824">
      <c r="A824" s="17"/>
      <c r="B824" s="18"/>
      <c r="C824" s="17"/>
      <c r="D824" s="17"/>
      <c r="E824" s="23"/>
      <c r="F824" s="23"/>
      <c r="G824" s="21" t="str">
        <f t="shared" si="2"/>
        <v/>
      </c>
      <c r="H824" s="22"/>
      <c r="I824" s="22"/>
    </row>
    <row r="825">
      <c r="A825" s="17"/>
      <c r="B825" s="18"/>
      <c r="C825" s="17"/>
      <c r="D825" s="17"/>
      <c r="E825" s="23"/>
      <c r="F825" s="23"/>
      <c r="G825" s="21" t="str">
        <f t="shared" si="2"/>
        <v/>
      </c>
      <c r="H825" s="22"/>
      <c r="I825" s="22"/>
    </row>
    <row r="826">
      <c r="A826" s="17"/>
      <c r="B826" s="18"/>
      <c r="C826" s="17"/>
      <c r="D826" s="17"/>
      <c r="E826" s="23"/>
      <c r="F826" s="23"/>
      <c r="G826" s="21" t="str">
        <f t="shared" si="2"/>
        <v/>
      </c>
      <c r="H826" s="22"/>
      <c r="I826" s="22"/>
    </row>
    <row r="827">
      <c r="A827" s="17"/>
      <c r="B827" s="18"/>
      <c r="C827" s="17"/>
      <c r="D827" s="17"/>
      <c r="E827" s="23"/>
      <c r="F827" s="23"/>
      <c r="G827" s="21" t="str">
        <f t="shared" si="2"/>
        <v/>
      </c>
      <c r="H827" s="22"/>
      <c r="I827" s="22"/>
    </row>
    <row r="828">
      <c r="A828" s="17"/>
      <c r="B828" s="18"/>
      <c r="C828" s="17"/>
      <c r="D828" s="17"/>
      <c r="E828" s="23"/>
      <c r="F828" s="23"/>
      <c r="G828" s="21" t="str">
        <f t="shared" si="2"/>
        <v/>
      </c>
      <c r="H828" s="22"/>
      <c r="I828" s="22"/>
    </row>
    <row r="829">
      <c r="A829" s="17"/>
      <c r="B829" s="18"/>
      <c r="C829" s="17"/>
      <c r="D829" s="17"/>
      <c r="E829" s="23"/>
      <c r="F829" s="23"/>
      <c r="G829" s="21" t="str">
        <f t="shared" si="2"/>
        <v/>
      </c>
      <c r="H829" s="22"/>
      <c r="I829" s="22"/>
    </row>
    <row r="830">
      <c r="A830" s="17"/>
      <c r="B830" s="18"/>
      <c r="C830" s="17"/>
      <c r="D830" s="17"/>
      <c r="E830" s="23"/>
      <c r="F830" s="23"/>
      <c r="G830" s="21" t="str">
        <f t="shared" si="2"/>
        <v/>
      </c>
      <c r="H830" s="22"/>
      <c r="I830" s="22"/>
    </row>
    <row r="831">
      <c r="A831" s="17"/>
      <c r="B831" s="18"/>
      <c r="C831" s="17"/>
      <c r="D831" s="17"/>
      <c r="E831" s="23"/>
      <c r="F831" s="23"/>
      <c r="G831" s="21" t="str">
        <f t="shared" si="2"/>
        <v/>
      </c>
      <c r="H831" s="22"/>
      <c r="I831" s="22"/>
    </row>
    <row r="832">
      <c r="A832" s="17"/>
      <c r="B832" s="18"/>
      <c r="C832" s="17"/>
      <c r="D832" s="17"/>
      <c r="E832" s="23"/>
      <c r="F832" s="23"/>
      <c r="G832" s="21" t="str">
        <f t="shared" si="2"/>
        <v/>
      </c>
      <c r="H832" s="22"/>
      <c r="I832" s="22"/>
    </row>
    <row r="833">
      <c r="A833" s="17"/>
      <c r="B833" s="18"/>
      <c r="C833" s="17"/>
      <c r="D833" s="17"/>
      <c r="E833" s="23"/>
      <c r="F833" s="23"/>
      <c r="G833" s="21" t="str">
        <f t="shared" si="2"/>
        <v/>
      </c>
      <c r="H833" s="22"/>
      <c r="I833" s="22"/>
    </row>
    <row r="834">
      <c r="A834" s="17"/>
      <c r="B834" s="18"/>
      <c r="C834" s="17"/>
      <c r="D834" s="17"/>
      <c r="E834" s="23"/>
      <c r="F834" s="23"/>
      <c r="G834" s="21" t="str">
        <f t="shared" si="2"/>
        <v/>
      </c>
      <c r="H834" s="22"/>
      <c r="I834" s="22"/>
    </row>
    <row r="835">
      <c r="A835" s="17"/>
      <c r="B835" s="18"/>
      <c r="C835" s="17"/>
      <c r="D835" s="17"/>
      <c r="E835" s="23"/>
      <c r="F835" s="23"/>
      <c r="G835" s="21" t="str">
        <f t="shared" si="2"/>
        <v/>
      </c>
      <c r="H835" s="22"/>
      <c r="I835" s="22"/>
    </row>
    <row r="836">
      <c r="A836" s="17"/>
      <c r="B836" s="18"/>
      <c r="C836" s="17"/>
      <c r="D836" s="17"/>
      <c r="E836" s="23"/>
      <c r="F836" s="23"/>
      <c r="G836" s="21" t="str">
        <f t="shared" si="2"/>
        <v/>
      </c>
      <c r="H836" s="22"/>
      <c r="I836" s="22"/>
    </row>
    <row r="837">
      <c r="A837" s="17"/>
      <c r="B837" s="18"/>
      <c r="C837" s="17"/>
      <c r="D837" s="17"/>
      <c r="E837" s="23"/>
      <c r="F837" s="23"/>
      <c r="G837" s="21" t="str">
        <f t="shared" si="2"/>
        <v/>
      </c>
      <c r="H837" s="22"/>
      <c r="I837" s="22"/>
    </row>
    <row r="838">
      <c r="A838" s="17"/>
      <c r="B838" s="18"/>
      <c r="C838" s="17"/>
      <c r="D838" s="17"/>
      <c r="E838" s="23"/>
      <c r="F838" s="23"/>
      <c r="G838" s="21" t="str">
        <f t="shared" si="2"/>
        <v/>
      </c>
      <c r="H838" s="22"/>
      <c r="I838" s="22"/>
    </row>
    <row r="839">
      <c r="A839" s="17"/>
      <c r="B839" s="18"/>
      <c r="C839" s="17"/>
      <c r="D839" s="17"/>
      <c r="E839" s="23"/>
      <c r="F839" s="23"/>
      <c r="G839" s="21" t="str">
        <f t="shared" si="2"/>
        <v/>
      </c>
      <c r="H839" s="22"/>
      <c r="I839" s="22"/>
    </row>
    <row r="840">
      <c r="A840" s="17"/>
      <c r="B840" s="18"/>
      <c r="C840" s="17"/>
      <c r="D840" s="17"/>
      <c r="E840" s="23"/>
      <c r="F840" s="23"/>
      <c r="G840" s="21" t="str">
        <f t="shared" si="2"/>
        <v/>
      </c>
      <c r="H840" s="22"/>
      <c r="I840" s="22"/>
    </row>
    <row r="841">
      <c r="A841" s="17"/>
      <c r="B841" s="18"/>
      <c r="C841" s="17"/>
      <c r="D841" s="17"/>
      <c r="E841" s="23"/>
      <c r="F841" s="23"/>
      <c r="G841" s="21" t="str">
        <f t="shared" si="2"/>
        <v/>
      </c>
      <c r="H841" s="22"/>
      <c r="I841" s="22"/>
    </row>
    <row r="842">
      <c r="A842" s="17"/>
      <c r="B842" s="18"/>
      <c r="C842" s="17"/>
      <c r="D842" s="17"/>
      <c r="E842" s="23"/>
      <c r="F842" s="23"/>
      <c r="G842" s="21" t="str">
        <f t="shared" si="2"/>
        <v/>
      </c>
      <c r="H842" s="22"/>
      <c r="I842" s="22"/>
    </row>
    <row r="843">
      <c r="A843" s="17"/>
      <c r="B843" s="18"/>
      <c r="C843" s="17"/>
      <c r="D843" s="17"/>
      <c r="E843" s="23"/>
      <c r="F843" s="23"/>
      <c r="G843" s="21" t="str">
        <f t="shared" si="2"/>
        <v/>
      </c>
      <c r="H843" s="22"/>
      <c r="I843" s="22"/>
    </row>
    <row r="844">
      <c r="A844" s="17"/>
      <c r="B844" s="18"/>
      <c r="C844" s="17"/>
      <c r="D844" s="17"/>
      <c r="E844" s="23"/>
      <c r="F844" s="23"/>
      <c r="G844" s="21" t="str">
        <f t="shared" si="2"/>
        <v/>
      </c>
      <c r="H844" s="22"/>
      <c r="I844" s="22"/>
    </row>
    <row r="845">
      <c r="A845" s="17"/>
      <c r="B845" s="18"/>
      <c r="C845" s="17"/>
      <c r="D845" s="17"/>
      <c r="E845" s="23"/>
      <c r="F845" s="23"/>
      <c r="G845" s="21" t="str">
        <f t="shared" si="2"/>
        <v/>
      </c>
      <c r="H845" s="22"/>
      <c r="I845" s="22"/>
    </row>
    <row r="846">
      <c r="A846" s="17"/>
      <c r="B846" s="18"/>
      <c r="C846" s="17"/>
      <c r="D846" s="17"/>
      <c r="E846" s="23"/>
      <c r="F846" s="23"/>
      <c r="G846" s="21" t="str">
        <f t="shared" si="2"/>
        <v/>
      </c>
      <c r="H846" s="22"/>
      <c r="I846" s="22"/>
    </row>
    <row r="847">
      <c r="A847" s="17"/>
      <c r="B847" s="18"/>
      <c r="C847" s="17"/>
      <c r="D847" s="17"/>
      <c r="E847" s="23"/>
      <c r="F847" s="23"/>
      <c r="G847" s="21" t="str">
        <f t="shared" si="2"/>
        <v/>
      </c>
      <c r="H847" s="22"/>
      <c r="I847" s="22"/>
    </row>
    <row r="848">
      <c r="A848" s="17"/>
      <c r="B848" s="18"/>
      <c r="C848" s="17"/>
      <c r="D848" s="17"/>
      <c r="E848" s="23"/>
      <c r="F848" s="23"/>
      <c r="G848" s="21" t="str">
        <f t="shared" si="2"/>
        <v/>
      </c>
      <c r="H848" s="22"/>
      <c r="I848" s="22"/>
    </row>
    <row r="849">
      <c r="A849" s="17"/>
      <c r="B849" s="18"/>
      <c r="C849" s="17"/>
      <c r="D849" s="17"/>
      <c r="E849" s="23"/>
      <c r="F849" s="23"/>
      <c r="G849" s="21" t="str">
        <f t="shared" si="2"/>
        <v/>
      </c>
      <c r="H849" s="22"/>
      <c r="I849" s="22"/>
    </row>
    <row r="850">
      <c r="A850" s="17"/>
      <c r="B850" s="18"/>
      <c r="C850" s="17"/>
      <c r="D850" s="17"/>
      <c r="E850" s="23"/>
      <c r="F850" s="23"/>
      <c r="G850" s="21" t="str">
        <f t="shared" si="2"/>
        <v/>
      </c>
      <c r="H850" s="22"/>
      <c r="I850" s="22"/>
    </row>
    <row r="851">
      <c r="A851" s="17"/>
      <c r="B851" s="18"/>
      <c r="C851" s="17"/>
      <c r="D851" s="17"/>
      <c r="E851" s="23"/>
      <c r="F851" s="23"/>
      <c r="G851" s="21" t="str">
        <f t="shared" si="2"/>
        <v/>
      </c>
      <c r="H851" s="22"/>
      <c r="I851" s="22"/>
    </row>
    <row r="852">
      <c r="A852" s="17"/>
      <c r="B852" s="18"/>
      <c r="C852" s="17"/>
      <c r="D852" s="17"/>
      <c r="E852" s="23"/>
      <c r="F852" s="23"/>
      <c r="G852" s="21" t="str">
        <f t="shared" si="2"/>
        <v/>
      </c>
      <c r="H852" s="22"/>
      <c r="I852" s="22"/>
    </row>
    <row r="853">
      <c r="A853" s="17"/>
      <c r="B853" s="18"/>
      <c r="C853" s="17"/>
      <c r="D853" s="17"/>
      <c r="E853" s="23"/>
      <c r="F853" s="23"/>
      <c r="G853" s="21" t="str">
        <f t="shared" si="2"/>
        <v/>
      </c>
      <c r="H853" s="22"/>
      <c r="I853" s="22"/>
    </row>
    <row r="854">
      <c r="A854" s="17"/>
      <c r="B854" s="18"/>
      <c r="C854" s="17"/>
      <c r="D854" s="17"/>
      <c r="E854" s="23"/>
      <c r="F854" s="23"/>
      <c r="G854" s="21" t="str">
        <f t="shared" si="2"/>
        <v/>
      </c>
      <c r="H854" s="22"/>
      <c r="I854" s="22"/>
    </row>
    <row r="855">
      <c r="A855" s="17"/>
      <c r="B855" s="18"/>
      <c r="C855" s="17"/>
      <c r="D855" s="17"/>
      <c r="E855" s="23"/>
      <c r="F855" s="23"/>
      <c r="G855" s="21" t="str">
        <f t="shared" si="2"/>
        <v/>
      </c>
      <c r="H855" s="22"/>
      <c r="I855" s="22"/>
    </row>
    <row r="856">
      <c r="A856" s="17"/>
      <c r="B856" s="18"/>
      <c r="C856" s="17"/>
      <c r="D856" s="17"/>
      <c r="E856" s="23"/>
      <c r="F856" s="23"/>
      <c r="G856" s="21" t="str">
        <f t="shared" si="2"/>
        <v/>
      </c>
      <c r="H856" s="22"/>
      <c r="I856" s="22"/>
    </row>
    <row r="857">
      <c r="A857" s="17"/>
      <c r="B857" s="18"/>
      <c r="C857" s="17"/>
      <c r="D857" s="17"/>
      <c r="E857" s="23"/>
      <c r="F857" s="23"/>
      <c r="G857" s="21" t="str">
        <f t="shared" si="2"/>
        <v/>
      </c>
      <c r="H857" s="22"/>
      <c r="I857" s="22"/>
    </row>
    <row r="858">
      <c r="A858" s="17"/>
      <c r="B858" s="18"/>
      <c r="C858" s="17"/>
      <c r="D858" s="17"/>
      <c r="E858" s="23"/>
      <c r="F858" s="23"/>
      <c r="G858" s="21" t="str">
        <f t="shared" si="2"/>
        <v/>
      </c>
      <c r="H858" s="22"/>
      <c r="I858" s="22"/>
    </row>
    <row r="859">
      <c r="A859" s="17"/>
      <c r="B859" s="18"/>
      <c r="C859" s="17"/>
      <c r="D859" s="17"/>
      <c r="E859" s="23"/>
      <c r="F859" s="23"/>
      <c r="G859" s="21" t="str">
        <f t="shared" si="2"/>
        <v/>
      </c>
      <c r="H859" s="22"/>
      <c r="I859" s="22"/>
    </row>
    <row r="860">
      <c r="A860" s="17"/>
      <c r="B860" s="18"/>
      <c r="C860" s="17"/>
      <c r="D860" s="17"/>
      <c r="E860" s="23"/>
      <c r="F860" s="23"/>
      <c r="G860" s="21" t="str">
        <f t="shared" si="2"/>
        <v/>
      </c>
      <c r="H860" s="22"/>
      <c r="I860" s="22"/>
    </row>
    <row r="861">
      <c r="A861" s="17"/>
      <c r="B861" s="18"/>
      <c r="C861" s="17"/>
      <c r="D861" s="17"/>
      <c r="E861" s="23"/>
      <c r="F861" s="23"/>
      <c r="G861" s="21" t="str">
        <f t="shared" si="2"/>
        <v/>
      </c>
      <c r="H861" s="22"/>
      <c r="I861" s="22"/>
    </row>
    <row r="862">
      <c r="A862" s="17"/>
      <c r="B862" s="18"/>
      <c r="C862" s="17"/>
      <c r="D862" s="17"/>
      <c r="E862" s="23"/>
      <c r="F862" s="23"/>
      <c r="G862" s="21" t="str">
        <f t="shared" si="2"/>
        <v/>
      </c>
      <c r="H862" s="22"/>
      <c r="I862" s="22"/>
    </row>
    <row r="863">
      <c r="A863" s="17"/>
      <c r="B863" s="18"/>
      <c r="C863" s="17"/>
      <c r="D863" s="17"/>
      <c r="E863" s="23"/>
      <c r="F863" s="23"/>
      <c r="G863" s="21" t="str">
        <f t="shared" si="2"/>
        <v/>
      </c>
      <c r="H863" s="22"/>
      <c r="I863" s="22"/>
    </row>
    <row r="864">
      <c r="A864" s="17"/>
      <c r="B864" s="18"/>
      <c r="C864" s="17"/>
      <c r="D864" s="17"/>
      <c r="E864" s="23"/>
      <c r="F864" s="23"/>
      <c r="G864" s="21" t="str">
        <f t="shared" si="2"/>
        <v/>
      </c>
      <c r="H864" s="22"/>
      <c r="I864" s="22"/>
    </row>
    <row r="865">
      <c r="A865" s="17"/>
      <c r="B865" s="18"/>
      <c r="C865" s="17"/>
      <c r="D865" s="17"/>
      <c r="E865" s="23"/>
      <c r="F865" s="23"/>
      <c r="G865" s="21" t="str">
        <f t="shared" si="2"/>
        <v/>
      </c>
      <c r="H865" s="22"/>
      <c r="I865" s="22"/>
    </row>
    <row r="866">
      <c r="A866" s="17"/>
      <c r="B866" s="18"/>
      <c r="C866" s="17"/>
      <c r="D866" s="17"/>
      <c r="E866" s="23"/>
      <c r="F866" s="23"/>
      <c r="G866" s="21" t="str">
        <f t="shared" si="2"/>
        <v/>
      </c>
      <c r="H866" s="22"/>
      <c r="I866" s="22"/>
    </row>
    <row r="867">
      <c r="A867" s="17"/>
      <c r="B867" s="18"/>
      <c r="C867" s="17"/>
      <c r="D867" s="17"/>
      <c r="E867" s="23"/>
      <c r="F867" s="23"/>
      <c r="G867" s="21" t="str">
        <f t="shared" si="2"/>
        <v/>
      </c>
      <c r="H867" s="22"/>
      <c r="I867" s="22"/>
    </row>
    <row r="868">
      <c r="A868" s="17"/>
      <c r="B868" s="18"/>
      <c r="C868" s="17"/>
      <c r="D868" s="17"/>
      <c r="E868" s="23"/>
      <c r="F868" s="23"/>
      <c r="G868" s="21" t="str">
        <f t="shared" si="2"/>
        <v/>
      </c>
      <c r="H868" s="22"/>
      <c r="I868" s="22"/>
    </row>
    <row r="869">
      <c r="A869" s="17"/>
      <c r="B869" s="18"/>
      <c r="C869" s="17"/>
      <c r="D869" s="17"/>
      <c r="E869" s="23"/>
      <c r="F869" s="23"/>
      <c r="G869" s="21" t="str">
        <f t="shared" si="2"/>
        <v/>
      </c>
      <c r="H869" s="22"/>
      <c r="I869" s="22"/>
    </row>
    <row r="870">
      <c r="A870" s="17"/>
      <c r="B870" s="18"/>
      <c r="C870" s="17"/>
      <c r="D870" s="17"/>
      <c r="E870" s="23"/>
      <c r="F870" s="23"/>
      <c r="G870" s="21" t="str">
        <f t="shared" si="2"/>
        <v/>
      </c>
      <c r="H870" s="22"/>
      <c r="I870" s="22"/>
    </row>
    <row r="871">
      <c r="A871" s="17"/>
      <c r="B871" s="18"/>
      <c r="C871" s="17"/>
      <c r="D871" s="17"/>
      <c r="E871" s="23"/>
      <c r="F871" s="23"/>
      <c r="G871" s="21" t="str">
        <f t="shared" si="2"/>
        <v/>
      </c>
      <c r="H871" s="22"/>
      <c r="I871" s="22"/>
    </row>
    <row r="872">
      <c r="A872" s="17"/>
      <c r="B872" s="18"/>
      <c r="C872" s="17"/>
      <c r="D872" s="17"/>
      <c r="E872" s="23"/>
      <c r="F872" s="23"/>
      <c r="G872" s="21" t="str">
        <f t="shared" si="2"/>
        <v/>
      </c>
      <c r="H872" s="22"/>
      <c r="I872" s="22"/>
    </row>
    <row r="873">
      <c r="A873" s="17"/>
      <c r="B873" s="18"/>
      <c r="C873" s="17"/>
      <c r="D873" s="17"/>
      <c r="E873" s="23"/>
      <c r="F873" s="23"/>
      <c r="G873" s="21" t="str">
        <f t="shared" si="2"/>
        <v/>
      </c>
      <c r="H873" s="22"/>
      <c r="I873" s="22"/>
    </row>
    <row r="874">
      <c r="A874" s="17"/>
      <c r="B874" s="18"/>
      <c r="C874" s="17"/>
      <c r="D874" s="17"/>
      <c r="E874" s="23"/>
      <c r="F874" s="23"/>
      <c r="G874" s="21" t="str">
        <f t="shared" si="2"/>
        <v/>
      </c>
      <c r="H874" s="22"/>
      <c r="I874" s="22"/>
    </row>
    <row r="875">
      <c r="A875" s="17"/>
      <c r="B875" s="18"/>
      <c r="C875" s="17"/>
      <c r="D875" s="17"/>
      <c r="E875" s="23"/>
      <c r="F875" s="23"/>
      <c r="G875" s="21" t="str">
        <f t="shared" si="2"/>
        <v/>
      </c>
      <c r="H875" s="22"/>
      <c r="I875" s="22"/>
    </row>
    <row r="876">
      <c r="A876" s="17"/>
      <c r="B876" s="18"/>
      <c r="C876" s="17"/>
      <c r="D876" s="17"/>
      <c r="E876" s="23"/>
      <c r="F876" s="23"/>
      <c r="G876" s="21" t="str">
        <f t="shared" si="2"/>
        <v/>
      </c>
      <c r="H876" s="22"/>
      <c r="I876" s="22"/>
    </row>
    <row r="877">
      <c r="A877" s="17"/>
      <c r="B877" s="18"/>
      <c r="C877" s="17"/>
      <c r="D877" s="17"/>
      <c r="E877" s="23"/>
      <c r="F877" s="23"/>
      <c r="G877" s="21" t="str">
        <f t="shared" si="2"/>
        <v/>
      </c>
      <c r="H877" s="22"/>
      <c r="I877" s="22"/>
    </row>
    <row r="878">
      <c r="A878" s="17"/>
      <c r="B878" s="18"/>
      <c r="C878" s="17"/>
      <c r="D878" s="17"/>
      <c r="E878" s="23"/>
      <c r="F878" s="23"/>
      <c r="G878" s="21" t="str">
        <f t="shared" si="2"/>
        <v/>
      </c>
      <c r="H878" s="22"/>
      <c r="I878" s="22"/>
    </row>
    <row r="879">
      <c r="A879" s="17"/>
      <c r="B879" s="18"/>
      <c r="C879" s="17"/>
      <c r="D879" s="17"/>
      <c r="E879" s="23"/>
      <c r="F879" s="23"/>
      <c r="G879" s="21" t="str">
        <f t="shared" si="2"/>
        <v/>
      </c>
      <c r="H879" s="22"/>
      <c r="I879" s="22"/>
    </row>
    <row r="880">
      <c r="A880" s="17"/>
      <c r="B880" s="18"/>
      <c r="C880" s="17"/>
      <c r="D880" s="17"/>
      <c r="E880" s="23"/>
      <c r="F880" s="23"/>
      <c r="G880" s="21" t="str">
        <f t="shared" si="2"/>
        <v/>
      </c>
      <c r="H880" s="22"/>
      <c r="I880" s="22"/>
    </row>
    <row r="881">
      <c r="A881" s="17"/>
      <c r="B881" s="18"/>
      <c r="C881" s="17"/>
      <c r="D881" s="17"/>
      <c r="E881" s="23"/>
      <c r="F881" s="23"/>
      <c r="G881" s="21" t="str">
        <f t="shared" si="2"/>
        <v/>
      </c>
      <c r="H881" s="22"/>
      <c r="I881" s="22"/>
    </row>
    <row r="882">
      <c r="A882" s="17"/>
      <c r="B882" s="18"/>
      <c r="C882" s="17"/>
      <c r="D882" s="17"/>
      <c r="E882" s="23"/>
      <c r="F882" s="23"/>
      <c r="G882" s="21" t="str">
        <f t="shared" si="2"/>
        <v/>
      </c>
      <c r="H882" s="22"/>
      <c r="I882" s="22"/>
    </row>
    <row r="883">
      <c r="A883" s="17"/>
      <c r="B883" s="18"/>
      <c r="C883" s="17"/>
      <c r="D883" s="17"/>
      <c r="E883" s="23"/>
      <c r="F883" s="23"/>
      <c r="G883" s="21" t="str">
        <f t="shared" si="2"/>
        <v/>
      </c>
      <c r="H883" s="22"/>
      <c r="I883" s="22"/>
    </row>
    <row r="884">
      <c r="A884" s="17"/>
      <c r="B884" s="18"/>
      <c r="C884" s="17"/>
      <c r="D884" s="17"/>
      <c r="E884" s="23"/>
      <c r="F884" s="23"/>
      <c r="G884" s="21" t="str">
        <f t="shared" si="2"/>
        <v/>
      </c>
      <c r="H884" s="22"/>
      <c r="I884" s="22"/>
    </row>
    <row r="885">
      <c r="A885" s="17"/>
      <c r="B885" s="18"/>
      <c r="C885" s="17"/>
      <c r="D885" s="17"/>
      <c r="E885" s="23"/>
      <c r="F885" s="23"/>
      <c r="G885" s="21" t="str">
        <f t="shared" si="2"/>
        <v/>
      </c>
      <c r="H885" s="22"/>
      <c r="I885" s="22"/>
    </row>
    <row r="886">
      <c r="A886" s="17"/>
      <c r="B886" s="18"/>
      <c r="C886" s="17"/>
      <c r="D886" s="17"/>
      <c r="E886" s="23"/>
      <c r="F886" s="23"/>
      <c r="G886" s="21" t="str">
        <f t="shared" si="2"/>
        <v/>
      </c>
      <c r="H886" s="22"/>
      <c r="I886" s="22"/>
    </row>
    <row r="887">
      <c r="A887" s="17"/>
      <c r="B887" s="18"/>
      <c r="C887" s="17"/>
      <c r="D887" s="17"/>
      <c r="E887" s="23"/>
      <c r="F887" s="23"/>
      <c r="G887" s="21" t="str">
        <f t="shared" si="2"/>
        <v/>
      </c>
      <c r="H887" s="22"/>
      <c r="I887" s="22"/>
    </row>
    <row r="888">
      <c r="A888" s="17"/>
      <c r="B888" s="18"/>
      <c r="C888" s="17"/>
      <c r="D888" s="17"/>
      <c r="E888" s="23"/>
      <c r="F888" s="23"/>
      <c r="G888" s="21" t="str">
        <f t="shared" si="2"/>
        <v/>
      </c>
      <c r="H888" s="22"/>
      <c r="I888" s="22"/>
    </row>
    <row r="889">
      <c r="A889" s="17"/>
      <c r="B889" s="18"/>
      <c r="C889" s="17"/>
      <c r="D889" s="17"/>
      <c r="E889" s="23"/>
      <c r="F889" s="23"/>
      <c r="G889" s="21" t="str">
        <f t="shared" si="2"/>
        <v/>
      </c>
      <c r="H889" s="22"/>
      <c r="I889" s="22"/>
    </row>
    <row r="890">
      <c r="A890" s="17"/>
      <c r="B890" s="18"/>
      <c r="C890" s="17"/>
      <c r="D890" s="17"/>
      <c r="E890" s="23"/>
      <c r="F890" s="23"/>
      <c r="G890" s="21" t="str">
        <f t="shared" si="2"/>
        <v/>
      </c>
      <c r="H890" s="22"/>
      <c r="I890" s="22"/>
    </row>
    <row r="891">
      <c r="A891" s="17"/>
      <c r="B891" s="18"/>
      <c r="C891" s="17"/>
      <c r="D891" s="17"/>
      <c r="E891" s="23"/>
      <c r="F891" s="23"/>
      <c r="G891" s="21" t="str">
        <f t="shared" si="2"/>
        <v/>
      </c>
      <c r="H891" s="22"/>
      <c r="I891" s="22"/>
    </row>
    <row r="892">
      <c r="A892" s="17"/>
      <c r="B892" s="18"/>
      <c r="C892" s="17"/>
      <c r="D892" s="17"/>
      <c r="E892" s="23"/>
      <c r="F892" s="23"/>
      <c r="G892" s="21" t="str">
        <f t="shared" si="2"/>
        <v/>
      </c>
      <c r="H892" s="22"/>
      <c r="I892" s="22"/>
    </row>
    <row r="893">
      <c r="A893" s="17"/>
      <c r="B893" s="18"/>
      <c r="C893" s="17"/>
      <c r="D893" s="17"/>
      <c r="E893" s="23"/>
      <c r="F893" s="23"/>
      <c r="G893" s="21" t="str">
        <f t="shared" si="2"/>
        <v/>
      </c>
      <c r="H893" s="22"/>
      <c r="I893" s="22"/>
    </row>
    <row r="894">
      <c r="A894" s="17"/>
      <c r="B894" s="18"/>
      <c r="C894" s="17"/>
      <c r="D894" s="17"/>
      <c r="E894" s="23"/>
      <c r="F894" s="23"/>
      <c r="G894" s="21" t="str">
        <f t="shared" si="2"/>
        <v/>
      </c>
      <c r="H894" s="22"/>
      <c r="I894" s="22"/>
    </row>
    <row r="895">
      <c r="A895" s="17"/>
      <c r="B895" s="18"/>
      <c r="C895" s="17"/>
      <c r="D895" s="17"/>
      <c r="E895" s="23"/>
      <c r="F895" s="23"/>
      <c r="G895" s="21" t="str">
        <f t="shared" si="2"/>
        <v/>
      </c>
      <c r="H895" s="22"/>
      <c r="I895" s="22"/>
    </row>
    <row r="896">
      <c r="A896" s="17"/>
      <c r="B896" s="18"/>
      <c r="C896" s="17"/>
      <c r="D896" s="17"/>
      <c r="E896" s="23"/>
      <c r="F896" s="23"/>
      <c r="G896" s="21" t="str">
        <f t="shared" si="2"/>
        <v/>
      </c>
      <c r="H896" s="22"/>
      <c r="I896" s="22"/>
    </row>
    <row r="897">
      <c r="A897" s="17"/>
      <c r="B897" s="18"/>
      <c r="C897" s="17"/>
      <c r="D897" s="17"/>
      <c r="E897" s="23"/>
      <c r="F897" s="23"/>
      <c r="G897" s="21" t="str">
        <f t="shared" si="2"/>
        <v/>
      </c>
      <c r="H897" s="22"/>
      <c r="I897" s="22"/>
    </row>
    <row r="898">
      <c r="A898" s="17"/>
      <c r="B898" s="18"/>
      <c r="C898" s="17"/>
      <c r="D898" s="17"/>
      <c r="E898" s="23"/>
      <c r="F898" s="23"/>
      <c r="G898" s="21" t="str">
        <f t="shared" si="2"/>
        <v/>
      </c>
      <c r="H898" s="22"/>
      <c r="I898" s="22"/>
    </row>
    <row r="899">
      <c r="A899" s="17"/>
      <c r="B899" s="18"/>
      <c r="C899" s="17"/>
      <c r="D899" s="17"/>
      <c r="E899" s="23"/>
      <c r="F899" s="23"/>
      <c r="G899" s="21" t="str">
        <f t="shared" si="2"/>
        <v/>
      </c>
      <c r="H899" s="22"/>
      <c r="I899" s="22"/>
    </row>
    <row r="900">
      <c r="A900" s="17"/>
      <c r="B900" s="18"/>
      <c r="C900" s="17"/>
      <c r="D900" s="17"/>
      <c r="E900" s="23"/>
      <c r="F900" s="23"/>
      <c r="G900" s="21" t="str">
        <f t="shared" si="2"/>
        <v/>
      </c>
      <c r="H900" s="22"/>
      <c r="I900" s="22"/>
    </row>
    <row r="901">
      <c r="A901" s="17"/>
      <c r="B901" s="18"/>
      <c r="C901" s="17"/>
      <c r="D901" s="17"/>
      <c r="E901" s="23"/>
      <c r="F901" s="23"/>
      <c r="G901" s="21" t="str">
        <f t="shared" si="2"/>
        <v/>
      </c>
      <c r="H901" s="22"/>
      <c r="I901" s="22"/>
    </row>
    <row r="902">
      <c r="A902" s="17"/>
      <c r="B902" s="18"/>
      <c r="C902" s="17"/>
      <c r="D902" s="17"/>
      <c r="E902" s="23"/>
      <c r="F902" s="23"/>
      <c r="G902" s="21" t="str">
        <f t="shared" si="2"/>
        <v/>
      </c>
      <c r="H902" s="22"/>
      <c r="I902" s="22"/>
    </row>
    <row r="903">
      <c r="A903" s="17"/>
      <c r="B903" s="18"/>
      <c r="C903" s="17"/>
      <c r="D903" s="17"/>
      <c r="E903" s="23"/>
      <c r="F903" s="23"/>
      <c r="G903" s="21" t="str">
        <f t="shared" si="2"/>
        <v/>
      </c>
      <c r="H903" s="22"/>
      <c r="I903" s="22"/>
    </row>
    <row r="904">
      <c r="A904" s="17"/>
      <c r="B904" s="18"/>
      <c r="C904" s="17"/>
      <c r="D904" s="17"/>
      <c r="E904" s="23"/>
      <c r="F904" s="23"/>
      <c r="G904" s="21" t="str">
        <f t="shared" si="2"/>
        <v/>
      </c>
      <c r="H904" s="22"/>
      <c r="I904" s="22"/>
    </row>
    <row r="905">
      <c r="A905" s="17"/>
      <c r="B905" s="18"/>
      <c r="C905" s="17"/>
      <c r="D905" s="17"/>
      <c r="E905" s="23"/>
      <c r="F905" s="23"/>
      <c r="G905" s="21" t="str">
        <f t="shared" si="2"/>
        <v/>
      </c>
      <c r="H905" s="22"/>
      <c r="I905" s="22"/>
    </row>
    <row r="906">
      <c r="A906" s="17"/>
      <c r="B906" s="18"/>
      <c r="C906" s="17"/>
      <c r="D906" s="17"/>
      <c r="E906" s="23"/>
      <c r="F906" s="23"/>
      <c r="G906" s="21" t="str">
        <f t="shared" si="2"/>
        <v/>
      </c>
      <c r="H906" s="22"/>
      <c r="I906" s="22"/>
    </row>
    <row r="907">
      <c r="A907" s="17"/>
      <c r="B907" s="18"/>
      <c r="C907" s="17"/>
      <c r="D907" s="17"/>
      <c r="E907" s="23"/>
      <c r="F907" s="23"/>
      <c r="G907" s="21" t="str">
        <f t="shared" si="2"/>
        <v/>
      </c>
      <c r="H907" s="22"/>
      <c r="I907" s="22"/>
    </row>
    <row r="908">
      <c r="A908" s="17"/>
      <c r="B908" s="18"/>
      <c r="C908" s="17"/>
      <c r="D908" s="17"/>
      <c r="E908" s="23"/>
      <c r="F908" s="23"/>
      <c r="G908" s="21" t="str">
        <f t="shared" si="2"/>
        <v/>
      </c>
      <c r="H908" s="22"/>
      <c r="I908" s="22"/>
    </row>
    <row r="909">
      <c r="A909" s="17"/>
      <c r="B909" s="18"/>
      <c r="C909" s="17"/>
      <c r="D909" s="17"/>
      <c r="E909" s="23"/>
      <c r="F909" s="23"/>
      <c r="G909" s="21" t="str">
        <f t="shared" si="2"/>
        <v/>
      </c>
      <c r="H909" s="22"/>
      <c r="I909" s="22"/>
    </row>
    <row r="910">
      <c r="A910" s="17"/>
      <c r="B910" s="18"/>
      <c r="C910" s="17"/>
      <c r="D910" s="17"/>
      <c r="E910" s="23"/>
      <c r="F910" s="23"/>
      <c r="G910" s="21" t="str">
        <f t="shared" si="2"/>
        <v/>
      </c>
      <c r="H910" s="22"/>
      <c r="I910" s="22"/>
    </row>
    <row r="911">
      <c r="A911" s="17"/>
      <c r="B911" s="18"/>
      <c r="C911" s="17"/>
      <c r="D911" s="17"/>
      <c r="E911" s="23"/>
      <c r="F911" s="23"/>
      <c r="G911" s="21" t="str">
        <f t="shared" si="2"/>
        <v/>
      </c>
      <c r="H911" s="22"/>
      <c r="I911" s="22"/>
    </row>
    <row r="912">
      <c r="A912" s="17"/>
      <c r="B912" s="18"/>
      <c r="C912" s="17"/>
      <c r="D912" s="17"/>
      <c r="E912" s="23"/>
      <c r="F912" s="23"/>
      <c r="G912" s="21" t="str">
        <f t="shared" si="2"/>
        <v/>
      </c>
      <c r="H912" s="22"/>
      <c r="I912" s="22"/>
    </row>
    <row r="913">
      <c r="A913" s="17"/>
      <c r="B913" s="18"/>
      <c r="C913" s="17"/>
      <c r="D913" s="17"/>
      <c r="E913" s="23"/>
      <c r="F913" s="23"/>
      <c r="G913" s="21" t="str">
        <f t="shared" si="2"/>
        <v/>
      </c>
      <c r="H913" s="22"/>
      <c r="I913" s="22"/>
    </row>
    <row r="914">
      <c r="A914" s="17"/>
      <c r="B914" s="18"/>
      <c r="C914" s="17"/>
      <c r="D914" s="17"/>
      <c r="E914" s="23"/>
      <c r="F914" s="23"/>
      <c r="G914" s="21" t="str">
        <f t="shared" si="2"/>
        <v/>
      </c>
      <c r="H914" s="22"/>
      <c r="I914" s="22"/>
    </row>
    <row r="915">
      <c r="A915" s="17"/>
      <c r="B915" s="18"/>
      <c r="C915" s="17"/>
      <c r="D915" s="17"/>
      <c r="E915" s="23"/>
      <c r="F915" s="23"/>
      <c r="G915" s="21" t="str">
        <f t="shared" si="2"/>
        <v/>
      </c>
      <c r="H915" s="22"/>
      <c r="I915" s="22"/>
    </row>
    <row r="916">
      <c r="A916" s="17"/>
      <c r="B916" s="18"/>
      <c r="C916" s="17"/>
      <c r="D916" s="17"/>
      <c r="E916" s="23"/>
      <c r="F916" s="23"/>
      <c r="G916" s="21" t="str">
        <f t="shared" si="2"/>
        <v/>
      </c>
      <c r="H916" s="22"/>
      <c r="I916" s="22"/>
    </row>
    <row r="917">
      <c r="A917" s="17"/>
      <c r="B917" s="18"/>
      <c r="C917" s="17"/>
      <c r="D917" s="17"/>
      <c r="E917" s="23"/>
      <c r="F917" s="23"/>
      <c r="G917" s="21" t="str">
        <f t="shared" si="2"/>
        <v/>
      </c>
      <c r="H917" s="22"/>
      <c r="I917" s="22"/>
    </row>
    <row r="918">
      <c r="A918" s="17"/>
      <c r="B918" s="18"/>
      <c r="C918" s="17"/>
      <c r="D918" s="17"/>
      <c r="E918" s="23"/>
      <c r="F918" s="23"/>
      <c r="G918" s="21" t="str">
        <f t="shared" si="2"/>
        <v/>
      </c>
      <c r="H918" s="22"/>
      <c r="I918" s="22"/>
    </row>
    <row r="919">
      <c r="A919" s="17"/>
      <c r="B919" s="18"/>
      <c r="C919" s="17"/>
      <c r="D919" s="17"/>
      <c r="E919" s="23"/>
      <c r="F919" s="23"/>
      <c r="G919" s="21" t="str">
        <f t="shared" si="2"/>
        <v/>
      </c>
      <c r="H919" s="22"/>
      <c r="I919" s="22"/>
    </row>
    <row r="920">
      <c r="A920" s="17"/>
      <c r="B920" s="18"/>
      <c r="C920" s="17"/>
      <c r="D920" s="17"/>
      <c r="E920" s="23"/>
      <c r="F920" s="23"/>
      <c r="G920" s="21" t="str">
        <f t="shared" si="2"/>
        <v/>
      </c>
      <c r="H920" s="22"/>
      <c r="I920" s="22"/>
    </row>
    <row r="921">
      <c r="A921" s="17"/>
      <c r="B921" s="18"/>
      <c r="C921" s="17"/>
      <c r="D921" s="17"/>
      <c r="E921" s="23"/>
      <c r="F921" s="23"/>
      <c r="G921" s="21" t="str">
        <f t="shared" si="2"/>
        <v/>
      </c>
      <c r="H921" s="22"/>
      <c r="I921" s="22"/>
    </row>
    <row r="922">
      <c r="A922" s="17"/>
      <c r="B922" s="18"/>
      <c r="C922" s="17"/>
      <c r="D922" s="17"/>
      <c r="E922" s="23"/>
      <c r="F922" s="23"/>
      <c r="G922" s="21" t="str">
        <f t="shared" si="2"/>
        <v/>
      </c>
      <c r="H922" s="22"/>
      <c r="I922" s="22"/>
    </row>
    <row r="923">
      <c r="A923" s="17"/>
      <c r="B923" s="18"/>
      <c r="C923" s="17"/>
      <c r="D923" s="17"/>
      <c r="E923" s="23"/>
      <c r="F923" s="23"/>
      <c r="G923" s="21" t="str">
        <f t="shared" si="2"/>
        <v/>
      </c>
      <c r="H923" s="22"/>
      <c r="I923" s="22"/>
    </row>
    <row r="924">
      <c r="A924" s="17"/>
      <c r="B924" s="18"/>
      <c r="C924" s="17"/>
      <c r="D924" s="17"/>
      <c r="E924" s="23"/>
      <c r="F924" s="23"/>
      <c r="G924" s="21" t="str">
        <f t="shared" si="2"/>
        <v/>
      </c>
      <c r="H924" s="22"/>
      <c r="I924" s="22"/>
    </row>
    <row r="925">
      <c r="A925" s="17"/>
      <c r="B925" s="18"/>
      <c r="C925" s="17"/>
      <c r="D925" s="17"/>
      <c r="E925" s="23"/>
      <c r="F925" s="23"/>
      <c r="G925" s="21" t="str">
        <f t="shared" si="2"/>
        <v/>
      </c>
      <c r="H925" s="22"/>
      <c r="I925" s="22"/>
    </row>
    <row r="926">
      <c r="A926" s="17"/>
      <c r="B926" s="18"/>
      <c r="C926" s="17"/>
      <c r="D926" s="17"/>
      <c r="E926" s="23"/>
      <c r="F926" s="23"/>
      <c r="G926" s="21" t="str">
        <f t="shared" si="2"/>
        <v/>
      </c>
      <c r="H926" s="22"/>
      <c r="I926" s="22"/>
    </row>
    <row r="927">
      <c r="A927" s="17"/>
      <c r="B927" s="18"/>
      <c r="C927" s="17"/>
      <c r="D927" s="17"/>
      <c r="E927" s="23"/>
      <c r="F927" s="23"/>
      <c r="G927" s="21" t="str">
        <f t="shared" si="2"/>
        <v/>
      </c>
      <c r="H927" s="22"/>
      <c r="I927" s="22"/>
    </row>
    <row r="928">
      <c r="A928" s="17"/>
      <c r="B928" s="18"/>
      <c r="C928" s="17"/>
      <c r="D928" s="17"/>
      <c r="E928" s="23"/>
      <c r="F928" s="23"/>
      <c r="G928" s="21" t="str">
        <f t="shared" si="2"/>
        <v/>
      </c>
      <c r="H928" s="22"/>
      <c r="I928" s="22"/>
    </row>
    <row r="929">
      <c r="A929" s="17"/>
      <c r="B929" s="18"/>
      <c r="C929" s="17"/>
      <c r="D929" s="17"/>
      <c r="E929" s="23"/>
      <c r="F929" s="23"/>
      <c r="G929" s="21" t="str">
        <f t="shared" si="2"/>
        <v/>
      </c>
      <c r="H929" s="22"/>
      <c r="I929" s="22"/>
    </row>
    <row r="930">
      <c r="A930" s="17"/>
      <c r="B930" s="18"/>
      <c r="C930" s="17"/>
      <c r="D930" s="17"/>
      <c r="E930" s="23"/>
      <c r="F930" s="23"/>
      <c r="G930" s="21" t="str">
        <f t="shared" si="2"/>
        <v/>
      </c>
      <c r="H930" s="22"/>
      <c r="I930" s="22"/>
    </row>
    <row r="931">
      <c r="A931" s="17"/>
      <c r="B931" s="18"/>
      <c r="C931" s="17"/>
      <c r="D931" s="17"/>
      <c r="E931" s="23"/>
      <c r="F931" s="23"/>
      <c r="G931" s="21" t="str">
        <f t="shared" si="2"/>
        <v/>
      </c>
      <c r="H931" s="22"/>
      <c r="I931" s="22"/>
    </row>
    <row r="932">
      <c r="A932" s="17"/>
      <c r="B932" s="18"/>
      <c r="C932" s="17"/>
      <c r="D932" s="17"/>
      <c r="E932" s="23"/>
      <c r="F932" s="23"/>
      <c r="G932" s="21" t="str">
        <f t="shared" si="2"/>
        <v/>
      </c>
      <c r="H932" s="22"/>
      <c r="I932" s="22"/>
    </row>
    <row r="933">
      <c r="A933" s="17"/>
      <c r="B933" s="18"/>
      <c r="C933" s="17"/>
      <c r="D933" s="17"/>
      <c r="E933" s="23"/>
      <c r="F933" s="23"/>
      <c r="G933" s="21" t="str">
        <f t="shared" si="2"/>
        <v/>
      </c>
      <c r="H933" s="22"/>
      <c r="I933" s="22"/>
    </row>
    <row r="934">
      <c r="A934" s="17"/>
      <c r="B934" s="18"/>
      <c r="C934" s="17"/>
      <c r="D934" s="17"/>
      <c r="E934" s="23"/>
      <c r="F934" s="23"/>
      <c r="G934" s="21" t="str">
        <f t="shared" si="2"/>
        <v/>
      </c>
      <c r="H934" s="22"/>
      <c r="I934" s="22"/>
    </row>
    <row r="935">
      <c r="A935" s="17"/>
      <c r="B935" s="18"/>
      <c r="C935" s="17"/>
      <c r="D935" s="17"/>
      <c r="E935" s="23"/>
      <c r="F935" s="23"/>
      <c r="G935" s="21" t="str">
        <f t="shared" si="2"/>
        <v/>
      </c>
      <c r="H935" s="22"/>
      <c r="I935" s="22"/>
    </row>
    <row r="936">
      <c r="A936" s="17"/>
      <c r="B936" s="18"/>
      <c r="C936" s="17"/>
      <c r="D936" s="17"/>
      <c r="E936" s="23"/>
      <c r="F936" s="23"/>
      <c r="G936" s="21" t="str">
        <f t="shared" si="2"/>
        <v/>
      </c>
      <c r="H936" s="22"/>
      <c r="I936" s="22"/>
    </row>
    <row r="937">
      <c r="A937" s="17"/>
      <c r="B937" s="18"/>
      <c r="C937" s="17"/>
      <c r="D937" s="17"/>
      <c r="E937" s="23"/>
      <c r="F937" s="23"/>
      <c r="G937" s="21" t="str">
        <f t="shared" si="2"/>
        <v/>
      </c>
      <c r="H937" s="22"/>
      <c r="I937" s="22"/>
    </row>
    <row r="938">
      <c r="A938" s="17"/>
      <c r="B938" s="18"/>
      <c r="C938" s="17"/>
      <c r="D938" s="17"/>
      <c r="E938" s="23"/>
      <c r="F938" s="23"/>
      <c r="G938" s="21" t="str">
        <f t="shared" si="2"/>
        <v/>
      </c>
      <c r="H938" s="22"/>
      <c r="I938" s="22"/>
    </row>
    <row r="939">
      <c r="A939" s="17"/>
      <c r="B939" s="18"/>
      <c r="C939" s="17"/>
      <c r="D939" s="17"/>
      <c r="E939" s="23"/>
      <c r="F939" s="23"/>
      <c r="G939" s="21" t="str">
        <f t="shared" si="2"/>
        <v/>
      </c>
      <c r="H939" s="22"/>
      <c r="I939" s="22"/>
    </row>
    <row r="940">
      <c r="A940" s="17"/>
      <c r="B940" s="18"/>
      <c r="C940" s="17"/>
      <c r="D940" s="17"/>
      <c r="E940" s="23"/>
      <c r="F940" s="23"/>
      <c r="G940" s="21" t="str">
        <f t="shared" si="2"/>
        <v/>
      </c>
      <c r="H940" s="22"/>
      <c r="I940" s="22"/>
    </row>
    <row r="941">
      <c r="A941" s="17"/>
      <c r="B941" s="18"/>
      <c r="C941" s="17"/>
      <c r="D941" s="17"/>
      <c r="E941" s="23"/>
      <c r="F941" s="23"/>
      <c r="G941" s="21" t="str">
        <f t="shared" si="2"/>
        <v/>
      </c>
      <c r="H941" s="22"/>
      <c r="I941" s="22"/>
    </row>
    <row r="942">
      <c r="A942" s="17"/>
      <c r="B942" s="18"/>
      <c r="C942" s="17"/>
      <c r="D942" s="17"/>
      <c r="E942" s="23"/>
      <c r="F942" s="23"/>
      <c r="G942" s="21" t="str">
        <f t="shared" si="2"/>
        <v/>
      </c>
      <c r="H942" s="22"/>
      <c r="I942" s="22"/>
    </row>
    <row r="943">
      <c r="A943" s="17"/>
      <c r="B943" s="18"/>
      <c r="C943" s="17"/>
      <c r="D943" s="17"/>
      <c r="E943" s="23"/>
      <c r="F943" s="23"/>
      <c r="G943" s="21" t="str">
        <f t="shared" si="2"/>
        <v/>
      </c>
      <c r="H943" s="22"/>
      <c r="I943" s="22"/>
    </row>
    <row r="944">
      <c r="A944" s="17"/>
      <c r="B944" s="18"/>
      <c r="C944" s="17"/>
      <c r="D944" s="17"/>
      <c r="E944" s="23"/>
      <c r="F944" s="23"/>
      <c r="G944" s="21" t="str">
        <f t="shared" si="2"/>
        <v/>
      </c>
      <c r="H944" s="22"/>
      <c r="I944" s="22"/>
    </row>
    <row r="945">
      <c r="A945" s="17"/>
      <c r="B945" s="18"/>
      <c r="C945" s="17"/>
      <c r="D945" s="17"/>
      <c r="E945" s="23"/>
      <c r="F945" s="23"/>
      <c r="G945" s="21" t="str">
        <f t="shared" si="2"/>
        <v/>
      </c>
      <c r="H945" s="22"/>
      <c r="I945" s="22"/>
    </row>
    <row r="946">
      <c r="A946" s="17"/>
      <c r="B946" s="18"/>
      <c r="C946" s="17"/>
      <c r="D946" s="17"/>
      <c r="E946" s="23"/>
      <c r="F946" s="23"/>
      <c r="G946" s="21" t="str">
        <f t="shared" si="2"/>
        <v/>
      </c>
      <c r="H946" s="22"/>
      <c r="I946" s="22"/>
    </row>
    <row r="947">
      <c r="A947" s="17"/>
      <c r="B947" s="18"/>
      <c r="C947" s="17"/>
      <c r="D947" s="17"/>
      <c r="E947" s="23"/>
      <c r="F947" s="23"/>
      <c r="G947" s="21" t="str">
        <f t="shared" si="2"/>
        <v/>
      </c>
      <c r="H947" s="22"/>
      <c r="I947" s="22"/>
    </row>
    <row r="948">
      <c r="A948" s="17"/>
      <c r="B948" s="18"/>
      <c r="C948" s="17"/>
      <c r="D948" s="17"/>
      <c r="E948" s="23"/>
      <c r="F948" s="23"/>
      <c r="G948" s="21" t="str">
        <f t="shared" si="2"/>
        <v/>
      </c>
      <c r="H948" s="22"/>
      <c r="I948" s="22"/>
    </row>
    <row r="949">
      <c r="A949" s="17"/>
      <c r="B949" s="18"/>
      <c r="C949" s="17"/>
      <c r="D949" s="17"/>
      <c r="E949" s="23"/>
      <c r="F949" s="23"/>
      <c r="G949" s="21" t="str">
        <f t="shared" si="2"/>
        <v/>
      </c>
      <c r="H949" s="22"/>
      <c r="I949" s="22"/>
    </row>
    <row r="950">
      <c r="A950" s="17"/>
      <c r="B950" s="18"/>
      <c r="C950" s="17"/>
      <c r="D950" s="17"/>
      <c r="E950" s="23"/>
      <c r="F950" s="23"/>
      <c r="G950" s="21" t="str">
        <f t="shared" si="2"/>
        <v/>
      </c>
      <c r="H950" s="22"/>
      <c r="I950" s="22"/>
    </row>
    <row r="951">
      <c r="A951" s="17"/>
      <c r="B951" s="18"/>
      <c r="C951" s="17"/>
      <c r="D951" s="17"/>
      <c r="E951" s="23"/>
      <c r="F951" s="23"/>
      <c r="G951" s="21" t="str">
        <f t="shared" si="2"/>
        <v/>
      </c>
      <c r="H951" s="22"/>
      <c r="I951" s="22"/>
    </row>
    <row r="952">
      <c r="A952" s="17"/>
      <c r="B952" s="18"/>
      <c r="C952" s="17"/>
      <c r="D952" s="17"/>
      <c r="E952" s="23"/>
      <c r="F952" s="23"/>
      <c r="G952" s="21" t="str">
        <f t="shared" si="2"/>
        <v/>
      </c>
      <c r="H952" s="22"/>
      <c r="I952" s="22"/>
    </row>
    <row r="953">
      <c r="A953" s="17"/>
      <c r="B953" s="18"/>
      <c r="C953" s="17"/>
      <c r="D953" s="17"/>
      <c r="E953" s="23"/>
      <c r="F953" s="23"/>
      <c r="G953" s="21" t="str">
        <f t="shared" si="2"/>
        <v/>
      </c>
      <c r="H953" s="22"/>
      <c r="I953" s="22"/>
    </row>
    <row r="954">
      <c r="A954" s="17"/>
      <c r="B954" s="18"/>
      <c r="C954" s="17"/>
      <c r="D954" s="17"/>
      <c r="E954" s="23"/>
      <c r="F954" s="23"/>
      <c r="G954" s="21" t="str">
        <f t="shared" si="2"/>
        <v/>
      </c>
      <c r="H954" s="22"/>
      <c r="I954" s="22"/>
    </row>
    <row r="955">
      <c r="A955" s="17"/>
      <c r="B955" s="18"/>
      <c r="C955" s="17"/>
      <c r="D955" s="17"/>
      <c r="E955" s="23"/>
      <c r="F955" s="23"/>
      <c r="G955" s="21" t="str">
        <f t="shared" si="2"/>
        <v/>
      </c>
      <c r="H955" s="22"/>
      <c r="I955" s="22"/>
    </row>
    <row r="956">
      <c r="A956" s="17"/>
      <c r="B956" s="18"/>
      <c r="C956" s="17"/>
      <c r="D956" s="17"/>
      <c r="E956" s="23"/>
      <c r="F956" s="23"/>
      <c r="G956" s="21" t="str">
        <f t="shared" si="2"/>
        <v/>
      </c>
      <c r="H956" s="22"/>
      <c r="I956" s="22"/>
    </row>
    <row r="957">
      <c r="A957" s="17"/>
      <c r="B957" s="18"/>
      <c r="C957" s="17"/>
      <c r="D957" s="17"/>
      <c r="E957" s="23"/>
      <c r="F957" s="23"/>
      <c r="G957" s="21" t="str">
        <f t="shared" si="2"/>
        <v/>
      </c>
      <c r="H957" s="22"/>
      <c r="I957" s="22"/>
    </row>
    <row r="958">
      <c r="A958" s="17"/>
      <c r="B958" s="18"/>
      <c r="C958" s="17"/>
      <c r="D958" s="17"/>
      <c r="E958" s="23"/>
      <c r="F958" s="23"/>
      <c r="G958" s="21" t="str">
        <f t="shared" si="2"/>
        <v/>
      </c>
      <c r="H958" s="22"/>
      <c r="I958" s="22"/>
    </row>
    <row r="959">
      <c r="A959" s="17"/>
      <c r="B959" s="18"/>
      <c r="C959" s="17"/>
      <c r="D959" s="17"/>
      <c r="E959" s="23"/>
      <c r="F959" s="23"/>
      <c r="G959" s="21" t="str">
        <f t="shared" si="2"/>
        <v/>
      </c>
      <c r="H959" s="22"/>
      <c r="I959" s="22"/>
    </row>
    <row r="960">
      <c r="A960" s="17"/>
      <c r="B960" s="18"/>
      <c r="C960" s="17"/>
      <c r="D960" s="17"/>
      <c r="E960" s="23"/>
      <c r="F960" s="23"/>
      <c r="G960" s="21" t="str">
        <f t="shared" si="2"/>
        <v/>
      </c>
      <c r="H960" s="22"/>
      <c r="I960" s="22"/>
    </row>
    <row r="961">
      <c r="A961" s="17"/>
      <c r="B961" s="18"/>
      <c r="C961" s="17"/>
      <c r="D961" s="17"/>
      <c r="E961" s="23"/>
      <c r="F961" s="23"/>
      <c r="G961" s="21" t="str">
        <f t="shared" si="2"/>
        <v/>
      </c>
      <c r="H961" s="22"/>
      <c r="I961" s="22"/>
    </row>
    <row r="962">
      <c r="A962" s="17"/>
      <c r="B962" s="18"/>
      <c r="C962" s="17"/>
      <c r="D962" s="17"/>
      <c r="E962" s="23"/>
      <c r="F962" s="23"/>
      <c r="G962" s="21" t="str">
        <f t="shared" si="2"/>
        <v/>
      </c>
      <c r="H962" s="22"/>
      <c r="I962" s="22"/>
    </row>
    <row r="963">
      <c r="A963" s="17"/>
      <c r="B963" s="18"/>
      <c r="C963" s="17"/>
      <c r="D963" s="17"/>
      <c r="E963" s="23"/>
      <c r="F963" s="23"/>
      <c r="G963" s="21" t="str">
        <f t="shared" si="2"/>
        <v/>
      </c>
      <c r="H963" s="22"/>
      <c r="I963" s="22"/>
    </row>
    <row r="964">
      <c r="A964" s="17"/>
      <c r="B964" s="18"/>
      <c r="C964" s="17"/>
      <c r="D964" s="17"/>
      <c r="E964" s="23"/>
      <c r="F964" s="23"/>
      <c r="G964" s="21" t="str">
        <f t="shared" si="2"/>
        <v/>
      </c>
      <c r="H964" s="22"/>
      <c r="I964" s="22"/>
    </row>
    <row r="965">
      <c r="A965" s="17"/>
      <c r="B965" s="18"/>
      <c r="C965" s="17"/>
      <c r="D965" s="17"/>
      <c r="E965" s="23"/>
      <c r="F965" s="23"/>
      <c r="G965" s="21" t="str">
        <f t="shared" si="2"/>
        <v/>
      </c>
      <c r="H965" s="22"/>
      <c r="I965" s="22"/>
    </row>
    <row r="966">
      <c r="A966" s="17"/>
      <c r="B966" s="18"/>
      <c r="C966" s="17"/>
      <c r="D966" s="17"/>
      <c r="E966" s="23"/>
      <c r="F966" s="23"/>
      <c r="G966" s="21" t="str">
        <f t="shared" si="2"/>
        <v/>
      </c>
      <c r="H966" s="22"/>
      <c r="I966" s="22"/>
    </row>
    <row r="967">
      <c r="A967" s="17"/>
      <c r="B967" s="18"/>
      <c r="C967" s="17"/>
      <c r="D967" s="17"/>
      <c r="E967" s="23"/>
      <c r="F967" s="23"/>
      <c r="G967" s="21" t="str">
        <f t="shared" si="2"/>
        <v/>
      </c>
      <c r="H967" s="22"/>
      <c r="I967" s="22"/>
    </row>
    <row r="968">
      <c r="A968" s="17"/>
      <c r="B968" s="18"/>
      <c r="C968" s="17"/>
      <c r="D968" s="17"/>
      <c r="E968" s="23"/>
      <c r="F968" s="23"/>
      <c r="G968" s="21" t="str">
        <f t="shared" si="2"/>
        <v/>
      </c>
      <c r="H968" s="22"/>
      <c r="I968" s="22"/>
    </row>
    <row r="969">
      <c r="A969" s="17"/>
      <c r="B969" s="18"/>
      <c r="C969" s="17"/>
      <c r="D969" s="17"/>
      <c r="E969" s="23"/>
      <c r="F969" s="23"/>
      <c r="G969" s="21" t="str">
        <f t="shared" si="2"/>
        <v/>
      </c>
      <c r="H969" s="22"/>
      <c r="I969" s="22"/>
    </row>
    <row r="970">
      <c r="A970" s="17"/>
      <c r="B970" s="18"/>
      <c r="C970" s="17"/>
      <c r="D970" s="17"/>
      <c r="E970" s="23"/>
      <c r="F970" s="23"/>
      <c r="G970" s="21" t="str">
        <f t="shared" si="2"/>
        <v/>
      </c>
      <c r="H970" s="22"/>
      <c r="I970" s="22"/>
    </row>
    <row r="971">
      <c r="A971" s="17"/>
      <c r="B971" s="18"/>
      <c r="C971" s="17"/>
      <c r="D971" s="17"/>
      <c r="E971" s="23"/>
      <c r="F971" s="23"/>
      <c r="G971" s="21" t="str">
        <f t="shared" si="2"/>
        <v/>
      </c>
      <c r="H971" s="22"/>
      <c r="I971" s="22"/>
    </row>
    <row r="972">
      <c r="A972" s="17"/>
      <c r="B972" s="18"/>
      <c r="C972" s="17"/>
      <c r="D972" s="17"/>
      <c r="E972" s="23"/>
      <c r="F972" s="23"/>
      <c r="G972" s="21" t="str">
        <f t="shared" si="2"/>
        <v/>
      </c>
      <c r="H972" s="22"/>
      <c r="I972" s="22"/>
    </row>
    <row r="973">
      <c r="A973" s="17"/>
      <c r="B973" s="18"/>
      <c r="C973" s="17"/>
      <c r="D973" s="17"/>
      <c r="E973" s="23"/>
      <c r="F973" s="23"/>
      <c r="G973" s="21" t="str">
        <f t="shared" si="2"/>
        <v/>
      </c>
      <c r="H973" s="22"/>
      <c r="I973" s="22"/>
    </row>
    <row r="974">
      <c r="A974" s="17"/>
      <c r="B974" s="18"/>
      <c r="C974" s="17"/>
      <c r="D974" s="17"/>
      <c r="E974" s="23"/>
      <c r="F974" s="23"/>
      <c r="G974" s="21" t="str">
        <f t="shared" si="2"/>
        <v/>
      </c>
      <c r="H974" s="22"/>
      <c r="I974" s="22"/>
    </row>
    <row r="975">
      <c r="A975" s="17"/>
      <c r="B975" s="18"/>
      <c r="C975" s="17"/>
      <c r="D975" s="17"/>
      <c r="E975" s="23"/>
      <c r="F975" s="23"/>
      <c r="G975" s="21" t="str">
        <f t="shared" si="2"/>
        <v/>
      </c>
      <c r="H975" s="22"/>
      <c r="I975" s="22"/>
    </row>
    <row r="976">
      <c r="A976" s="17"/>
      <c r="B976" s="18"/>
      <c r="C976" s="17"/>
      <c r="D976" s="17"/>
      <c r="E976" s="23"/>
      <c r="F976" s="23"/>
      <c r="G976" s="21" t="str">
        <f t="shared" si="2"/>
        <v/>
      </c>
      <c r="H976" s="22"/>
      <c r="I976" s="22"/>
    </row>
    <row r="977">
      <c r="A977" s="17"/>
      <c r="B977" s="18"/>
      <c r="C977" s="17"/>
      <c r="D977" s="17"/>
      <c r="E977" s="23"/>
      <c r="F977" s="23"/>
      <c r="G977" s="21" t="str">
        <f t="shared" si="2"/>
        <v/>
      </c>
      <c r="H977" s="22"/>
      <c r="I977" s="22"/>
    </row>
    <row r="978">
      <c r="A978" s="17"/>
      <c r="B978" s="18"/>
      <c r="C978" s="17"/>
      <c r="D978" s="17"/>
      <c r="E978" s="23"/>
      <c r="F978" s="23"/>
      <c r="G978" s="21" t="str">
        <f t="shared" si="2"/>
        <v/>
      </c>
      <c r="H978" s="22"/>
      <c r="I978" s="22"/>
    </row>
    <row r="979">
      <c r="A979" s="17"/>
      <c r="B979" s="18"/>
      <c r="C979" s="17"/>
      <c r="D979" s="17"/>
      <c r="E979" s="23"/>
      <c r="F979" s="23"/>
      <c r="G979" s="21" t="str">
        <f t="shared" si="2"/>
        <v/>
      </c>
      <c r="H979" s="22"/>
      <c r="I979" s="22"/>
    </row>
    <row r="980">
      <c r="A980" s="17"/>
      <c r="B980" s="18"/>
      <c r="C980" s="17"/>
      <c r="D980" s="17"/>
      <c r="E980" s="23"/>
      <c r="F980" s="23"/>
      <c r="G980" s="21" t="str">
        <f t="shared" si="2"/>
        <v/>
      </c>
      <c r="H980" s="22"/>
      <c r="I980" s="22"/>
    </row>
    <row r="981">
      <c r="A981" s="17"/>
      <c r="B981" s="18"/>
      <c r="C981" s="17"/>
      <c r="D981" s="17"/>
      <c r="E981" s="23"/>
      <c r="F981" s="23"/>
      <c r="G981" s="21" t="str">
        <f t="shared" si="2"/>
        <v/>
      </c>
      <c r="H981" s="22"/>
      <c r="I981" s="22"/>
    </row>
    <row r="982">
      <c r="A982" s="17"/>
      <c r="B982" s="18"/>
      <c r="C982" s="17"/>
      <c r="D982" s="17"/>
      <c r="E982" s="23"/>
      <c r="F982" s="23"/>
      <c r="G982" s="21" t="str">
        <f t="shared" si="2"/>
        <v/>
      </c>
      <c r="H982" s="22"/>
      <c r="I982" s="22"/>
    </row>
    <row r="983">
      <c r="A983" s="17"/>
      <c r="B983" s="18"/>
      <c r="C983" s="17"/>
      <c r="D983" s="17"/>
      <c r="E983" s="23"/>
      <c r="F983" s="23"/>
      <c r="G983" s="21" t="str">
        <f t="shared" si="2"/>
        <v/>
      </c>
      <c r="H983" s="22"/>
      <c r="I983" s="22"/>
    </row>
    <row r="984">
      <c r="A984" s="17"/>
      <c r="B984" s="18"/>
      <c r="C984" s="17"/>
      <c r="D984" s="17"/>
      <c r="E984" s="23"/>
      <c r="F984" s="23"/>
      <c r="G984" s="21" t="str">
        <f t="shared" si="2"/>
        <v/>
      </c>
      <c r="H984" s="22"/>
      <c r="I984" s="22"/>
    </row>
    <row r="985">
      <c r="A985" s="17"/>
      <c r="B985" s="18"/>
      <c r="C985" s="17"/>
      <c r="D985" s="17"/>
      <c r="E985" s="23"/>
      <c r="F985" s="23"/>
      <c r="G985" s="21" t="str">
        <f t="shared" si="2"/>
        <v/>
      </c>
      <c r="H985" s="22"/>
      <c r="I985" s="22"/>
    </row>
    <row r="986">
      <c r="A986" s="17"/>
      <c r="B986" s="18"/>
      <c r="C986" s="17"/>
      <c r="D986" s="17"/>
      <c r="E986" s="23"/>
      <c r="F986" s="23"/>
      <c r="G986" s="21" t="str">
        <f t="shared" si="2"/>
        <v/>
      </c>
      <c r="H986" s="22"/>
      <c r="I986" s="22"/>
    </row>
    <row r="987">
      <c r="A987" s="17"/>
      <c r="B987" s="18"/>
      <c r="C987" s="17"/>
      <c r="D987" s="17"/>
      <c r="E987" s="23"/>
      <c r="F987" s="23"/>
      <c r="G987" s="21" t="str">
        <f t="shared" si="2"/>
        <v/>
      </c>
      <c r="H987" s="22"/>
      <c r="I987" s="22"/>
    </row>
    <row r="988">
      <c r="A988" s="17"/>
      <c r="B988" s="18"/>
      <c r="C988" s="17"/>
      <c r="D988" s="17"/>
      <c r="E988" s="23"/>
      <c r="F988" s="23"/>
      <c r="G988" s="21" t="str">
        <f t="shared" si="2"/>
        <v/>
      </c>
      <c r="H988" s="22"/>
      <c r="I988" s="22"/>
    </row>
    <row r="989">
      <c r="A989" s="17"/>
      <c r="B989" s="18"/>
      <c r="C989" s="17"/>
      <c r="D989" s="17"/>
      <c r="E989" s="23"/>
      <c r="F989" s="23"/>
      <c r="G989" s="21" t="str">
        <f t="shared" si="2"/>
        <v/>
      </c>
      <c r="H989" s="22"/>
      <c r="I989" s="22"/>
    </row>
    <row r="990">
      <c r="A990" s="17"/>
      <c r="B990" s="18"/>
      <c r="C990" s="17"/>
      <c r="D990" s="17"/>
      <c r="E990" s="23"/>
      <c r="F990" s="23"/>
      <c r="G990" s="21" t="str">
        <f t="shared" si="2"/>
        <v/>
      </c>
      <c r="H990" s="22"/>
      <c r="I990" s="22"/>
    </row>
    <row r="991">
      <c r="A991" s="17"/>
      <c r="B991" s="18"/>
      <c r="C991" s="17"/>
      <c r="D991" s="17"/>
      <c r="E991" s="23"/>
      <c r="F991" s="23"/>
      <c r="G991" s="21" t="str">
        <f t="shared" si="2"/>
        <v/>
      </c>
      <c r="H991" s="22"/>
      <c r="I991" s="22"/>
    </row>
    <row r="992">
      <c r="A992" s="17"/>
      <c r="B992" s="18"/>
      <c r="C992" s="17"/>
      <c r="D992" s="17"/>
      <c r="E992" s="23"/>
      <c r="F992" s="23"/>
      <c r="G992" s="21" t="str">
        <f t="shared" si="2"/>
        <v/>
      </c>
      <c r="H992" s="22"/>
      <c r="I992" s="22"/>
    </row>
    <row r="993">
      <c r="A993" s="17"/>
      <c r="B993" s="18"/>
      <c r="C993" s="17"/>
      <c r="D993" s="17"/>
      <c r="E993" s="23"/>
      <c r="F993" s="23"/>
      <c r="G993" s="21" t="str">
        <f t="shared" si="2"/>
        <v/>
      </c>
      <c r="H993" s="22"/>
      <c r="I993" s="22"/>
    </row>
    <row r="994">
      <c r="A994" s="17"/>
      <c r="B994" s="18"/>
      <c r="C994" s="17"/>
      <c r="D994" s="17"/>
      <c r="E994" s="23"/>
      <c r="F994" s="23"/>
      <c r="G994" s="21" t="str">
        <f t="shared" si="2"/>
        <v/>
      </c>
      <c r="H994" s="22"/>
      <c r="I994" s="22"/>
    </row>
    <row r="995">
      <c r="A995" s="17"/>
      <c r="B995" s="18"/>
      <c r="C995" s="17"/>
      <c r="D995" s="17"/>
      <c r="E995" s="23"/>
      <c r="F995" s="23"/>
      <c r="G995" s="21" t="str">
        <f t="shared" si="2"/>
        <v/>
      </c>
      <c r="H995" s="22"/>
      <c r="I995" s="22"/>
    </row>
    <row r="996">
      <c r="A996" s="17"/>
      <c r="B996" s="18"/>
      <c r="C996" s="17"/>
      <c r="D996" s="17"/>
      <c r="E996" s="23"/>
      <c r="F996" s="23"/>
      <c r="G996" s="21" t="str">
        <f t="shared" si="2"/>
        <v/>
      </c>
      <c r="H996" s="22"/>
      <c r="I996" s="22"/>
    </row>
    <row r="997">
      <c r="A997" s="17"/>
      <c r="B997" s="18"/>
      <c r="C997" s="17"/>
      <c r="D997" s="17"/>
      <c r="E997" s="23"/>
      <c r="F997" s="23"/>
      <c r="G997" s="21" t="str">
        <f t="shared" si="2"/>
        <v/>
      </c>
      <c r="H997" s="22"/>
      <c r="I997" s="22"/>
    </row>
    <row r="998">
      <c r="A998" s="17"/>
      <c r="B998" s="18"/>
      <c r="C998" s="17"/>
      <c r="D998" s="17"/>
      <c r="E998" s="23"/>
      <c r="F998" s="23"/>
      <c r="G998" s="21" t="str">
        <f t="shared" si="2"/>
        <v/>
      </c>
      <c r="H998" s="22"/>
      <c r="I998" s="22"/>
    </row>
    <row r="999">
      <c r="A999" s="17"/>
      <c r="B999" s="18"/>
      <c r="C999" s="17"/>
      <c r="D999" s="17"/>
      <c r="E999" s="23"/>
      <c r="F999" s="23"/>
      <c r="G999" s="21" t="str">
        <f t="shared" si="2"/>
        <v/>
      </c>
      <c r="H999" s="22"/>
      <c r="I999" s="22"/>
    </row>
    <row r="1000">
      <c r="A1000" s="17"/>
      <c r="B1000" s="18"/>
      <c r="C1000" s="17"/>
      <c r="D1000" s="17"/>
      <c r="E1000" s="23"/>
      <c r="F1000" s="23"/>
      <c r="G1000" s="21" t="str">
        <f t="shared" si="2"/>
        <v/>
      </c>
      <c r="H1000" s="22"/>
      <c r="I1000" s="22"/>
    </row>
    <row r="1001">
      <c r="A1001" s="17"/>
      <c r="B1001" s="18"/>
      <c r="C1001" s="17"/>
      <c r="D1001" s="17"/>
      <c r="E1001" s="23"/>
      <c r="F1001" s="23"/>
      <c r="G1001" s="21" t="str">
        <f t="shared" si="2"/>
        <v/>
      </c>
      <c r="H1001" s="22"/>
      <c r="I1001" s="22"/>
    </row>
  </sheetData>
  <mergeCells count="2">
    <mergeCell ref="A1:A2"/>
    <mergeCell ref="E2:F2"/>
  </mergeCells>
  <dataValidations>
    <dataValidation type="list" allowBlank="1" showErrorMessage="1" sqref="C3:C1001">
      <formula1>'tbl equipment'!$C$2:$C1001</formula1>
    </dataValidation>
    <dataValidation type="custom" allowBlank="1" showDropDown="1" showInputMessage="1" showErrorMessage="1" prompt="Masukkan tanggal yang valid" sqref="D3:D1001">
      <formula1>OR(NOT(ISERROR(DATEVALUE(D3))), AND(ISNUMBER(D3), LEFT(CELL("format", D3))="D"))</formula1>
    </dataValidation>
    <dataValidation type="list" allowBlank="1" showErrorMessage="1" sqref="B3:B1001">
      <formula1>'tbl driver 2'!$K$2:$K1001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31.5"/>
    <col customWidth="1" min="3" max="3" width="11.63"/>
  </cols>
  <sheetData>
    <row r="1">
      <c r="A1" s="24" t="s">
        <v>16</v>
      </c>
      <c r="B1" s="24" t="s">
        <v>17</v>
      </c>
      <c r="C1" s="24" t="s">
        <v>18</v>
      </c>
    </row>
    <row r="2">
      <c r="A2" s="25" t="s">
        <v>19</v>
      </c>
      <c r="B2" s="25" t="s">
        <v>20</v>
      </c>
      <c r="C2" s="25" t="s">
        <v>21</v>
      </c>
    </row>
    <row r="3">
      <c r="A3" s="25" t="s">
        <v>19</v>
      </c>
      <c r="B3" s="25" t="s">
        <v>20</v>
      </c>
      <c r="C3" s="25" t="s">
        <v>22</v>
      </c>
    </row>
    <row r="4">
      <c r="A4" s="25" t="s">
        <v>19</v>
      </c>
      <c r="B4" s="25" t="s">
        <v>20</v>
      </c>
      <c r="C4" s="25" t="s">
        <v>23</v>
      </c>
    </row>
    <row r="5">
      <c r="A5" s="25" t="s">
        <v>19</v>
      </c>
      <c r="B5" s="25" t="s">
        <v>24</v>
      </c>
      <c r="C5" s="25" t="s">
        <v>25</v>
      </c>
    </row>
    <row r="6">
      <c r="A6" s="25" t="s">
        <v>19</v>
      </c>
      <c r="B6" s="25" t="s">
        <v>26</v>
      </c>
      <c r="C6" s="25" t="s">
        <v>27</v>
      </c>
    </row>
    <row r="7">
      <c r="A7" s="25" t="s">
        <v>19</v>
      </c>
      <c r="B7" s="25" t="s">
        <v>24</v>
      </c>
      <c r="C7" s="25" t="s">
        <v>28</v>
      </c>
    </row>
    <row r="8">
      <c r="A8" s="25" t="s">
        <v>19</v>
      </c>
      <c r="B8" s="25" t="s">
        <v>24</v>
      </c>
      <c r="C8" s="25" t="s">
        <v>29</v>
      </c>
    </row>
    <row r="9">
      <c r="A9" s="25" t="s">
        <v>19</v>
      </c>
      <c r="B9" s="25" t="s">
        <v>24</v>
      </c>
      <c r="C9" s="25" t="s">
        <v>30</v>
      </c>
    </row>
    <row r="10">
      <c r="A10" s="25" t="s">
        <v>19</v>
      </c>
      <c r="B10" s="25" t="s">
        <v>24</v>
      </c>
      <c r="C10" s="25" t="s">
        <v>31</v>
      </c>
    </row>
    <row r="11">
      <c r="A11" s="25" t="s">
        <v>19</v>
      </c>
      <c r="B11" s="25" t="s">
        <v>24</v>
      </c>
      <c r="C11" s="25" t="s">
        <v>32</v>
      </c>
    </row>
    <row r="12">
      <c r="A12" s="25" t="s">
        <v>19</v>
      </c>
      <c r="B12" s="25" t="s">
        <v>24</v>
      </c>
      <c r="C12" s="25" t="s">
        <v>33</v>
      </c>
    </row>
    <row r="13">
      <c r="A13" s="25" t="s">
        <v>19</v>
      </c>
      <c r="B13" s="25" t="s">
        <v>26</v>
      </c>
      <c r="C13" s="25" t="s">
        <v>34</v>
      </c>
    </row>
    <row r="14">
      <c r="A14" s="25" t="s">
        <v>19</v>
      </c>
      <c r="B14" s="25" t="s">
        <v>26</v>
      </c>
      <c r="C14" s="25" t="s">
        <v>35</v>
      </c>
    </row>
    <row r="15">
      <c r="A15" s="25" t="s">
        <v>19</v>
      </c>
      <c r="B15" s="25" t="s">
        <v>26</v>
      </c>
      <c r="C15" s="25" t="s">
        <v>36</v>
      </c>
    </row>
    <row r="16">
      <c r="A16" s="25" t="s">
        <v>19</v>
      </c>
      <c r="B16" s="25" t="s">
        <v>26</v>
      </c>
      <c r="C16" s="25" t="s">
        <v>37</v>
      </c>
    </row>
    <row r="17">
      <c r="A17" s="25" t="s">
        <v>19</v>
      </c>
      <c r="B17" s="25" t="s">
        <v>26</v>
      </c>
      <c r="C17" s="25" t="s">
        <v>38</v>
      </c>
    </row>
    <row r="18">
      <c r="A18" s="25" t="s">
        <v>19</v>
      </c>
      <c r="B18" s="25" t="s">
        <v>26</v>
      </c>
      <c r="C18" s="25" t="s">
        <v>39</v>
      </c>
    </row>
    <row r="19">
      <c r="A19" s="25" t="s">
        <v>19</v>
      </c>
      <c r="B19" s="25" t="s">
        <v>26</v>
      </c>
      <c r="C19" s="25" t="s">
        <v>40</v>
      </c>
    </row>
    <row r="20">
      <c r="A20" s="25" t="s">
        <v>19</v>
      </c>
      <c r="B20" s="25" t="s">
        <v>26</v>
      </c>
      <c r="C20" s="25" t="s">
        <v>41</v>
      </c>
    </row>
    <row r="21">
      <c r="A21" s="25" t="s">
        <v>19</v>
      </c>
      <c r="B21" s="25" t="s">
        <v>26</v>
      </c>
      <c r="C21" s="25" t="s">
        <v>42</v>
      </c>
    </row>
    <row r="22">
      <c r="A22" s="25" t="s">
        <v>19</v>
      </c>
      <c r="B22" s="25" t="s">
        <v>26</v>
      </c>
      <c r="C22" s="25" t="s">
        <v>43</v>
      </c>
    </row>
    <row r="23">
      <c r="A23" s="25" t="s">
        <v>19</v>
      </c>
      <c r="B23" s="25" t="s">
        <v>26</v>
      </c>
      <c r="C23" s="25" t="s">
        <v>44</v>
      </c>
    </row>
    <row r="24">
      <c r="A24" s="25" t="s">
        <v>19</v>
      </c>
      <c r="B24" s="25" t="s">
        <v>26</v>
      </c>
      <c r="C24" s="25" t="s">
        <v>45</v>
      </c>
    </row>
    <row r="25">
      <c r="A25" s="25" t="s">
        <v>19</v>
      </c>
      <c r="B25" s="25" t="s">
        <v>26</v>
      </c>
      <c r="C25" s="25" t="s">
        <v>46</v>
      </c>
    </row>
    <row r="26">
      <c r="A26" s="25" t="s">
        <v>19</v>
      </c>
      <c r="B26" s="25" t="s">
        <v>26</v>
      </c>
      <c r="C26" s="25" t="s">
        <v>47</v>
      </c>
    </row>
    <row r="27">
      <c r="A27" s="25" t="s">
        <v>19</v>
      </c>
      <c r="B27" s="25" t="s">
        <v>26</v>
      </c>
      <c r="C27" s="25" t="s">
        <v>48</v>
      </c>
    </row>
    <row r="28">
      <c r="A28" s="25" t="s">
        <v>19</v>
      </c>
      <c r="B28" s="25" t="s">
        <v>26</v>
      </c>
      <c r="C28" s="25" t="s">
        <v>49</v>
      </c>
    </row>
    <row r="29">
      <c r="A29" s="25" t="s">
        <v>19</v>
      </c>
      <c r="B29" s="25" t="s">
        <v>20</v>
      </c>
      <c r="C29" s="25" t="s">
        <v>50</v>
      </c>
    </row>
    <row r="30">
      <c r="A30" s="25" t="s">
        <v>19</v>
      </c>
      <c r="B30" s="25" t="s">
        <v>26</v>
      </c>
      <c r="C30" s="25" t="s">
        <v>51</v>
      </c>
    </row>
    <row r="31">
      <c r="A31" s="25" t="s">
        <v>19</v>
      </c>
      <c r="B31" s="25" t="s">
        <v>20</v>
      </c>
      <c r="C31" s="25" t="s">
        <v>52</v>
      </c>
    </row>
    <row r="32">
      <c r="A32" s="25" t="s">
        <v>19</v>
      </c>
      <c r="B32" s="25" t="s">
        <v>26</v>
      </c>
      <c r="C32" s="25" t="s">
        <v>53</v>
      </c>
    </row>
    <row r="33">
      <c r="A33" s="25" t="s">
        <v>19</v>
      </c>
      <c r="B33" s="25" t="s">
        <v>26</v>
      </c>
      <c r="C33" s="25" t="s">
        <v>54</v>
      </c>
    </row>
    <row r="34">
      <c r="A34" s="25" t="s">
        <v>19</v>
      </c>
      <c r="B34" s="25" t="s">
        <v>26</v>
      </c>
      <c r="C34" s="25" t="s">
        <v>55</v>
      </c>
    </row>
    <row r="35">
      <c r="A35" s="25" t="s">
        <v>19</v>
      </c>
      <c r="B35" s="25" t="s">
        <v>26</v>
      </c>
      <c r="C35" s="25" t="s">
        <v>56</v>
      </c>
    </row>
    <row r="36">
      <c r="A36" s="25" t="s">
        <v>19</v>
      </c>
      <c r="B36" s="25" t="s">
        <v>26</v>
      </c>
      <c r="C36" s="25" t="s">
        <v>57</v>
      </c>
    </row>
    <row r="37">
      <c r="A37" s="25" t="s">
        <v>19</v>
      </c>
      <c r="B37" s="25" t="s">
        <v>26</v>
      </c>
      <c r="C37" s="25" t="s">
        <v>58</v>
      </c>
    </row>
    <row r="38">
      <c r="A38" s="25" t="s">
        <v>19</v>
      </c>
      <c r="B38" s="25" t="s">
        <v>26</v>
      </c>
      <c r="C38" s="25" t="s">
        <v>59</v>
      </c>
    </row>
    <row r="39">
      <c r="A39" s="25" t="s">
        <v>19</v>
      </c>
      <c r="B39" s="25" t="s">
        <v>26</v>
      </c>
      <c r="C39" s="25" t="s">
        <v>60</v>
      </c>
    </row>
    <row r="40">
      <c r="A40" s="25" t="s">
        <v>19</v>
      </c>
      <c r="B40" s="25" t="s">
        <v>26</v>
      </c>
      <c r="C40" s="25" t="s">
        <v>61</v>
      </c>
    </row>
    <row r="41">
      <c r="A41" s="25" t="s">
        <v>19</v>
      </c>
      <c r="B41" s="25" t="s">
        <v>20</v>
      </c>
      <c r="C41" s="25" t="s">
        <v>62</v>
      </c>
    </row>
    <row r="42">
      <c r="A42" s="25" t="s">
        <v>19</v>
      </c>
      <c r="B42" s="25" t="s">
        <v>20</v>
      </c>
      <c r="C42" s="25" t="s">
        <v>63</v>
      </c>
    </row>
    <row r="43">
      <c r="A43" s="25" t="s">
        <v>19</v>
      </c>
      <c r="B43" s="25" t="s">
        <v>20</v>
      </c>
      <c r="C43" s="25" t="s">
        <v>64</v>
      </c>
    </row>
    <row r="44">
      <c r="A44" s="25" t="s">
        <v>19</v>
      </c>
      <c r="B44" s="25" t="s">
        <v>20</v>
      </c>
      <c r="C44" s="25" t="s">
        <v>65</v>
      </c>
    </row>
    <row r="45">
      <c r="A45" s="25" t="s">
        <v>19</v>
      </c>
      <c r="B45" s="25" t="s">
        <v>20</v>
      </c>
      <c r="C45" s="25" t="s">
        <v>66</v>
      </c>
    </row>
    <row r="46">
      <c r="A46" s="25" t="s">
        <v>19</v>
      </c>
      <c r="B46" s="25" t="s">
        <v>20</v>
      </c>
      <c r="C46" s="25" t="s">
        <v>67</v>
      </c>
    </row>
    <row r="47">
      <c r="A47" s="25" t="s">
        <v>19</v>
      </c>
      <c r="B47" s="25" t="s">
        <v>20</v>
      </c>
      <c r="C47" s="25" t="s">
        <v>68</v>
      </c>
    </row>
    <row r="48">
      <c r="A48" s="25" t="s">
        <v>19</v>
      </c>
      <c r="B48" s="25" t="s">
        <v>20</v>
      </c>
      <c r="C48" s="25" t="s">
        <v>69</v>
      </c>
    </row>
    <row r="49">
      <c r="A49" s="25" t="s">
        <v>19</v>
      </c>
      <c r="B49" s="25" t="s">
        <v>20</v>
      </c>
      <c r="C49" s="25" t="s">
        <v>70</v>
      </c>
    </row>
    <row r="50">
      <c r="A50" s="25" t="s">
        <v>19</v>
      </c>
      <c r="B50" s="25" t="s">
        <v>20</v>
      </c>
      <c r="C50" s="25" t="s">
        <v>71</v>
      </c>
    </row>
    <row r="51">
      <c r="A51" s="25" t="s">
        <v>19</v>
      </c>
      <c r="B51" s="25" t="s">
        <v>20</v>
      </c>
      <c r="C51" s="25" t="s">
        <v>72</v>
      </c>
    </row>
    <row r="52">
      <c r="A52" s="25" t="s">
        <v>19</v>
      </c>
      <c r="B52" s="25" t="s">
        <v>20</v>
      </c>
      <c r="C52" s="25" t="s">
        <v>73</v>
      </c>
    </row>
    <row r="53">
      <c r="A53" s="25" t="s">
        <v>19</v>
      </c>
      <c r="B53" s="25" t="s">
        <v>20</v>
      </c>
      <c r="C53" s="25" t="s">
        <v>74</v>
      </c>
    </row>
    <row r="54">
      <c r="A54" s="25" t="s">
        <v>19</v>
      </c>
      <c r="B54" s="25" t="s">
        <v>20</v>
      </c>
      <c r="C54" s="25" t="s">
        <v>75</v>
      </c>
    </row>
    <row r="55">
      <c r="A55" s="25" t="s">
        <v>19</v>
      </c>
      <c r="B55" s="25" t="s">
        <v>20</v>
      </c>
      <c r="C55" s="25" t="s">
        <v>76</v>
      </c>
    </row>
    <row r="56">
      <c r="A56" s="25" t="s">
        <v>19</v>
      </c>
      <c r="B56" s="25" t="s">
        <v>20</v>
      </c>
      <c r="C56" s="25" t="s">
        <v>77</v>
      </c>
    </row>
    <row r="57">
      <c r="A57" s="25" t="s">
        <v>19</v>
      </c>
      <c r="B57" s="25" t="s">
        <v>20</v>
      </c>
      <c r="C57" s="25" t="s">
        <v>78</v>
      </c>
    </row>
    <row r="58">
      <c r="A58" s="25" t="s">
        <v>19</v>
      </c>
      <c r="B58" s="25" t="s">
        <v>20</v>
      </c>
      <c r="C58" s="25" t="s">
        <v>79</v>
      </c>
    </row>
    <row r="59">
      <c r="A59" s="25" t="s">
        <v>19</v>
      </c>
      <c r="B59" s="25" t="s">
        <v>20</v>
      </c>
      <c r="C59" s="25" t="s">
        <v>80</v>
      </c>
    </row>
    <row r="60">
      <c r="A60" s="25" t="s">
        <v>19</v>
      </c>
      <c r="B60" s="25" t="s">
        <v>20</v>
      </c>
      <c r="C60" s="25" t="s">
        <v>81</v>
      </c>
    </row>
    <row r="61">
      <c r="A61" s="25" t="s">
        <v>19</v>
      </c>
      <c r="B61" s="25" t="s">
        <v>20</v>
      </c>
      <c r="C61" s="25" t="s">
        <v>82</v>
      </c>
    </row>
    <row r="62">
      <c r="A62" s="25" t="s">
        <v>19</v>
      </c>
      <c r="B62" s="25" t="s">
        <v>20</v>
      </c>
      <c r="C62" s="25" t="s">
        <v>83</v>
      </c>
    </row>
    <row r="63">
      <c r="A63" s="25" t="s">
        <v>19</v>
      </c>
      <c r="B63" s="25" t="s">
        <v>20</v>
      </c>
      <c r="C63" s="25" t="s">
        <v>84</v>
      </c>
    </row>
    <row r="64">
      <c r="A64" s="25" t="s">
        <v>19</v>
      </c>
      <c r="B64" s="25" t="s">
        <v>20</v>
      </c>
      <c r="C64" s="25" t="s">
        <v>85</v>
      </c>
    </row>
    <row r="65">
      <c r="A65" s="25" t="s">
        <v>19</v>
      </c>
      <c r="B65" s="25" t="s">
        <v>20</v>
      </c>
      <c r="C65" s="25" t="s">
        <v>86</v>
      </c>
    </row>
    <row r="66">
      <c r="A66" s="25" t="s">
        <v>19</v>
      </c>
      <c r="B66" s="25" t="s">
        <v>20</v>
      </c>
      <c r="C66" s="25" t="s">
        <v>87</v>
      </c>
    </row>
    <row r="67">
      <c r="A67" s="25" t="s">
        <v>19</v>
      </c>
      <c r="B67" s="25" t="s">
        <v>20</v>
      </c>
      <c r="C67" s="25" t="s">
        <v>88</v>
      </c>
    </row>
    <row r="68">
      <c r="A68" s="25" t="s">
        <v>19</v>
      </c>
      <c r="B68" s="25" t="s">
        <v>20</v>
      </c>
      <c r="C68" s="25" t="s">
        <v>89</v>
      </c>
    </row>
    <row r="69">
      <c r="A69" s="25" t="s">
        <v>19</v>
      </c>
      <c r="B69" s="25" t="s">
        <v>20</v>
      </c>
      <c r="C69" s="25" t="s">
        <v>90</v>
      </c>
    </row>
    <row r="70">
      <c r="A70" s="25" t="s">
        <v>19</v>
      </c>
      <c r="B70" s="25" t="s">
        <v>20</v>
      </c>
      <c r="C70" s="25" t="s">
        <v>91</v>
      </c>
    </row>
    <row r="71">
      <c r="A71" s="25" t="s">
        <v>19</v>
      </c>
      <c r="B71" s="25" t="s">
        <v>20</v>
      </c>
      <c r="C71" s="25" t="s">
        <v>92</v>
      </c>
    </row>
    <row r="72">
      <c r="A72" s="25" t="s">
        <v>19</v>
      </c>
      <c r="B72" s="25" t="s">
        <v>20</v>
      </c>
      <c r="C72" s="25" t="s">
        <v>93</v>
      </c>
    </row>
    <row r="73">
      <c r="A73" s="25" t="s">
        <v>19</v>
      </c>
      <c r="B73" s="25" t="s">
        <v>20</v>
      </c>
      <c r="C73" s="25" t="s">
        <v>94</v>
      </c>
    </row>
    <row r="74">
      <c r="A74" s="25" t="s">
        <v>19</v>
      </c>
      <c r="B74" s="25" t="s">
        <v>20</v>
      </c>
      <c r="C74" s="25" t="s">
        <v>95</v>
      </c>
    </row>
    <row r="75">
      <c r="A75" s="25" t="s">
        <v>19</v>
      </c>
      <c r="B75" s="25" t="s">
        <v>20</v>
      </c>
      <c r="C75" s="25" t="s">
        <v>96</v>
      </c>
    </row>
    <row r="76">
      <c r="A76" s="25" t="s">
        <v>19</v>
      </c>
      <c r="B76" s="25" t="s">
        <v>20</v>
      </c>
      <c r="C76" s="25" t="s">
        <v>97</v>
      </c>
    </row>
    <row r="77">
      <c r="A77" s="25" t="s">
        <v>19</v>
      </c>
      <c r="B77" s="25" t="s">
        <v>20</v>
      </c>
      <c r="C77" s="25" t="s">
        <v>98</v>
      </c>
    </row>
    <row r="78">
      <c r="A78" s="25" t="s">
        <v>19</v>
      </c>
      <c r="B78" s="25" t="s">
        <v>20</v>
      </c>
      <c r="C78" s="25" t="s">
        <v>99</v>
      </c>
    </row>
    <row r="79">
      <c r="A79" s="25" t="s">
        <v>19</v>
      </c>
      <c r="B79" s="25" t="s">
        <v>20</v>
      </c>
      <c r="C79" s="25" t="s">
        <v>100</v>
      </c>
    </row>
    <row r="80">
      <c r="A80" s="25" t="s">
        <v>19</v>
      </c>
      <c r="B80" s="25" t="s">
        <v>20</v>
      </c>
      <c r="C80" s="25" t="s">
        <v>101</v>
      </c>
    </row>
    <row r="81">
      <c r="A81" s="25" t="s">
        <v>19</v>
      </c>
      <c r="B81" s="25" t="s">
        <v>20</v>
      </c>
      <c r="C81" s="25" t="s">
        <v>102</v>
      </c>
    </row>
    <row r="82">
      <c r="A82" s="25" t="s">
        <v>19</v>
      </c>
      <c r="B82" s="25" t="s">
        <v>20</v>
      </c>
      <c r="C82" s="25" t="s">
        <v>103</v>
      </c>
    </row>
    <row r="83">
      <c r="A83" s="25" t="s">
        <v>19</v>
      </c>
      <c r="B83" s="25" t="s">
        <v>20</v>
      </c>
      <c r="C83" s="25" t="s">
        <v>104</v>
      </c>
    </row>
    <row r="84">
      <c r="A84" s="25" t="s">
        <v>19</v>
      </c>
      <c r="B84" s="25" t="s">
        <v>20</v>
      </c>
      <c r="C84" s="25" t="s">
        <v>105</v>
      </c>
    </row>
    <row r="85">
      <c r="A85" s="25" t="s">
        <v>19</v>
      </c>
      <c r="B85" s="25" t="s">
        <v>20</v>
      </c>
      <c r="C85" s="25" t="s">
        <v>106</v>
      </c>
    </row>
    <row r="86">
      <c r="A86" s="25" t="s">
        <v>19</v>
      </c>
      <c r="B86" s="25" t="s">
        <v>20</v>
      </c>
      <c r="C86" s="25" t="s">
        <v>107</v>
      </c>
    </row>
    <row r="87">
      <c r="A87" s="25" t="s">
        <v>19</v>
      </c>
      <c r="B87" s="25" t="s">
        <v>20</v>
      </c>
      <c r="C87" s="25" t="s">
        <v>108</v>
      </c>
    </row>
    <row r="88">
      <c r="A88" s="25" t="s">
        <v>19</v>
      </c>
      <c r="B88" s="25" t="s">
        <v>20</v>
      </c>
      <c r="C88" s="25" t="s">
        <v>109</v>
      </c>
    </row>
    <row r="89">
      <c r="A89" s="25" t="s">
        <v>19</v>
      </c>
      <c r="B89" s="25" t="s">
        <v>20</v>
      </c>
      <c r="C89" s="25" t="s">
        <v>110</v>
      </c>
    </row>
    <row r="90">
      <c r="A90" s="25" t="s">
        <v>19</v>
      </c>
      <c r="B90" s="25" t="s">
        <v>20</v>
      </c>
      <c r="C90" s="25" t="s">
        <v>111</v>
      </c>
    </row>
    <row r="91">
      <c r="A91" s="25" t="s">
        <v>19</v>
      </c>
      <c r="B91" s="25" t="s">
        <v>20</v>
      </c>
      <c r="C91" s="25" t="s">
        <v>112</v>
      </c>
    </row>
    <row r="92">
      <c r="A92" s="25" t="s">
        <v>19</v>
      </c>
      <c r="B92" s="25" t="s">
        <v>20</v>
      </c>
      <c r="C92" s="25" t="s">
        <v>113</v>
      </c>
    </row>
    <row r="93">
      <c r="A93" s="25" t="s">
        <v>19</v>
      </c>
      <c r="B93" s="25" t="s">
        <v>20</v>
      </c>
      <c r="C93" s="25" t="s">
        <v>114</v>
      </c>
    </row>
    <row r="94">
      <c r="A94" s="25" t="s">
        <v>19</v>
      </c>
      <c r="B94" s="25" t="s">
        <v>20</v>
      </c>
      <c r="C94" s="25" t="s">
        <v>115</v>
      </c>
    </row>
    <row r="95">
      <c r="A95" s="25" t="s">
        <v>19</v>
      </c>
      <c r="B95" s="25" t="s">
        <v>20</v>
      </c>
      <c r="C95" s="25" t="s">
        <v>116</v>
      </c>
    </row>
    <row r="96">
      <c r="A96" s="25" t="s">
        <v>19</v>
      </c>
      <c r="B96" s="25" t="s">
        <v>20</v>
      </c>
      <c r="C96" s="25" t="s">
        <v>117</v>
      </c>
    </row>
    <row r="97">
      <c r="A97" s="25" t="s">
        <v>19</v>
      </c>
      <c r="B97" s="25" t="s">
        <v>20</v>
      </c>
      <c r="C97" s="25" t="s">
        <v>118</v>
      </c>
    </row>
    <row r="98">
      <c r="A98" s="25" t="s">
        <v>19</v>
      </c>
      <c r="B98" s="25" t="s">
        <v>20</v>
      </c>
      <c r="C98" s="25" t="s">
        <v>119</v>
      </c>
    </row>
    <row r="99">
      <c r="A99" s="25" t="s">
        <v>19</v>
      </c>
      <c r="B99" s="25" t="s">
        <v>20</v>
      </c>
      <c r="C99" s="25" t="s">
        <v>120</v>
      </c>
    </row>
    <row r="100">
      <c r="A100" s="25" t="s">
        <v>19</v>
      </c>
      <c r="B100" s="25" t="s">
        <v>20</v>
      </c>
      <c r="C100" s="25" t="s">
        <v>121</v>
      </c>
    </row>
    <row r="101">
      <c r="A101" s="25" t="s">
        <v>19</v>
      </c>
      <c r="B101" s="25" t="s">
        <v>20</v>
      </c>
      <c r="C101" s="25" t="s">
        <v>122</v>
      </c>
    </row>
    <row r="102">
      <c r="A102" s="25" t="s">
        <v>19</v>
      </c>
      <c r="B102" s="25" t="s">
        <v>20</v>
      </c>
      <c r="C102" s="25" t="s">
        <v>123</v>
      </c>
    </row>
    <row r="103">
      <c r="A103" s="25" t="s">
        <v>19</v>
      </c>
      <c r="B103" s="25" t="s">
        <v>20</v>
      </c>
      <c r="C103" s="25" t="s">
        <v>124</v>
      </c>
    </row>
    <row r="104">
      <c r="A104" s="25" t="s">
        <v>19</v>
      </c>
      <c r="B104" s="25" t="s">
        <v>26</v>
      </c>
      <c r="C104" s="25" t="s">
        <v>125</v>
      </c>
    </row>
    <row r="105">
      <c r="A105" s="25" t="s">
        <v>19</v>
      </c>
      <c r="B105" s="25" t="s">
        <v>20</v>
      </c>
      <c r="C105" s="25" t="s">
        <v>126</v>
      </c>
    </row>
    <row r="106">
      <c r="A106" s="25" t="s">
        <v>19</v>
      </c>
      <c r="B106" s="25" t="s">
        <v>20</v>
      </c>
      <c r="C106" s="25" t="s">
        <v>127</v>
      </c>
    </row>
    <row r="107">
      <c r="A107" s="25" t="s">
        <v>19</v>
      </c>
      <c r="B107" s="25" t="s">
        <v>20</v>
      </c>
      <c r="C107" s="25" t="s">
        <v>128</v>
      </c>
    </row>
    <row r="108">
      <c r="A108" s="25" t="s">
        <v>19</v>
      </c>
      <c r="B108" s="25" t="s">
        <v>20</v>
      </c>
      <c r="C108" s="25" t="s">
        <v>129</v>
      </c>
    </row>
    <row r="109">
      <c r="A109" s="25" t="s">
        <v>19</v>
      </c>
      <c r="B109" s="25" t="s">
        <v>20</v>
      </c>
      <c r="C109" s="25" t="s">
        <v>130</v>
      </c>
    </row>
    <row r="110">
      <c r="A110" s="25" t="s">
        <v>19</v>
      </c>
      <c r="B110" s="25" t="s">
        <v>20</v>
      </c>
      <c r="C110" s="25" t="s">
        <v>131</v>
      </c>
    </row>
    <row r="111">
      <c r="A111" s="25" t="s">
        <v>19</v>
      </c>
      <c r="B111" s="25" t="s">
        <v>20</v>
      </c>
      <c r="C111" s="25" t="s">
        <v>132</v>
      </c>
    </row>
    <row r="112">
      <c r="A112" s="25" t="s">
        <v>19</v>
      </c>
      <c r="B112" s="25" t="s">
        <v>20</v>
      </c>
      <c r="C112" s="25" t="s">
        <v>133</v>
      </c>
    </row>
    <row r="113">
      <c r="A113" s="25" t="s">
        <v>19</v>
      </c>
      <c r="B113" s="25" t="s">
        <v>20</v>
      </c>
      <c r="C113" s="25" t="s">
        <v>134</v>
      </c>
    </row>
    <row r="114">
      <c r="A114" s="25" t="s">
        <v>19</v>
      </c>
      <c r="B114" s="25" t="s">
        <v>20</v>
      </c>
      <c r="C114" s="25" t="s">
        <v>135</v>
      </c>
    </row>
    <row r="115">
      <c r="A115" s="25" t="s">
        <v>19</v>
      </c>
      <c r="B115" s="25" t="s">
        <v>20</v>
      </c>
      <c r="C115" s="25" t="s">
        <v>136</v>
      </c>
    </row>
    <row r="116">
      <c r="A116" s="25" t="s">
        <v>19</v>
      </c>
      <c r="B116" s="25" t="s">
        <v>20</v>
      </c>
      <c r="C116" s="25" t="s">
        <v>137</v>
      </c>
    </row>
    <row r="117">
      <c r="A117" s="25" t="s">
        <v>19</v>
      </c>
      <c r="B117" s="25" t="s">
        <v>20</v>
      </c>
      <c r="C117" s="25" t="s">
        <v>138</v>
      </c>
    </row>
    <row r="118">
      <c r="A118" s="25" t="s">
        <v>19</v>
      </c>
      <c r="B118" s="25" t="s">
        <v>20</v>
      </c>
      <c r="C118" s="25" t="s">
        <v>139</v>
      </c>
    </row>
    <row r="119">
      <c r="A119" s="25" t="s">
        <v>19</v>
      </c>
      <c r="B119" s="25" t="s">
        <v>20</v>
      </c>
      <c r="C119" s="25" t="s">
        <v>140</v>
      </c>
    </row>
    <row r="120">
      <c r="A120" s="25" t="s">
        <v>19</v>
      </c>
      <c r="B120" s="25" t="s">
        <v>20</v>
      </c>
      <c r="C120" s="25" t="s">
        <v>141</v>
      </c>
    </row>
    <row r="121">
      <c r="A121" s="25" t="s">
        <v>19</v>
      </c>
      <c r="B121" s="25" t="s">
        <v>20</v>
      </c>
      <c r="C121" s="25" t="s">
        <v>142</v>
      </c>
    </row>
    <row r="122">
      <c r="A122" s="25" t="s">
        <v>19</v>
      </c>
      <c r="B122" s="25" t="s">
        <v>20</v>
      </c>
      <c r="C122" s="25" t="s">
        <v>143</v>
      </c>
    </row>
    <row r="123">
      <c r="A123" s="25" t="s">
        <v>19</v>
      </c>
      <c r="B123" s="25" t="s">
        <v>20</v>
      </c>
      <c r="C123" s="25" t="s">
        <v>144</v>
      </c>
    </row>
    <row r="124">
      <c r="A124" s="25" t="s">
        <v>19</v>
      </c>
      <c r="B124" s="25" t="s">
        <v>20</v>
      </c>
      <c r="C124" s="25" t="s">
        <v>145</v>
      </c>
    </row>
    <row r="125">
      <c r="A125" s="25" t="s">
        <v>19</v>
      </c>
      <c r="B125" s="25" t="s">
        <v>20</v>
      </c>
      <c r="C125" s="25" t="s">
        <v>146</v>
      </c>
    </row>
    <row r="126">
      <c r="A126" s="25" t="s">
        <v>19</v>
      </c>
      <c r="B126" s="25" t="s">
        <v>20</v>
      </c>
      <c r="C126" s="25" t="s">
        <v>147</v>
      </c>
    </row>
    <row r="127">
      <c r="A127" s="25" t="s">
        <v>19</v>
      </c>
      <c r="B127" s="25" t="s">
        <v>20</v>
      </c>
      <c r="C127" s="25" t="s">
        <v>148</v>
      </c>
    </row>
    <row r="128">
      <c r="A128" s="25" t="s">
        <v>19</v>
      </c>
      <c r="B128" s="25" t="s">
        <v>20</v>
      </c>
      <c r="C128" s="25" t="s">
        <v>149</v>
      </c>
    </row>
    <row r="129">
      <c r="A129" s="25" t="s">
        <v>19</v>
      </c>
      <c r="B129" s="25" t="s">
        <v>20</v>
      </c>
      <c r="C129" s="25" t="s">
        <v>150</v>
      </c>
    </row>
    <row r="130">
      <c r="A130" s="25" t="s">
        <v>19</v>
      </c>
      <c r="B130" s="25" t="s">
        <v>20</v>
      </c>
      <c r="C130" s="25" t="s">
        <v>151</v>
      </c>
    </row>
    <row r="131">
      <c r="A131" s="25" t="s">
        <v>19</v>
      </c>
      <c r="B131" s="25" t="s">
        <v>20</v>
      </c>
      <c r="C131" s="25" t="s">
        <v>152</v>
      </c>
    </row>
    <row r="132">
      <c r="A132" s="25" t="s">
        <v>19</v>
      </c>
      <c r="B132" s="25" t="s">
        <v>20</v>
      </c>
      <c r="C132" s="25" t="s">
        <v>153</v>
      </c>
    </row>
    <row r="133">
      <c r="A133" s="25" t="s">
        <v>19</v>
      </c>
      <c r="B133" s="25" t="s">
        <v>20</v>
      </c>
      <c r="C133" s="25" t="s">
        <v>154</v>
      </c>
    </row>
    <row r="134">
      <c r="A134" s="25" t="s">
        <v>19</v>
      </c>
      <c r="B134" s="25" t="s">
        <v>20</v>
      </c>
      <c r="C134" s="25" t="s">
        <v>155</v>
      </c>
    </row>
    <row r="135">
      <c r="A135" s="25" t="s">
        <v>19</v>
      </c>
      <c r="B135" s="25" t="s">
        <v>20</v>
      </c>
      <c r="C135" s="25" t="s">
        <v>156</v>
      </c>
    </row>
    <row r="136">
      <c r="A136" s="25" t="s">
        <v>19</v>
      </c>
      <c r="B136" s="25" t="s">
        <v>20</v>
      </c>
      <c r="C136" s="25" t="s">
        <v>157</v>
      </c>
    </row>
    <row r="137">
      <c r="A137" s="25" t="s">
        <v>19</v>
      </c>
      <c r="B137" s="25" t="s">
        <v>20</v>
      </c>
      <c r="C137" s="25" t="s">
        <v>158</v>
      </c>
    </row>
    <row r="138">
      <c r="A138" s="25" t="s">
        <v>19</v>
      </c>
      <c r="B138" s="25" t="s">
        <v>20</v>
      </c>
      <c r="C138" s="25" t="s">
        <v>159</v>
      </c>
    </row>
    <row r="139">
      <c r="A139" s="25" t="s">
        <v>19</v>
      </c>
      <c r="B139" s="25" t="s">
        <v>20</v>
      </c>
      <c r="C139" s="25" t="s">
        <v>160</v>
      </c>
    </row>
    <row r="140">
      <c r="A140" s="25" t="s">
        <v>19</v>
      </c>
      <c r="B140" s="25" t="s">
        <v>20</v>
      </c>
      <c r="C140" s="25" t="s">
        <v>161</v>
      </c>
    </row>
    <row r="141">
      <c r="A141" s="25" t="s">
        <v>19</v>
      </c>
      <c r="B141" s="25" t="s">
        <v>20</v>
      </c>
      <c r="C141" s="25" t="s">
        <v>162</v>
      </c>
    </row>
    <row r="142">
      <c r="A142" s="25" t="s">
        <v>19</v>
      </c>
      <c r="B142" s="25" t="s">
        <v>20</v>
      </c>
      <c r="C142" s="25" t="s">
        <v>163</v>
      </c>
    </row>
    <row r="143">
      <c r="A143" s="25" t="s">
        <v>19</v>
      </c>
      <c r="B143" s="25" t="s">
        <v>20</v>
      </c>
      <c r="C143" s="25" t="s">
        <v>164</v>
      </c>
    </row>
    <row r="144">
      <c r="A144" s="25" t="s">
        <v>19</v>
      </c>
      <c r="B144" s="25" t="s">
        <v>20</v>
      </c>
      <c r="C144" s="25" t="s">
        <v>165</v>
      </c>
    </row>
    <row r="145">
      <c r="A145" s="25" t="s">
        <v>19</v>
      </c>
      <c r="B145" s="25" t="s">
        <v>20</v>
      </c>
      <c r="C145" s="25" t="s">
        <v>166</v>
      </c>
    </row>
    <row r="146">
      <c r="A146" s="25" t="s">
        <v>19</v>
      </c>
      <c r="B146" s="25" t="s">
        <v>20</v>
      </c>
      <c r="C146" s="25" t="s">
        <v>167</v>
      </c>
    </row>
    <row r="147">
      <c r="A147" s="25" t="s">
        <v>19</v>
      </c>
      <c r="B147" s="25" t="s">
        <v>20</v>
      </c>
      <c r="C147" s="25" t="s">
        <v>168</v>
      </c>
    </row>
    <row r="148">
      <c r="A148" s="25" t="s">
        <v>19</v>
      </c>
      <c r="B148" s="25" t="s">
        <v>20</v>
      </c>
      <c r="C148" s="25" t="s">
        <v>169</v>
      </c>
    </row>
    <row r="149">
      <c r="A149" s="25" t="s">
        <v>19</v>
      </c>
      <c r="B149" s="25" t="s">
        <v>20</v>
      </c>
      <c r="C149" s="25" t="s">
        <v>170</v>
      </c>
    </row>
    <row r="150">
      <c r="A150" s="25" t="s">
        <v>19</v>
      </c>
      <c r="B150" s="25" t="s">
        <v>20</v>
      </c>
      <c r="C150" s="25" t="s">
        <v>171</v>
      </c>
    </row>
    <row r="151">
      <c r="A151" s="25" t="s">
        <v>19</v>
      </c>
      <c r="B151" s="25" t="s">
        <v>20</v>
      </c>
      <c r="C151" s="25" t="s">
        <v>172</v>
      </c>
    </row>
    <row r="152">
      <c r="A152" s="25" t="s">
        <v>19</v>
      </c>
      <c r="B152" s="25" t="s">
        <v>20</v>
      </c>
      <c r="C152" s="25" t="s">
        <v>173</v>
      </c>
    </row>
    <row r="153">
      <c r="A153" s="25" t="s">
        <v>19</v>
      </c>
      <c r="B153" s="25" t="s">
        <v>20</v>
      </c>
      <c r="C153" s="25" t="s">
        <v>174</v>
      </c>
    </row>
    <row r="154">
      <c r="A154" s="25" t="s">
        <v>19</v>
      </c>
      <c r="B154" s="25" t="s">
        <v>20</v>
      </c>
      <c r="C154" s="25" t="s">
        <v>175</v>
      </c>
    </row>
    <row r="155">
      <c r="A155" s="25" t="s">
        <v>19</v>
      </c>
      <c r="B155" s="25" t="s">
        <v>176</v>
      </c>
      <c r="C155" s="25" t="s">
        <v>177</v>
      </c>
    </row>
    <row r="156">
      <c r="A156" s="25" t="s">
        <v>19</v>
      </c>
      <c r="B156" s="25" t="s">
        <v>176</v>
      </c>
      <c r="C156" s="25" t="s">
        <v>178</v>
      </c>
    </row>
    <row r="157">
      <c r="A157" s="25" t="s">
        <v>19</v>
      </c>
      <c r="B157" s="25" t="s">
        <v>176</v>
      </c>
      <c r="C157" s="25" t="s">
        <v>179</v>
      </c>
    </row>
    <row r="158">
      <c r="A158" s="25" t="s">
        <v>19</v>
      </c>
      <c r="B158" s="25" t="s">
        <v>176</v>
      </c>
      <c r="C158" s="25" t="s">
        <v>180</v>
      </c>
    </row>
    <row r="159">
      <c r="A159" s="25" t="s">
        <v>19</v>
      </c>
      <c r="B159" s="25" t="s">
        <v>176</v>
      </c>
      <c r="C159" s="25" t="s">
        <v>181</v>
      </c>
    </row>
    <row r="160">
      <c r="A160" s="25" t="s">
        <v>19</v>
      </c>
      <c r="B160" s="25" t="s">
        <v>176</v>
      </c>
      <c r="C160" s="25" t="s">
        <v>182</v>
      </c>
    </row>
    <row r="161">
      <c r="A161" s="25" t="s">
        <v>19</v>
      </c>
      <c r="B161" s="25" t="s">
        <v>176</v>
      </c>
      <c r="C161" s="25" t="s">
        <v>183</v>
      </c>
    </row>
    <row r="162">
      <c r="A162" s="25" t="s">
        <v>19</v>
      </c>
      <c r="B162" s="25" t="s">
        <v>176</v>
      </c>
      <c r="C162" s="25" t="s">
        <v>184</v>
      </c>
    </row>
    <row r="163">
      <c r="A163" s="25" t="s">
        <v>19</v>
      </c>
      <c r="B163" s="25" t="s">
        <v>176</v>
      </c>
      <c r="C163" s="25" t="s">
        <v>185</v>
      </c>
    </row>
    <row r="164">
      <c r="A164" s="25" t="s">
        <v>19</v>
      </c>
      <c r="B164" s="25" t="s">
        <v>176</v>
      </c>
      <c r="C164" s="25" t="s">
        <v>186</v>
      </c>
    </row>
    <row r="165">
      <c r="A165" s="25" t="s">
        <v>19</v>
      </c>
      <c r="B165" s="25" t="s">
        <v>176</v>
      </c>
      <c r="C165" s="25" t="s">
        <v>187</v>
      </c>
    </row>
    <row r="166">
      <c r="A166" s="25" t="s">
        <v>19</v>
      </c>
      <c r="B166" s="25" t="s">
        <v>176</v>
      </c>
      <c r="C166" s="25" t="s">
        <v>188</v>
      </c>
    </row>
    <row r="167">
      <c r="A167" s="25" t="s">
        <v>19</v>
      </c>
      <c r="B167" s="25" t="s">
        <v>176</v>
      </c>
      <c r="C167" s="25" t="s">
        <v>189</v>
      </c>
    </row>
    <row r="168">
      <c r="A168" s="25" t="s">
        <v>19</v>
      </c>
      <c r="B168" s="25" t="s">
        <v>176</v>
      </c>
      <c r="C168" s="25" t="s">
        <v>190</v>
      </c>
    </row>
    <row r="169">
      <c r="A169" s="25" t="s">
        <v>19</v>
      </c>
      <c r="B169" s="25" t="s">
        <v>176</v>
      </c>
      <c r="C169" s="25" t="s">
        <v>191</v>
      </c>
    </row>
    <row r="170">
      <c r="A170" s="25" t="s">
        <v>19</v>
      </c>
      <c r="B170" s="25" t="s">
        <v>176</v>
      </c>
      <c r="C170" s="25" t="s">
        <v>192</v>
      </c>
    </row>
    <row r="171">
      <c r="A171" s="25" t="s">
        <v>19</v>
      </c>
      <c r="B171" s="25" t="s">
        <v>176</v>
      </c>
      <c r="C171" s="25" t="s">
        <v>193</v>
      </c>
    </row>
    <row r="172">
      <c r="A172" s="25" t="s">
        <v>19</v>
      </c>
      <c r="B172" s="25" t="s">
        <v>176</v>
      </c>
      <c r="C172" s="25" t="s">
        <v>194</v>
      </c>
    </row>
    <row r="173">
      <c r="A173" s="25" t="s">
        <v>19</v>
      </c>
      <c r="B173" s="25" t="s">
        <v>176</v>
      </c>
      <c r="C173" s="25" t="s">
        <v>195</v>
      </c>
    </row>
    <row r="174">
      <c r="A174" s="25" t="s">
        <v>19</v>
      </c>
      <c r="B174" s="25" t="s">
        <v>176</v>
      </c>
      <c r="C174" s="25" t="s">
        <v>196</v>
      </c>
    </row>
    <row r="175">
      <c r="A175" s="25" t="s">
        <v>19</v>
      </c>
      <c r="B175" s="25" t="s">
        <v>176</v>
      </c>
      <c r="C175" s="25" t="s">
        <v>197</v>
      </c>
    </row>
    <row r="176">
      <c r="A176" s="25" t="s">
        <v>19</v>
      </c>
      <c r="B176" s="25" t="s">
        <v>176</v>
      </c>
      <c r="C176" s="25" t="s">
        <v>198</v>
      </c>
    </row>
    <row r="177">
      <c r="A177" s="25" t="s">
        <v>19</v>
      </c>
      <c r="B177" s="25" t="s">
        <v>176</v>
      </c>
      <c r="C177" s="25" t="s">
        <v>199</v>
      </c>
    </row>
    <row r="178">
      <c r="A178" s="25" t="s">
        <v>19</v>
      </c>
      <c r="B178" s="25" t="s">
        <v>176</v>
      </c>
      <c r="C178" s="25" t="s">
        <v>200</v>
      </c>
    </row>
    <row r="179">
      <c r="A179" s="25" t="s">
        <v>19</v>
      </c>
      <c r="B179" s="25" t="s">
        <v>176</v>
      </c>
      <c r="C179" s="25" t="s">
        <v>201</v>
      </c>
    </row>
    <row r="180">
      <c r="A180" s="25" t="s">
        <v>19</v>
      </c>
      <c r="B180" s="25" t="s">
        <v>176</v>
      </c>
      <c r="C180" s="25" t="s">
        <v>202</v>
      </c>
    </row>
    <row r="181">
      <c r="A181" s="25" t="s">
        <v>19</v>
      </c>
      <c r="B181" s="25" t="s">
        <v>176</v>
      </c>
      <c r="C181" s="25" t="s">
        <v>203</v>
      </c>
    </row>
    <row r="182">
      <c r="A182" s="25" t="s">
        <v>19</v>
      </c>
      <c r="B182" s="25" t="s">
        <v>176</v>
      </c>
      <c r="C182" s="25" t="s">
        <v>204</v>
      </c>
    </row>
    <row r="183">
      <c r="A183" s="25" t="s">
        <v>19</v>
      </c>
      <c r="B183" s="25" t="s">
        <v>176</v>
      </c>
      <c r="C183" s="25" t="s">
        <v>205</v>
      </c>
    </row>
    <row r="184">
      <c r="A184" s="25" t="s">
        <v>19</v>
      </c>
      <c r="B184" s="25" t="s">
        <v>176</v>
      </c>
      <c r="C184" s="25" t="s">
        <v>206</v>
      </c>
    </row>
    <row r="185">
      <c r="A185" s="25" t="s">
        <v>19</v>
      </c>
      <c r="B185" s="25" t="s">
        <v>176</v>
      </c>
      <c r="C185" s="25" t="s">
        <v>207</v>
      </c>
    </row>
    <row r="186">
      <c r="A186" s="25" t="s">
        <v>19</v>
      </c>
      <c r="B186" s="25" t="s">
        <v>176</v>
      </c>
      <c r="C186" s="25" t="s">
        <v>208</v>
      </c>
    </row>
    <row r="187">
      <c r="A187" s="25" t="s">
        <v>19</v>
      </c>
      <c r="B187" s="25" t="s">
        <v>176</v>
      </c>
      <c r="C187" s="25" t="s">
        <v>209</v>
      </c>
    </row>
    <row r="188">
      <c r="A188" s="25" t="s">
        <v>19</v>
      </c>
      <c r="B188" s="25" t="s">
        <v>176</v>
      </c>
      <c r="C188" s="25" t="s">
        <v>210</v>
      </c>
    </row>
    <row r="189">
      <c r="A189" s="25" t="s">
        <v>19</v>
      </c>
      <c r="B189" s="25" t="s">
        <v>176</v>
      </c>
      <c r="C189" s="25" t="s">
        <v>211</v>
      </c>
    </row>
    <row r="190">
      <c r="A190" s="25" t="s">
        <v>19</v>
      </c>
      <c r="B190" s="25" t="s">
        <v>176</v>
      </c>
      <c r="C190" s="25" t="s">
        <v>212</v>
      </c>
    </row>
    <row r="191">
      <c r="A191" s="25" t="s">
        <v>19</v>
      </c>
      <c r="B191" s="25" t="s">
        <v>176</v>
      </c>
      <c r="C191" s="25" t="s">
        <v>213</v>
      </c>
    </row>
    <row r="192">
      <c r="A192" s="25" t="s">
        <v>19</v>
      </c>
      <c r="B192" s="25" t="s">
        <v>176</v>
      </c>
      <c r="C192" s="25" t="s">
        <v>214</v>
      </c>
    </row>
    <row r="193">
      <c r="A193" s="25" t="s">
        <v>19</v>
      </c>
      <c r="B193" s="25" t="s">
        <v>176</v>
      </c>
      <c r="C193" s="25" t="s">
        <v>215</v>
      </c>
    </row>
    <row r="194">
      <c r="A194" s="25" t="s">
        <v>19</v>
      </c>
      <c r="B194" s="25" t="s">
        <v>176</v>
      </c>
      <c r="C194" s="25" t="s">
        <v>216</v>
      </c>
    </row>
    <row r="195">
      <c r="A195" s="25" t="s">
        <v>19</v>
      </c>
      <c r="B195" s="25" t="s">
        <v>176</v>
      </c>
      <c r="C195" s="25" t="s">
        <v>217</v>
      </c>
    </row>
    <row r="196">
      <c r="A196" s="25" t="s">
        <v>19</v>
      </c>
      <c r="B196" s="25" t="s">
        <v>176</v>
      </c>
      <c r="C196" s="25" t="s">
        <v>218</v>
      </c>
    </row>
    <row r="197">
      <c r="A197" s="25" t="s">
        <v>19</v>
      </c>
      <c r="B197" s="25" t="s">
        <v>176</v>
      </c>
      <c r="C197" s="25" t="s">
        <v>219</v>
      </c>
    </row>
    <row r="198">
      <c r="A198" s="25" t="s">
        <v>19</v>
      </c>
      <c r="B198" s="25" t="s">
        <v>176</v>
      </c>
      <c r="C198" s="25" t="s">
        <v>220</v>
      </c>
    </row>
    <row r="199">
      <c r="A199" s="25" t="s">
        <v>19</v>
      </c>
      <c r="B199" s="25" t="s">
        <v>176</v>
      </c>
      <c r="C199" s="25" t="s">
        <v>221</v>
      </c>
    </row>
    <row r="200">
      <c r="A200" s="25" t="s">
        <v>19</v>
      </c>
      <c r="B200" s="25" t="s">
        <v>176</v>
      </c>
      <c r="C200" s="25" t="s">
        <v>222</v>
      </c>
    </row>
    <row r="201">
      <c r="A201" s="25" t="s">
        <v>19</v>
      </c>
      <c r="B201" s="25" t="s">
        <v>176</v>
      </c>
      <c r="C201" s="25" t="s">
        <v>223</v>
      </c>
    </row>
    <row r="202">
      <c r="A202" s="25" t="s">
        <v>19</v>
      </c>
      <c r="B202" s="25" t="s">
        <v>176</v>
      </c>
      <c r="C202" s="25" t="s">
        <v>224</v>
      </c>
    </row>
    <row r="203">
      <c r="A203" s="25" t="s">
        <v>19</v>
      </c>
      <c r="B203" s="25" t="s">
        <v>176</v>
      </c>
      <c r="C203" s="25" t="s">
        <v>225</v>
      </c>
    </row>
    <row r="204">
      <c r="A204" s="25" t="s">
        <v>19</v>
      </c>
      <c r="B204" s="25" t="s">
        <v>176</v>
      </c>
      <c r="C204" s="25" t="s">
        <v>226</v>
      </c>
    </row>
    <row r="205">
      <c r="A205" s="25" t="s">
        <v>19</v>
      </c>
      <c r="B205" s="25" t="s">
        <v>227</v>
      </c>
      <c r="C205" s="25" t="s">
        <v>228</v>
      </c>
    </row>
    <row r="206">
      <c r="A206" s="25" t="s">
        <v>19</v>
      </c>
      <c r="B206" s="25" t="s">
        <v>227</v>
      </c>
      <c r="C206" s="25" t="s">
        <v>229</v>
      </c>
    </row>
    <row r="207">
      <c r="A207" s="25" t="s">
        <v>19</v>
      </c>
      <c r="B207" s="25" t="s">
        <v>227</v>
      </c>
      <c r="C207" s="25" t="s">
        <v>230</v>
      </c>
    </row>
    <row r="208">
      <c r="A208" s="25" t="s">
        <v>19</v>
      </c>
      <c r="B208" s="25" t="s">
        <v>227</v>
      </c>
      <c r="C208" s="25" t="s">
        <v>231</v>
      </c>
    </row>
    <row r="209">
      <c r="A209" s="25" t="s">
        <v>19</v>
      </c>
      <c r="B209" s="25" t="s">
        <v>227</v>
      </c>
      <c r="C209" s="25" t="s">
        <v>232</v>
      </c>
    </row>
    <row r="210">
      <c r="A210" s="25" t="s">
        <v>19</v>
      </c>
      <c r="B210" s="25" t="s">
        <v>227</v>
      </c>
      <c r="C210" s="25" t="s">
        <v>233</v>
      </c>
    </row>
    <row r="211">
      <c r="A211" s="25" t="s">
        <v>19</v>
      </c>
      <c r="B211" s="25" t="s">
        <v>227</v>
      </c>
      <c r="C211" s="25" t="s">
        <v>234</v>
      </c>
    </row>
    <row r="212">
      <c r="A212" s="25" t="s">
        <v>19</v>
      </c>
      <c r="B212" s="25" t="s">
        <v>227</v>
      </c>
      <c r="C212" s="25" t="s">
        <v>235</v>
      </c>
    </row>
    <row r="213">
      <c r="A213" s="25" t="s">
        <v>19</v>
      </c>
      <c r="B213" s="25" t="s">
        <v>227</v>
      </c>
      <c r="C213" s="25" t="s">
        <v>236</v>
      </c>
    </row>
    <row r="214">
      <c r="A214" s="25" t="s">
        <v>19</v>
      </c>
      <c r="B214" s="25" t="s">
        <v>227</v>
      </c>
      <c r="C214" s="25" t="s">
        <v>237</v>
      </c>
    </row>
    <row r="215">
      <c r="A215" s="25" t="s">
        <v>19</v>
      </c>
      <c r="B215" s="25" t="s">
        <v>227</v>
      </c>
      <c r="C215" s="25" t="s">
        <v>238</v>
      </c>
    </row>
    <row r="216">
      <c r="A216" s="25" t="s">
        <v>19</v>
      </c>
      <c r="B216" s="25" t="s">
        <v>227</v>
      </c>
      <c r="C216" s="25" t="s">
        <v>239</v>
      </c>
    </row>
    <row r="217">
      <c r="A217" s="25" t="s">
        <v>19</v>
      </c>
      <c r="B217" s="25" t="s">
        <v>227</v>
      </c>
      <c r="C217" s="25" t="s">
        <v>240</v>
      </c>
    </row>
    <row r="218">
      <c r="A218" s="25" t="s">
        <v>19</v>
      </c>
      <c r="B218" s="25" t="s">
        <v>227</v>
      </c>
      <c r="C218" s="25" t="s">
        <v>241</v>
      </c>
    </row>
    <row r="219">
      <c r="A219" s="25" t="s">
        <v>19</v>
      </c>
      <c r="B219" s="25" t="s">
        <v>227</v>
      </c>
      <c r="C219" s="25" t="s">
        <v>242</v>
      </c>
    </row>
    <row r="220">
      <c r="A220" s="25" t="s">
        <v>19</v>
      </c>
      <c r="B220" s="25" t="s">
        <v>227</v>
      </c>
      <c r="C220" s="25" t="s">
        <v>243</v>
      </c>
    </row>
    <row r="221">
      <c r="A221" s="25" t="s">
        <v>19</v>
      </c>
      <c r="B221" s="25" t="s">
        <v>227</v>
      </c>
      <c r="C221" s="25" t="s">
        <v>244</v>
      </c>
    </row>
    <row r="222">
      <c r="A222" s="25" t="s">
        <v>19</v>
      </c>
      <c r="B222" s="25" t="s">
        <v>227</v>
      </c>
      <c r="C222" s="25" t="s">
        <v>245</v>
      </c>
    </row>
    <row r="223">
      <c r="A223" s="25" t="s">
        <v>19</v>
      </c>
      <c r="B223" s="25" t="s">
        <v>227</v>
      </c>
      <c r="C223" s="25" t="s">
        <v>246</v>
      </c>
    </row>
    <row r="224">
      <c r="A224" s="25" t="s">
        <v>19</v>
      </c>
      <c r="B224" s="25" t="s">
        <v>227</v>
      </c>
      <c r="C224" s="25" t="s">
        <v>247</v>
      </c>
    </row>
    <row r="225">
      <c r="A225" s="25" t="s">
        <v>19</v>
      </c>
      <c r="B225" s="25" t="s">
        <v>227</v>
      </c>
      <c r="C225" s="25" t="s">
        <v>248</v>
      </c>
    </row>
    <row r="226">
      <c r="A226" s="25" t="s">
        <v>19</v>
      </c>
      <c r="B226" s="25" t="s">
        <v>227</v>
      </c>
      <c r="C226" s="25" t="s">
        <v>249</v>
      </c>
    </row>
    <row r="227">
      <c r="A227" s="25" t="s">
        <v>19</v>
      </c>
      <c r="B227" s="25" t="s">
        <v>227</v>
      </c>
      <c r="C227" s="25" t="s">
        <v>250</v>
      </c>
    </row>
    <row r="228">
      <c r="A228" s="25" t="s">
        <v>19</v>
      </c>
      <c r="B228" s="25" t="s">
        <v>227</v>
      </c>
      <c r="C228" s="25" t="s">
        <v>251</v>
      </c>
    </row>
    <row r="229">
      <c r="A229" s="25" t="s">
        <v>19</v>
      </c>
      <c r="B229" s="25" t="s">
        <v>227</v>
      </c>
      <c r="C229" s="25" t="s">
        <v>252</v>
      </c>
    </row>
    <row r="230">
      <c r="A230" s="25" t="s">
        <v>19</v>
      </c>
      <c r="B230" s="25" t="s">
        <v>227</v>
      </c>
      <c r="C230" s="25" t="s">
        <v>253</v>
      </c>
    </row>
    <row r="231">
      <c r="A231" s="25" t="s">
        <v>19</v>
      </c>
      <c r="B231" s="25" t="s">
        <v>227</v>
      </c>
      <c r="C231" s="25" t="s">
        <v>254</v>
      </c>
    </row>
    <row r="232">
      <c r="A232" s="25" t="s">
        <v>19</v>
      </c>
      <c r="B232" s="25" t="s">
        <v>227</v>
      </c>
      <c r="C232" s="25" t="s">
        <v>255</v>
      </c>
    </row>
    <row r="233">
      <c r="A233" s="25" t="s">
        <v>19</v>
      </c>
      <c r="B233" s="25" t="s">
        <v>227</v>
      </c>
      <c r="C233" s="25" t="s">
        <v>256</v>
      </c>
    </row>
    <row r="234">
      <c r="A234" s="25" t="s">
        <v>19</v>
      </c>
      <c r="B234" s="25" t="s">
        <v>227</v>
      </c>
      <c r="C234" s="25" t="s">
        <v>257</v>
      </c>
    </row>
    <row r="235">
      <c r="A235" s="25" t="s">
        <v>19</v>
      </c>
      <c r="B235" s="25" t="s">
        <v>227</v>
      </c>
      <c r="C235" s="25" t="s">
        <v>258</v>
      </c>
    </row>
    <row r="236">
      <c r="A236" s="25" t="s">
        <v>19</v>
      </c>
      <c r="B236" s="25" t="s">
        <v>227</v>
      </c>
      <c r="C236" s="25" t="s">
        <v>259</v>
      </c>
    </row>
    <row r="237">
      <c r="A237" s="25" t="s">
        <v>19</v>
      </c>
      <c r="B237" s="25" t="s">
        <v>227</v>
      </c>
      <c r="C237" s="25" t="s">
        <v>260</v>
      </c>
    </row>
    <row r="238">
      <c r="A238" s="25" t="s">
        <v>19</v>
      </c>
      <c r="B238" s="25" t="s">
        <v>227</v>
      </c>
      <c r="C238" s="25" t="s">
        <v>261</v>
      </c>
    </row>
    <row r="239">
      <c r="A239" s="25" t="s">
        <v>19</v>
      </c>
      <c r="B239" s="25" t="s">
        <v>227</v>
      </c>
      <c r="C239" s="25" t="s">
        <v>262</v>
      </c>
    </row>
    <row r="240">
      <c r="A240" s="25" t="s">
        <v>19</v>
      </c>
      <c r="B240" s="25" t="s">
        <v>227</v>
      </c>
      <c r="C240" s="25" t="s">
        <v>263</v>
      </c>
    </row>
    <row r="241">
      <c r="A241" s="25" t="s">
        <v>19</v>
      </c>
      <c r="B241" s="25" t="s">
        <v>227</v>
      </c>
      <c r="C241" s="25" t="s">
        <v>264</v>
      </c>
    </row>
    <row r="242">
      <c r="A242" s="25" t="s">
        <v>19</v>
      </c>
      <c r="B242" s="25" t="s">
        <v>227</v>
      </c>
      <c r="C242" s="25" t="s">
        <v>265</v>
      </c>
    </row>
    <row r="243">
      <c r="A243" s="25" t="s">
        <v>19</v>
      </c>
      <c r="B243" s="25" t="s">
        <v>227</v>
      </c>
      <c r="C243" s="25" t="s">
        <v>266</v>
      </c>
    </row>
    <row r="244">
      <c r="A244" s="25" t="s">
        <v>19</v>
      </c>
      <c r="B244" s="25" t="s">
        <v>227</v>
      </c>
      <c r="C244" s="25" t="s">
        <v>267</v>
      </c>
    </row>
    <row r="245">
      <c r="A245" s="25" t="s">
        <v>19</v>
      </c>
      <c r="B245" s="25" t="s">
        <v>227</v>
      </c>
      <c r="C245" s="25" t="s">
        <v>268</v>
      </c>
    </row>
    <row r="246">
      <c r="A246" s="25" t="s">
        <v>19</v>
      </c>
      <c r="B246" s="25" t="s">
        <v>227</v>
      </c>
      <c r="C246" s="25" t="s">
        <v>269</v>
      </c>
    </row>
    <row r="247">
      <c r="A247" s="25" t="s">
        <v>19</v>
      </c>
      <c r="B247" s="25" t="s">
        <v>227</v>
      </c>
      <c r="C247" s="25" t="s">
        <v>270</v>
      </c>
    </row>
    <row r="248">
      <c r="A248" s="25" t="s">
        <v>19</v>
      </c>
      <c r="B248" s="25" t="s">
        <v>227</v>
      </c>
      <c r="C248" s="25" t="s">
        <v>271</v>
      </c>
    </row>
    <row r="249">
      <c r="A249" s="25" t="s">
        <v>19</v>
      </c>
      <c r="B249" s="25" t="s">
        <v>227</v>
      </c>
      <c r="C249" s="25" t="s">
        <v>272</v>
      </c>
    </row>
    <row r="250">
      <c r="A250" s="25" t="s">
        <v>19</v>
      </c>
      <c r="B250" s="25" t="s">
        <v>227</v>
      </c>
      <c r="C250" s="25" t="s">
        <v>273</v>
      </c>
    </row>
    <row r="251">
      <c r="A251" s="25" t="s">
        <v>19</v>
      </c>
      <c r="B251" s="25" t="s">
        <v>227</v>
      </c>
      <c r="C251" s="25" t="s">
        <v>274</v>
      </c>
    </row>
    <row r="252">
      <c r="A252" s="25" t="s">
        <v>19</v>
      </c>
      <c r="B252" s="25" t="s">
        <v>227</v>
      </c>
      <c r="C252" s="25" t="s">
        <v>275</v>
      </c>
    </row>
    <row r="253">
      <c r="A253" s="25" t="s">
        <v>19</v>
      </c>
      <c r="B253" s="25" t="s">
        <v>227</v>
      </c>
      <c r="C253" s="25" t="s">
        <v>276</v>
      </c>
    </row>
    <row r="254">
      <c r="A254" s="25" t="s">
        <v>19</v>
      </c>
      <c r="B254" s="25" t="s">
        <v>227</v>
      </c>
      <c r="C254" s="25" t="s">
        <v>277</v>
      </c>
    </row>
    <row r="255">
      <c r="A255" s="25" t="s">
        <v>19</v>
      </c>
      <c r="B255" s="25" t="s">
        <v>227</v>
      </c>
      <c r="C255" s="25" t="s">
        <v>278</v>
      </c>
    </row>
    <row r="256">
      <c r="A256" s="25" t="s">
        <v>19</v>
      </c>
      <c r="B256" s="25" t="s">
        <v>227</v>
      </c>
      <c r="C256" s="25" t="s">
        <v>279</v>
      </c>
    </row>
    <row r="257">
      <c r="A257" s="25" t="s">
        <v>19</v>
      </c>
      <c r="B257" s="25" t="s">
        <v>227</v>
      </c>
      <c r="C257" s="25" t="s">
        <v>280</v>
      </c>
    </row>
    <row r="258">
      <c r="A258" s="25" t="s">
        <v>19</v>
      </c>
      <c r="B258" s="25" t="s">
        <v>227</v>
      </c>
      <c r="C258" s="25" t="s">
        <v>281</v>
      </c>
    </row>
    <row r="259">
      <c r="A259" s="25" t="s">
        <v>19</v>
      </c>
      <c r="B259" s="25" t="s">
        <v>227</v>
      </c>
      <c r="C259" s="25" t="s">
        <v>282</v>
      </c>
    </row>
    <row r="260">
      <c r="A260" s="25" t="s">
        <v>283</v>
      </c>
      <c r="B260" s="25" t="s">
        <v>284</v>
      </c>
      <c r="C260" s="25" t="s">
        <v>285</v>
      </c>
    </row>
    <row r="261">
      <c r="A261" s="25" t="s">
        <v>283</v>
      </c>
      <c r="B261" s="25" t="s">
        <v>286</v>
      </c>
      <c r="C261" s="25" t="s">
        <v>287</v>
      </c>
    </row>
    <row r="262">
      <c r="A262" s="25" t="s">
        <v>283</v>
      </c>
      <c r="B262" s="25" t="s">
        <v>288</v>
      </c>
      <c r="C262" s="25" t="s">
        <v>289</v>
      </c>
    </row>
    <row r="263">
      <c r="A263" s="25" t="s">
        <v>283</v>
      </c>
      <c r="B263" s="25" t="s">
        <v>290</v>
      </c>
      <c r="C263" s="25" t="s">
        <v>291</v>
      </c>
    </row>
    <row r="264">
      <c r="A264" s="25" t="s">
        <v>283</v>
      </c>
      <c r="B264" s="25" t="s">
        <v>286</v>
      </c>
      <c r="C264" s="25" t="s">
        <v>292</v>
      </c>
    </row>
    <row r="265">
      <c r="A265" s="25" t="s">
        <v>283</v>
      </c>
      <c r="B265" s="25" t="s">
        <v>293</v>
      </c>
      <c r="C265" s="25" t="s">
        <v>294</v>
      </c>
    </row>
    <row r="266">
      <c r="A266" s="25" t="s">
        <v>283</v>
      </c>
      <c r="B266" s="25" t="s">
        <v>295</v>
      </c>
      <c r="C266" s="25" t="s">
        <v>296</v>
      </c>
    </row>
    <row r="267">
      <c r="A267" s="25" t="s">
        <v>283</v>
      </c>
      <c r="B267" s="25" t="s">
        <v>295</v>
      </c>
      <c r="C267" s="25" t="s">
        <v>297</v>
      </c>
    </row>
    <row r="268">
      <c r="A268" s="25" t="s">
        <v>283</v>
      </c>
      <c r="B268" s="25" t="s">
        <v>295</v>
      </c>
      <c r="C268" s="25" t="s">
        <v>291</v>
      </c>
    </row>
    <row r="269">
      <c r="A269" s="25" t="s">
        <v>283</v>
      </c>
      <c r="B269" s="25" t="s">
        <v>295</v>
      </c>
      <c r="C269" s="25" t="s">
        <v>298</v>
      </c>
    </row>
    <row r="270">
      <c r="A270" s="25" t="s">
        <v>283</v>
      </c>
      <c r="B270" s="25" t="s">
        <v>299</v>
      </c>
      <c r="C270" s="25" t="s">
        <v>300</v>
      </c>
    </row>
    <row r="271">
      <c r="A271" s="25" t="s">
        <v>283</v>
      </c>
      <c r="B271" s="25" t="s">
        <v>301</v>
      </c>
      <c r="C271" s="25" t="s">
        <v>302</v>
      </c>
    </row>
    <row r="272">
      <c r="A272" s="25" t="s">
        <v>283</v>
      </c>
      <c r="B272" s="25" t="s">
        <v>303</v>
      </c>
      <c r="C272" s="25" t="s">
        <v>304</v>
      </c>
    </row>
    <row r="273">
      <c r="A273" s="25" t="s">
        <v>283</v>
      </c>
      <c r="B273" s="25" t="s">
        <v>303</v>
      </c>
      <c r="C273" s="25" t="s">
        <v>305</v>
      </c>
    </row>
    <row r="274">
      <c r="A274" s="25" t="s">
        <v>283</v>
      </c>
      <c r="B274" s="25" t="s">
        <v>306</v>
      </c>
      <c r="C274" s="25" t="s">
        <v>307</v>
      </c>
    </row>
    <row r="275">
      <c r="A275" s="25" t="s">
        <v>283</v>
      </c>
      <c r="B275" s="25" t="s">
        <v>308</v>
      </c>
      <c r="C275" s="25" t="s">
        <v>309</v>
      </c>
    </row>
    <row r="276">
      <c r="A276" s="25" t="s">
        <v>283</v>
      </c>
      <c r="B276" s="25" t="s">
        <v>310</v>
      </c>
      <c r="C276" s="25" t="s">
        <v>311</v>
      </c>
    </row>
    <row r="277">
      <c r="A277" s="25" t="s">
        <v>283</v>
      </c>
      <c r="B277" s="25" t="s">
        <v>288</v>
      </c>
      <c r="C277" s="25" t="s">
        <v>312</v>
      </c>
    </row>
    <row r="278">
      <c r="A278" s="25" t="s">
        <v>283</v>
      </c>
      <c r="B278" s="25" t="s">
        <v>288</v>
      </c>
      <c r="C278" s="25" t="s">
        <v>313</v>
      </c>
    </row>
    <row r="279">
      <c r="A279" s="25" t="s">
        <v>283</v>
      </c>
      <c r="B279" s="25" t="s">
        <v>288</v>
      </c>
      <c r="C279" s="25" t="s">
        <v>314</v>
      </c>
    </row>
    <row r="280">
      <c r="A280" s="25" t="s">
        <v>283</v>
      </c>
      <c r="B280" s="25" t="s">
        <v>288</v>
      </c>
      <c r="C280" s="25" t="s">
        <v>315</v>
      </c>
    </row>
    <row r="281">
      <c r="A281" s="25" t="s">
        <v>283</v>
      </c>
      <c r="B281" s="25" t="s">
        <v>316</v>
      </c>
      <c r="C281" s="25" t="s">
        <v>317</v>
      </c>
    </row>
    <row r="282">
      <c r="A282" s="25" t="s">
        <v>283</v>
      </c>
      <c r="B282" s="25" t="s">
        <v>20</v>
      </c>
      <c r="C282" s="25" t="s">
        <v>318</v>
      </c>
    </row>
    <row r="283">
      <c r="A283" s="25" t="s">
        <v>283</v>
      </c>
      <c r="B283" s="25" t="s">
        <v>20</v>
      </c>
      <c r="C283" s="25" t="s">
        <v>319</v>
      </c>
    </row>
    <row r="284">
      <c r="A284" s="25" t="s">
        <v>283</v>
      </c>
      <c r="B284" s="25" t="s">
        <v>20</v>
      </c>
      <c r="C284" s="25" t="s">
        <v>320</v>
      </c>
    </row>
    <row r="285">
      <c r="A285" s="25" t="s">
        <v>283</v>
      </c>
      <c r="B285" s="25" t="s">
        <v>26</v>
      </c>
      <c r="C285" s="25" t="s">
        <v>321</v>
      </c>
    </row>
    <row r="286">
      <c r="A286" s="25" t="s">
        <v>283</v>
      </c>
      <c r="B286" s="25" t="s">
        <v>26</v>
      </c>
      <c r="C286" s="25" t="s">
        <v>322</v>
      </c>
    </row>
    <row r="287">
      <c r="A287" s="25" t="s">
        <v>283</v>
      </c>
      <c r="B287" s="25" t="s">
        <v>26</v>
      </c>
      <c r="C287" s="25" t="s">
        <v>323</v>
      </c>
    </row>
    <row r="288">
      <c r="A288" s="25" t="s">
        <v>283</v>
      </c>
      <c r="B288" s="25" t="s">
        <v>324</v>
      </c>
      <c r="C288" s="25" t="s">
        <v>325</v>
      </c>
    </row>
    <row r="289">
      <c r="A289" s="25" t="s">
        <v>283</v>
      </c>
      <c r="B289" s="25" t="s">
        <v>326</v>
      </c>
      <c r="C289" s="25" t="s">
        <v>327</v>
      </c>
    </row>
    <row r="290">
      <c r="A290" s="25" t="s">
        <v>283</v>
      </c>
      <c r="B290" s="25" t="s">
        <v>326</v>
      </c>
      <c r="C290" s="25" t="s">
        <v>327</v>
      </c>
    </row>
    <row r="291">
      <c r="A291" s="25" t="s">
        <v>283</v>
      </c>
      <c r="B291" s="25" t="s">
        <v>328</v>
      </c>
      <c r="C291" s="25" t="s">
        <v>329</v>
      </c>
    </row>
    <row r="292">
      <c r="A292" s="25" t="s">
        <v>283</v>
      </c>
      <c r="B292" s="25" t="s">
        <v>330</v>
      </c>
      <c r="C292" s="25" t="s">
        <v>331</v>
      </c>
    </row>
    <row r="293">
      <c r="A293" s="25" t="s">
        <v>283</v>
      </c>
      <c r="B293" s="25" t="s">
        <v>332</v>
      </c>
      <c r="C293" s="25" t="s">
        <v>333</v>
      </c>
    </row>
    <row r="294">
      <c r="A294" s="25" t="s">
        <v>283</v>
      </c>
      <c r="B294" s="25" t="s">
        <v>334</v>
      </c>
      <c r="C294" s="25" t="s">
        <v>335</v>
      </c>
    </row>
    <row r="295">
      <c r="A295" s="25" t="s">
        <v>283</v>
      </c>
      <c r="B295" s="25" t="s">
        <v>330</v>
      </c>
      <c r="C295" s="25" t="s">
        <v>336</v>
      </c>
    </row>
    <row r="296">
      <c r="A296" s="25" t="s">
        <v>283</v>
      </c>
      <c r="B296" s="25" t="s">
        <v>330</v>
      </c>
      <c r="C296" s="25" t="s">
        <v>337</v>
      </c>
    </row>
    <row r="297">
      <c r="A297" s="25" t="s">
        <v>283</v>
      </c>
      <c r="B297" s="25" t="s">
        <v>330</v>
      </c>
      <c r="C297" s="25" t="s">
        <v>338</v>
      </c>
    </row>
    <row r="298">
      <c r="A298" s="25" t="s">
        <v>283</v>
      </c>
      <c r="B298" s="25" t="s">
        <v>339</v>
      </c>
      <c r="C298" s="25" t="s">
        <v>340</v>
      </c>
    </row>
    <row r="299">
      <c r="A299" s="25" t="s">
        <v>283</v>
      </c>
      <c r="B299" s="25" t="s">
        <v>341</v>
      </c>
      <c r="C299" s="25" t="s">
        <v>342</v>
      </c>
    </row>
    <row r="300">
      <c r="A300" s="25" t="s">
        <v>283</v>
      </c>
      <c r="B300" s="25" t="s">
        <v>286</v>
      </c>
      <c r="C300" s="25" t="s">
        <v>343</v>
      </c>
    </row>
    <row r="301">
      <c r="A301" s="25" t="s">
        <v>283</v>
      </c>
      <c r="B301" s="25" t="s">
        <v>344</v>
      </c>
      <c r="C301" s="25" t="s">
        <v>345</v>
      </c>
    </row>
    <row r="302">
      <c r="A302" s="25" t="s">
        <v>283</v>
      </c>
      <c r="B302" s="25" t="s">
        <v>346</v>
      </c>
      <c r="C302" s="25" t="s">
        <v>300</v>
      </c>
    </row>
    <row r="303">
      <c r="A303" s="25" t="s">
        <v>283</v>
      </c>
      <c r="B303" s="25" t="s">
        <v>346</v>
      </c>
      <c r="C303" s="25" t="s">
        <v>347</v>
      </c>
    </row>
    <row r="304">
      <c r="A304" s="25" t="s">
        <v>283</v>
      </c>
      <c r="B304" s="25" t="s">
        <v>346</v>
      </c>
      <c r="C304" s="25" t="s">
        <v>348</v>
      </c>
    </row>
    <row r="305">
      <c r="A305" s="25" t="s">
        <v>283</v>
      </c>
      <c r="B305" s="25" t="s">
        <v>346</v>
      </c>
      <c r="C305" s="25" t="s">
        <v>305</v>
      </c>
    </row>
    <row r="306">
      <c r="A306" s="25" t="s">
        <v>283</v>
      </c>
      <c r="B306" s="25" t="s">
        <v>346</v>
      </c>
      <c r="C306" s="25" t="s">
        <v>349</v>
      </c>
    </row>
    <row r="307">
      <c r="A307" s="25" t="s">
        <v>283</v>
      </c>
      <c r="B307" s="25" t="s">
        <v>346</v>
      </c>
      <c r="C307" s="25" t="s">
        <v>350</v>
      </c>
    </row>
    <row r="308">
      <c r="A308" s="25" t="s">
        <v>283</v>
      </c>
      <c r="B308" s="25" t="s">
        <v>324</v>
      </c>
      <c r="C308" s="25" t="s">
        <v>351</v>
      </c>
    </row>
    <row r="309">
      <c r="A309" s="25" t="s">
        <v>283</v>
      </c>
      <c r="B309" s="25" t="s">
        <v>324</v>
      </c>
      <c r="C309" s="25" t="s">
        <v>352</v>
      </c>
    </row>
    <row r="310">
      <c r="A310" s="25" t="s">
        <v>283</v>
      </c>
      <c r="B310" s="25" t="s">
        <v>353</v>
      </c>
      <c r="C310" s="25" t="s">
        <v>354</v>
      </c>
    </row>
    <row r="311">
      <c r="A311" s="25" t="s">
        <v>355</v>
      </c>
      <c r="B311" s="25" t="s">
        <v>356</v>
      </c>
      <c r="C311" s="25" t="s">
        <v>357</v>
      </c>
    </row>
    <row r="312">
      <c r="A312" s="25" t="s">
        <v>355</v>
      </c>
      <c r="B312" s="25" t="s">
        <v>358</v>
      </c>
      <c r="C312" s="25" t="s">
        <v>359</v>
      </c>
    </row>
    <row r="313">
      <c r="A313" s="25" t="s">
        <v>355</v>
      </c>
      <c r="B313" s="25" t="s">
        <v>360</v>
      </c>
      <c r="C313" s="25" t="s">
        <v>361</v>
      </c>
    </row>
    <row r="314">
      <c r="A314" s="25" t="s">
        <v>355</v>
      </c>
      <c r="B314" s="25" t="s">
        <v>362</v>
      </c>
      <c r="C314" s="25" t="s">
        <v>363</v>
      </c>
    </row>
    <row r="315">
      <c r="A315" s="25" t="s">
        <v>355</v>
      </c>
      <c r="B315" s="25" t="s">
        <v>362</v>
      </c>
      <c r="C315" s="25" t="s">
        <v>364</v>
      </c>
    </row>
    <row r="316">
      <c r="A316" s="25" t="s">
        <v>355</v>
      </c>
      <c r="B316" s="25" t="s">
        <v>362</v>
      </c>
      <c r="C316" s="25" t="s">
        <v>365</v>
      </c>
    </row>
    <row r="317">
      <c r="A317" s="25" t="s">
        <v>355</v>
      </c>
      <c r="B317" s="25" t="s">
        <v>362</v>
      </c>
      <c r="C317" s="25" t="s">
        <v>366</v>
      </c>
    </row>
    <row r="318">
      <c r="A318" s="25" t="s">
        <v>355</v>
      </c>
      <c r="B318" s="25" t="s">
        <v>362</v>
      </c>
      <c r="C318" s="25" t="s">
        <v>367</v>
      </c>
    </row>
    <row r="319">
      <c r="A319" s="25" t="s">
        <v>355</v>
      </c>
      <c r="B319" s="25" t="s">
        <v>368</v>
      </c>
      <c r="C319" s="25" t="s">
        <v>369</v>
      </c>
    </row>
    <row r="320">
      <c r="A320" s="25" t="s">
        <v>355</v>
      </c>
      <c r="B320" s="25" t="s">
        <v>368</v>
      </c>
      <c r="C320" s="25" t="s">
        <v>370</v>
      </c>
    </row>
    <row r="321">
      <c r="A321" s="25" t="s">
        <v>355</v>
      </c>
      <c r="B321" s="25" t="s">
        <v>368</v>
      </c>
      <c r="C321" s="25" t="s">
        <v>371</v>
      </c>
    </row>
    <row r="322">
      <c r="A322" s="25" t="s">
        <v>355</v>
      </c>
      <c r="B322" s="25" t="s">
        <v>368</v>
      </c>
      <c r="C322" s="25" t="s">
        <v>372</v>
      </c>
    </row>
    <row r="323">
      <c r="A323" s="25" t="s">
        <v>355</v>
      </c>
      <c r="B323" s="25" t="s">
        <v>368</v>
      </c>
      <c r="C323" s="25" t="s">
        <v>373</v>
      </c>
    </row>
    <row r="324">
      <c r="A324" s="25" t="s">
        <v>355</v>
      </c>
      <c r="B324" s="25" t="s">
        <v>368</v>
      </c>
      <c r="C324" s="25" t="s">
        <v>374</v>
      </c>
    </row>
    <row r="325">
      <c r="A325" s="25" t="s">
        <v>355</v>
      </c>
      <c r="B325" s="25" t="s">
        <v>375</v>
      </c>
      <c r="C325" s="25" t="s">
        <v>376</v>
      </c>
    </row>
    <row r="326">
      <c r="A326" s="25" t="s">
        <v>355</v>
      </c>
      <c r="B326" s="25" t="s">
        <v>377</v>
      </c>
      <c r="C326" s="25" t="s">
        <v>378</v>
      </c>
    </row>
    <row r="327">
      <c r="A327" s="25" t="s">
        <v>355</v>
      </c>
      <c r="B327" s="25" t="s">
        <v>377</v>
      </c>
      <c r="C327" s="25" t="s">
        <v>379</v>
      </c>
    </row>
    <row r="328">
      <c r="A328" s="25" t="s">
        <v>355</v>
      </c>
      <c r="B328" s="25" t="s">
        <v>377</v>
      </c>
      <c r="C328" s="25" t="s">
        <v>380</v>
      </c>
    </row>
    <row r="329">
      <c r="A329" s="25" t="s">
        <v>355</v>
      </c>
      <c r="B329" s="25" t="s">
        <v>377</v>
      </c>
      <c r="C329" s="25" t="s">
        <v>381</v>
      </c>
    </row>
    <row r="330">
      <c r="A330" s="25" t="s">
        <v>355</v>
      </c>
      <c r="B330" s="25" t="s">
        <v>382</v>
      </c>
      <c r="C330" s="25" t="s">
        <v>383</v>
      </c>
    </row>
    <row r="331">
      <c r="A331" s="25" t="s">
        <v>355</v>
      </c>
      <c r="B331" s="25" t="s">
        <v>382</v>
      </c>
      <c r="C331" s="25" t="s">
        <v>384</v>
      </c>
    </row>
    <row r="332">
      <c r="A332" s="25" t="s">
        <v>355</v>
      </c>
      <c r="B332" s="25" t="s">
        <v>385</v>
      </c>
      <c r="C332" s="25" t="s">
        <v>386</v>
      </c>
    </row>
    <row r="333">
      <c r="A333" s="25" t="s">
        <v>355</v>
      </c>
      <c r="B333" s="25" t="s">
        <v>387</v>
      </c>
      <c r="C333" s="25" t="s">
        <v>388</v>
      </c>
    </row>
    <row r="334">
      <c r="A334" s="25" t="s">
        <v>355</v>
      </c>
      <c r="B334" s="25" t="s">
        <v>387</v>
      </c>
      <c r="C334" s="25" t="s">
        <v>389</v>
      </c>
    </row>
    <row r="335">
      <c r="A335" s="25" t="s">
        <v>355</v>
      </c>
      <c r="B335" s="25" t="s">
        <v>387</v>
      </c>
      <c r="C335" s="25" t="s">
        <v>390</v>
      </c>
    </row>
    <row r="336">
      <c r="A336" s="25" t="s">
        <v>355</v>
      </c>
      <c r="B336" s="25" t="s">
        <v>387</v>
      </c>
      <c r="C336" s="25" t="s">
        <v>391</v>
      </c>
    </row>
    <row r="337">
      <c r="A337" s="25" t="s">
        <v>355</v>
      </c>
      <c r="B337" s="25" t="s">
        <v>387</v>
      </c>
      <c r="C337" s="25" t="s">
        <v>392</v>
      </c>
    </row>
    <row r="338">
      <c r="A338" s="25" t="s">
        <v>355</v>
      </c>
      <c r="B338" s="25" t="s">
        <v>393</v>
      </c>
      <c r="C338" s="25" t="s">
        <v>394</v>
      </c>
    </row>
    <row r="339">
      <c r="A339" s="25" t="s">
        <v>355</v>
      </c>
      <c r="B339" s="25" t="s">
        <v>393</v>
      </c>
      <c r="C339" s="25" t="s">
        <v>395</v>
      </c>
    </row>
    <row r="340">
      <c r="A340" s="25" t="s">
        <v>355</v>
      </c>
      <c r="B340" s="25" t="s">
        <v>393</v>
      </c>
      <c r="C340" s="25" t="s">
        <v>396</v>
      </c>
    </row>
    <row r="341">
      <c r="A341" s="25" t="s">
        <v>355</v>
      </c>
      <c r="B341" s="25" t="s">
        <v>393</v>
      </c>
      <c r="C341" s="25" t="s">
        <v>397</v>
      </c>
    </row>
    <row r="342">
      <c r="A342" s="25" t="s">
        <v>355</v>
      </c>
      <c r="B342" s="25" t="s">
        <v>393</v>
      </c>
      <c r="C342" s="25" t="s">
        <v>398</v>
      </c>
    </row>
    <row r="343">
      <c r="A343" s="25" t="s">
        <v>355</v>
      </c>
      <c r="B343" s="25" t="s">
        <v>399</v>
      </c>
      <c r="C343" s="25" t="s">
        <v>400</v>
      </c>
    </row>
    <row r="344">
      <c r="A344" s="25" t="s">
        <v>355</v>
      </c>
      <c r="B344" s="25" t="s">
        <v>399</v>
      </c>
      <c r="C344" s="25" t="s">
        <v>401</v>
      </c>
    </row>
    <row r="345">
      <c r="A345" s="25" t="s">
        <v>355</v>
      </c>
      <c r="B345" s="25" t="s">
        <v>402</v>
      </c>
      <c r="C345" s="25" t="s">
        <v>403</v>
      </c>
    </row>
    <row r="346">
      <c r="A346" s="25" t="s">
        <v>355</v>
      </c>
      <c r="B346" s="25" t="s">
        <v>402</v>
      </c>
      <c r="C346" s="25" t="s">
        <v>404</v>
      </c>
    </row>
    <row r="347">
      <c r="A347" s="25" t="s">
        <v>355</v>
      </c>
      <c r="B347" s="25" t="s">
        <v>402</v>
      </c>
      <c r="C347" s="25" t="s">
        <v>405</v>
      </c>
    </row>
    <row r="348">
      <c r="A348" s="25" t="s">
        <v>355</v>
      </c>
      <c r="B348" s="25" t="s">
        <v>402</v>
      </c>
      <c r="C348" s="25" t="s">
        <v>406</v>
      </c>
    </row>
    <row r="349">
      <c r="A349" s="25" t="s">
        <v>355</v>
      </c>
      <c r="B349" s="25" t="s">
        <v>402</v>
      </c>
      <c r="C349" s="25" t="s">
        <v>407</v>
      </c>
    </row>
    <row r="350">
      <c r="A350" s="25" t="s">
        <v>355</v>
      </c>
      <c r="B350" s="25" t="s">
        <v>402</v>
      </c>
      <c r="C350" s="25" t="s">
        <v>408</v>
      </c>
    </row>
    <row r="351">
      <c r="A351" s="25" t="s">
        <v>355</v>
      </c>
      <c r="B351" s="25" t="s">
        <v>402</v>
      </c>
      <c r="C351" s="25" t="s">
        <v>409</v>
      </c>
    </row>
    <row r="352">
      <c r="A352" s="25" t="s">
        <v>355</v>
      </c>
      <c r="B352" s="25" t="s">
        <v>410</v>
      </c>
      <c r="C352" s="25" t="s">
        <v>411</v>
      </c>
    </row>
    <row r="353">
      <c r="A353" s="25" t="s">
        <v>355</v>
      </c>
      <c r="B353" s="25" t="s">
        <v>412</v>
      </c>
      <c r="C353" s="25" t="s">
        <v>413</v>
      </c>
    </row>
    <row r="354">
      <c r="A354" s="25" t="s">
        <v>355</v>
      </c>
      <c r="B354" s="25" t="s">
        <v>412</v>
      </c>
      <c r="C354" s="25" t="s">
        <v>414</v>
      </c>
    </row>
    <row r="355">
      <c r="A355" s="25" t="s">
        <v>355</v>
      </c>
      <c r="B355" s="25" t="s">
        <v>412</v>
      </c>
      <c r="C355" s="25" t="s">
        <v>415</v>
      </c>
    </row>
    <row r="356">
      <c r="A356" s="25" t="s">
        <v>355</v>
      </c>
      <c r="B356" s="25" t="s">
        <v>412</v>
      </c>
      <c r="C356" s="25" t="s">
        <v>416</v>
      </c>
    </row>
    <row r="357">
      <c r="A357" s="25" t="s">
        <v>355</v>
      </c>
      <c r="B357" s="25" t="s">
        <v>412</v>
      </c>
      <c r="C357" s="25" t="s">
        <v>417</v>
      </c>
    </row>
    <row r="358">
      <c r="A358" s="25" t="s">
        <v>355</v>
      </c>
      <c r="B358" s="25" t="s">
        <v>412</v>
      </c>
      <c r="C358" s="25" t="s">
        <v>418</v>
      </c>
    </row>
    <row r="359">
      <c r="A359" s="25" t="s">
        <v>355</v>
      </c>
      <c r="B359" s="25" t="s">
        <v>412</v>
      </c>
      <c r="C359" s="25" t="s">
        <v>419</v>
      </c>
    </row>
    <row r="360">
      <c r="A360" s="25" t="s">
        <v>355</v>
      </c>
      <c r="B360" s="25" t="s">
        <v>412</v>
      </c>
      <c r="C360" s="25" t="s">
        <v>420</v>
      </c>
    </row>
    <row r="361">
      <c r="A361" s="25" t="s">
        <v>355</v>
      </c>
      <c r="B361" s="25" t="s">
        <v>412</v>
      </c>
      <c r="C361" s="25" t="s">
        <v>421</v>
      </c>
    </row>
    <row r="362">
      <c r="A362" s="25" t="s">
        <v>355</v>
      </c>
      <c r="B362" s="25" t="s">
        <v>412</v>
      </c>
      <c r="C362" s="25" t="s">
        <v>422</v>
      </c>
    </row>
    <row r="363">
      <c r="A363" s="25" t="s">
        <v>355</v>
      </c>
      <c r="B363" s="25" t="s">
        <v>412</v>
      </c>
      <c r="C363" s="25" t="s">
        <v>423</v>
      </c>
    </row>
    <row r="364">
      <c r="A364" s="25" t="s">
        <v>355</v>
      </c>
      <c r="B364" s="25" t="s">
        <v>412</v>
      </c>
      <c r="C364" s="25" t="s">
        <v>424</v>
      </c>
    </row>
    <row r="365">
      <c r="A365" s="25" t="s">
        <v>355</v>
      </c>
      <c r="B365" s="25" t="s">
        <v>412</v>
      </c>
      <c r="C365" s="25" t="s">
        <v>425</v>
      </c>
    </row>
    <row r="366">
      <c r="A366" s="25" t="s">
        <v>355</v>
      </c>
      <c r="B366" s="25" t="s">
        <v>426</v>
      </c>
      <c r="C366" s="25" t="s">
        <v>427</v>
      </c>
    </row>
    <row r="367">
      <c r="A367" s="25" t="s">
        <v>355</v>
      </c>
      <c r="B367" s="25" t="s">
        <v>426</v>
      </c>
      <c r="C367" s="25" t="s">
        <v>428</v>
      </c>
    </row>
    <row r="368">
      <c r="A368" s="25" t="s">
        <v>355</v>
      </c>
      <c r="B368" s="25" t="s">
        <v>426</v>
      </c>
      <c r="C368" s="25" t="s">
        <v>429</v>
      </c>
    </row>
    <row r="369">
      <c r="A369" s="25" t="s">
        <v>355</v>
      </c>
      <c r="B369" s="25" t="s">
        <v>426</v>
      </c>
      <c r="C369" s="25" t="s">
        <v>430</v>
      </c>
    </row>
    <row r="370">
      <c r="A370" s="25" t="s">
        <v>355</v>
      </c>
      <c r="B370" s="25" t="s">
        <v>426</v>
      </c>
      <c r="C370" s="25" t="s">
        <v>431</v>
      </c>
    </row>
    <row r="371">
      <c r="A371" s="25" t="s">
        <v>355</v>
      </c>
      <c r="B371" s="25" t="s">
        <v>426</v>
      </c>
      <c r="C371" s="25" t="s">
        <v>432</v>
      </c>
    </row>
    <row r="372">
      <c r="A372" s="25" t="s">
        <v>355</v>
      </c>
      <c r="B372" s="25" t="s">
        <v>433</v>
      </c>
      <c r="C372" s="25" t="s">
        <v>434</v>
      </c>
    </row>
    <row r="373">
      <c r="A373" s="25" t="s">
        <v>355</v>
      </c>
      <c r="B373" s="25" t="s">
        <v>433</v>
      </c>
      <c r="C373" s="25" t="s">
        <v>435</v>
      </c>
    </row>
    <row r="374">
      <c r="A374" s="25" t="s">
        <v>355</v>
      </c>
      <c r="B374" s="25" t="s">
        <v>436</v>
      </c>
      <c r="C374" s="25" t="s">
        <v>437</v>
      </c>
    </row>
    <row r="375">
      <c r="A375" s="25" t="s">
        <v>355</v>
      </c>
      <c r="B375" s="25" t="s">
        <v>436</v>
      </c>
      <c r="C375" s="25" t="s">
        <v>438</v>
      </c>
    </row>
    <row r="376">
      <c r="A376" s="25" t="s">
        <v>355</v>
      </c>
      <c r="B376" s="25" t="s">
        <v>436</v>
      </c>
      <c r="C376" s="25" t="s">
        <v>439</v>
      </c>
    </row>
    <row r="377">
      <c r="A377" s="25" t="s">
        <v>355</v>
      </c>
      <c r="B377" s="25" t="s">
        <v>436</v>
      </c>
      <c r="C377" s="25" t="s">
        <v>440</v>
      </c>
    </row>
    <row r="378">
      <c r="A378" s="25" t="s">
        <v>355</v>
      </c>
      <c r="B378" s="25" t="s">
        <v>441</v>
      </c>
      <c r="C378" s="25" t="s">
        <v>442</v>
      </c>
    </row>
    <row r="379">
      <c r="A379" s="25" t="s">
        <v>355</v>
      </c>
      <c r="B379" s="25" t="s">
        <v>441</v>
      </c>
      <c r="C379" s="25" t="s">
        <v>443</v>
      </c>
    </row>
    <row r="380">
      <c r="A380" s="25" t="s">
        <v>355</v>
      </c>
      <c r="B380" s="25" t="s">
        <v>441</v>
      </c>
      <c r="C380" s="25" t="s">
        <v>444</v>
      </c>
    </row>
    <row r="381">
      <c r="A381" s="25" t="s">
        <v>355</v>
      </c>
      <c r="B381" s="25" t="s">
        <v>445</v>
      </c>
      <c r="C381" s="25" t="s">
        <v>446</v>
      </c>
    </row>
    <row r="382">
      <c r="A382" s="25" t="s">
        <v>355</v>
      </c>
      <c r="B382" s="25" t="s">
        <v>445</v>
      </c>
      <c r="C382" s="25" t="s">
        <v>447</v>
      </c>
    </row>
    <row r="383">
      <c r="A383" s="25" t="s">
        <v>355</v>
      </c>
      <c r="B383" s="25" t="s">
        <v>362</v>
      </c>
      <c r="C383" s="25" t="s">
        <v>448</v>
      </c>
    </row>
    <row r="384">
      <c r="A384" s="25" t="s">
        <v>355</v>
      </c>
      <c r="B384" s="25" t="s">
        <v>362</v>
      </c>
      <c r="C384" s="25" t="s">
        <v>449</v>
      </c>
    </row>
    <row r="385">
      <c r="A385" s="25" t="s">
        <v>355</v>
      </c>
      <c r="B385" s="25" t="s">
        <v>362</v>
      </c>
      <c r="C385" s="25" t="s">
        <v>450</v>
      </c>
    </row>
    <row r="386">
      <c r="A386" s="25" t="s">
        <v>355</v>
      </c>
      <c r="B386" s="25" t="s">
        <v>362</v>
      </c>
      <c r="C386" s="25" t="s">
        <v>451</v>
      </c>
    </row>
    <row r="387">
      <c r="A387" s="25" t="s">
        <v>355</v>
      </c>
      <c r="B387" s="25" t="s">
        <v>362</v>
      </c>
      <c r="C387" s="25" t="s">
        <v>452</v>
      </c>
    </row>
    <row r="388">
      <c r="A388" s="25" t="s">
        <v>355</v>
      </c>
      <c r="B388" s="25" t="s">
        <v>362</v>
      </c>
      <c r="C388" s="25" t="s">
        <v>453</v>
      </c>
    </row>
    <row r="389">
      <c r="A389" s="25" t="s">
        <v>355</v>
      </c>
      <c r="B389" s="25" t="s">
        <v>362</v>
      </c>
      <c r="C389" s="25" t="s">
        <v>454</v>
      </c>
    </row>
    <row r="390">
      <c r="A390" s="25" t="s">
        <v>355</v>
      </c>
      <c r="B390" s="25" t="s">
        <v>362</v>
      </c>
      <c r="C390" s="25" t="s">
        <v>455</v>
      </c>
    </row>
    <row r="391">
      <c r="A391" s="25" t="s">
        <v>355</v>
      </c>
      <c r="B391" s="25" t="s">
        <v>362</v>
      </c>
      <c r="C391" s="25" t="s">
        <v>456</v>
      </c>
    </row>
    <row r="392">
      <c r="A392" s="25" t="s">
        <v>355</v>
      </c>
      <c r="B392" s="25" t="s">
        <v>368</v>
      </c>
      <c r="C392" s="25" t="s">
        <v>457</v>
      </c>
    </row>
    <row r="393">
      <c r="A393" s="25" t="s">
        <v>355</v>
      </c>
      <c r="B393" s="25" t="s">
        <v>368</v>
      </c>
      <c r="C393" s="25" t="s">
        <v>458</v>
      </c>
    </row>
    <row r="394">
      <c r="A394" s="25" t="s">
        <v>355</v>
      </c>
      <c r="B394" s="25" t="s">
        <v>368</v>
      </c>
      <c r="C394" s="25" t="s">
        <v>459</v>
      </c>
    </row>
    <row r="395">
      <c r="A395" s="25" t="s">
        <v>355</v>
      </c>
      <c r="B395" s="25" t="s">
        <v>368</v>
      </c>
      <c r="C395" s="25" t="s">
        <v>460</v>
      </c>
    </row>
    <row r="396">
      <c r="A396" s="25" t="s">
        <v>355</v>
      </c>
      <c r="B396" s="25" t="s">
        <v>368</v>
      </c>
      <c r="C396" s="25" t="s">
        <v>461</v>
      </c>
    </row>
    <row r="397">
      <c r="A397" s="25" t="s">
        <v>355</v>
      </c>
      <c r="B397" s="25" t="s">
        <v>368</v>
      </c>
      <c r="C397" s="25" t="s">
        <v>462</v>
      </c>
    </row>
    <row r="398">
      <c r="A398" s="25" t="s">
        <v>355</v>
      </c>
      <c r="B398" s="25" t="s">
        <v>368</v>
      </c>
      <c r="C398" s="25" t="s">
        <v>463</v>
      </c>
    </row>
    <row r="399">
      <c r="A399" s="25" t="s">
        <v>355</v>
      </c>
      <c r="B399" s="25" t="s">
        <v>368</v>
      </c>
      <c r="C399" s="25" t="s">
        <v>464</v>
      </c>
    </row>
    <row r="400">
      <c r="A400" s="25" t="s">
        <v>355</v>
      </c>
      <c r="B400" s="25" t="s">
        <v>368</v>
      </c>
      <c r="C400" s="25" t="s">
        <v>465</v>
      </c>
    </row>
    <row r="401">
      <c r="A401" s="25" t="s">
        <v>355</v>
      </c>
      <c r="B401" s="25" t="s">
        <v>466</v>
      </c>
      <c r="C401" s="25" t="s">
        <v>467</v>
      </c>
    </row>
    <row r="402">
      <c r="A402" s="25" t="s">
        <v>355</v>
      </c>
      <c r="B402" s="25" t="s">
        <v>466</v>
      </c>
      <c r="C402" s="25" t="s">
        <v>468</v>
      </c>
    </row>
    <row r="403">
      <c r="A403" s="25" t="s">
        <v>355</v>
      </c>
      <c r="B403" s="25" t="s">
        <v>466</v>
      </c>
      <c r="C403" s="25" t="s">
        <v>469</v>
      </c>
    </row>
    <row r="404">
      <c r="A404" s="25" t="s">
        <v>355</v>
      </c>
      <c r="B404" s="25" t="s">
        <v>466</v>
      </c>
      <c r="C404" s="25" t="s">
        <v>470</v>
      </c>
    </row>
    <row r="405">
      <c r="A405" s="25" t="s">
        <v>355</v>
      </c>
      <c r="B405" s="25" t="s">
        <v>466</v>
      </c>
      <c r="C405" s="25" t="s">
        <v>471</v>
      </c>
    </row>
    <row r="406">
      <c r="A406" s="25" t="s">
        <v>355</v>
      </c>
      <c r="B406" s="25" t="s">
        <v>466</v>
      </c>
      <c r="C406" s="25" t="s">
        <v>472</v>
      </c>
    </row>
    <row r="407">
      <c r="A407" s="25" t="s">
        <v>355</v>
      </c>
      <c r="B407" s="25" t="s">
        <v>466</v>
      </c>
      <c r="C407" s="25" t="s">
        <v>473</v>
      </c>
    </row>
    <row r="408">
      <c r="A408" s="25" t="s">
        <v>355</v>
      </c>
      <c r="B408" s="25" t="s">
        <v>466</v>
      </c>
      <c r="C408" s="25" t="s">
        <v>474</v>
      </c>
    </row>
    <row r="409">
      <c r="A409" s="25" t="s">
        <v>355</v>
      </c>
      <c r="B409" s="25" t="s">
        <v>466</v>
      </c>
      <c r="C409" s="25" t="s">
        <v>475</v>
      </c>
    </row>
    <row r="410">
      <c r="A410" s="25" t="s">
        <v>355</v>
      </c>
      <c r="B410" s="25" t="s">
        <v>466</v>
      </c>
      <c r="C410" s="25" t="s">
        <v>476</v>
      </c>
    </row>
    <row r="411">
      <c r="A411" s="25" t="s">
        <v>355</v>
      </c>
      <c r="B411" s="25" t="s">
        <v>466</v>
      </c>
      <c r="C411" s="25" t="s">
        <v>477</v>
      </c>
    </row>
    <row r="412">
      <c r="A412" s="25" t="s">
        <v>355</v>
      </c>
      <c r="B412" s="25" t="s">
        <v>478</v>
      </c>
      <c r="C412" s="25" t="s">
        <v>479</v>
      </c>
    </row>
    <row r="413">
      <c r="A413" s="25" t="s">
        <v>355</v>
      </c>
      <c r="B413" s="25" t="s">
        <v>478</v>
      </c>
      <c r="C413" s="25" t="s">
        <v>480</v>
      </c>
    </row>
    <row r="414">
      <c r="A414" s="25" t="s">
        <v>355</v>
      </c>
      <c r="B414" s="25" t="s">
        <v>478</v>
      </c>
      <c r="C414" s="25" t="s">
        <v>481</v>
      </c>
    </row>
    <row r="415">
      <c r="A415" s="25" t="s">
        <v>355</v>
      </c>
      <c r="B415" s="25" t="s">
        <v>382</v>
      </c>
      <c r="C415" s="25" t="s">
        <v>482</v>
      </c>
    </row>
    <row r="416">
      <c r="A416" s="25" t="s">
        <v>355</v>
      </c>
      <c r="B416" s="25" t="s">
        <v>385</v>
      </c>
      <c r="C416" s="25" t="s">
        <v>483</v>
      </c>
    </row>
    <row r="417">
      <c r="A417" s="25" t="s">
        <v>355</v>
      </c>
      <c r="B417" s="25" t="s">
        <v>385</v>
      </c>
      <c r="C417" s="25" t="s">
        <v>484</v>
      </c>
    </row>
    <row r="418">
      <c r="A418" s="25" t="s">
        <v>355</v>
      </c>
      <c r="B418" s="25" t="s">
        <v>387</v>
      </c>
      <c r="C418" s="25" t="s">
        <v>485</v>
      </c>
    </row>
    <row r="419">
      <c r="A419" s="25" t="s">
        <v>355</v>
      </c>
      <c r="B419" s="25" t="s">
        <v>387</v>
      </c>
      <c r="C419" s="25" t="s">
        <v>486</v>
      </c>
    </row>
    <row r="420">
      <c r="A420" s="25" t="s">
        <v>355</v>
      </c>
      <c r="B420" s="25" t="s">
        <v>387</v>
      </c>
      <c r="C420" s="25" t="s">
        <v>487</v>
      </c>
    </row>
    <row r="421">
      <c r="A421" s="25" t="s">
        <v>355</v>
      </c>
      <c r="B421" s="25" t="s">
        <v>387</v>
      </c>
      <c r="C421" s="25" t="s">
        <v>488</v>
      </c>
    </row>
    <row r="422">
      <c r="A422" s="25" t="s">
        <v>355</v>
      </c>
      <c r="B422" s="25" t="s">
        <v>387</v>
      </c>
      <c r="C422" s="25" t="s">
        <v>489</v>
      </c>
    </row>
    <row r="423">
      <c r="A423" s="25" t="s">
        <v>355</v>
      </c>
      <c r="B423" s="25" t="s">
        <v>387</v>
      </c>
      <c r="C423" s="25" t="s">
        <v>490</v>
      </c>
    </row>
    <row r="424">
      <c r="A424" s="25" t="s">
        <v>355</v>
      </c>
      <c r="B424" s="25" t="s">
        <v>387</v>
      </c>
      <c r="C424" s="25" t="s">
        <v>491</v>
      </c>
    </row>
    <row r="425">
      <c r="A425" s="25" t="s">
        <v>355</v>
      </c>
      <c r="B425" s="25" t="s">
        <v>387</v>
      </c>
      <c r="C425" s="25" t="s">
        <v>492</v>
      </c>
    </row>
    <row r="426">
      <c r="A426" s="25" t="s">
        <v>355</v>
      </c>
      <c r="B426" s="25" t="s">
        <v>387</v>
      </c>
      <c r="C426" s="25" t="s">
        <v>493</v>
      </c>
    </row>
    <row r="427">
      <c r="A427" s="25" t="s">
        <v>355</v>
      </c>
      <c r="B427" s="25" t="s">
        <v>387</v>
      </c>
      <c r="C427" s="25" t="s">
        <v>494</v>
      </c>
    </row>
    <row r="428">
      <c r="A428" s="25" t="s">
        <v>355</v>
      </c>
      <c r="B428" s="25" t="s">
        <v>387</v>
      </c>
      <c r="C428" s="25" t="s">
        <v>495</v>
      </c>
    </row>
    <row r="429">
      <c r="A429" s="25" t="s">
        <v>355</v>
      </c>
      <c r="B429" s="25" t="s">
        <v>387</v>
      </c>
      <c r="C429" s="25" t="s">
        <v>496</v>
      </c>
    </row>
    <row r="430">
      <c r="A430" s="25" t="s">
        <v>355</v>
      </c>
      <c r="B430" s="25" t="s">
        <v>393</v>
      </c>
      <c r="C430" s="25" t="s">
        <v>497</v>
      </c>
    </row>
    <row r="431">
      <c r="A431" s="25" t="s">
        <v>355</v>
      </c>
      <c r="B431" s="25" t="s">
        <v>393</v>
      </c>
      <c r="C431" s="25" t="s">
        <v>498</v>
      </c>
    </row>
    <row r="432">
      <c r="A432" s="25" t="s">
        <v>355</v>
      </c>
      <c r="B432" s="25" t="s">
        <v>393</v>
      </c>
      <c r="C432" s="25" t="s">
        <v>499</v>
      </c>
    </row>
    <row r="433">
      <c r="A433" s="25" t="s">
        <v>355</v>
      </c>
      <c r="B433" s="25" t="s">
        <v>500</v>
      </c>
      <c r="C433" s="25" t="s">
        <v>501</v>
      </c>
    </row>
    <row r="434">
      <c r="A434" s="25" t="s">
        <v>355</v>
      </c>
      <c r="B434" s="25" t="s">
        <v>502</v>
      </c>
      <c r="C434" s="25" t="s">
        <v>503</v>
      </c>
    </row>
    <row r="435">
      <c r="A435" s="25" t="s">
        <v>355</v>
      </c>
      <c r="B435" s="25" t="s">
        <v>433</v>
      </c>
      <c r="C435" s="25" t="s">
        <v>504</v>
      </c>
    </row>
    <row r="436">
      <c r="A436" s="25" t="s">
        <v>355</v>
      </c>
      <c r="B436" s="25" t="s">
        <v>433</v>
      </c>
      <c r="C436" s="25" t="s">
        <v>505</v>
      </c>
    </row>
    <row r="437">
      <c r="A437" s="25" t="s">
        <v>355</v>
      </c>
      <c r="B437" s="25" t="s">
        <v>433</v>
      </c>
      <c r="C437" s="25" t="s">
        <v>506</v>
      </c>
    </row>
    <row r="438">
      <c r="A438" s="25" t="s">
        <v>355</v>
      </c>
      <c r="B438" s="25" t="s">
        <v>436</v>
      </c>
      <c r="C438" s="25" t="s">
        <v>507</v>
      </c>
    </row>
    <row r="439">
      <c r="A439" s="25" t="s">
        <v>355</v>
      </c>
      <c r="B439" s="25" t="s">
        <v>436</v>
      </c>
      <c r="C439" s="25" t="s">
        <v>508</v>
      </c>
    </row>
    <row r="440">
      <c r="A440" s="25" t="s">
        <v>355</v>
      </c>
      <c r="B440" s="25" t="s">
        <v>436</v>
      </c>
      <c r="C440" s="25" t="s">
        <v>509</v>
      </c>
    </row>
    <row r="441">
      <c r="A441" s="25" t="s">
        <v>355</v>
      </c>
      <c r="B441" s="25" t="s">
        <v>441</v>
      </c>
      <c r="C441" s="25" t="s">
        <v>510</v>
      </c>
    </row>
    <row r="442">
      <c r="A442" s="25" t="s">
        <v>355</v>
      </c>
      <c r="B442" s="25" t="s">
        <v>445</v>
      </c>
      <c r="C442" s="25" t="s">
        <v>511</v>
      </c>
    </row>
    <row r="443">
      <c r="A443" s="25" t="s">
        <v>355</v>
      </c>
      <c r="B443" s="25" t="s">
        <v>512</v>
      </c>
      <c r="C443" s="25" t="s">
        <v>513</v>
      </c>
    </row>
    <row r="444">
      <c r="A444" s="25" t="s">
        <v>355</v>
      </c>
      <c r="B444" s="25" t="s">
        <v>362</v>
      </c>
      <c r="C444" s="25" t="s">
        <v>514</v>
      </c>
    </row>
    <row r="445">
      <c r="A445" s="25" t="s">
        <v>355</v>
      </c>
      <c r="B445" s="25" t="s">
        <v>362</v>
      </c>
      <c r="C445" s="25" t="s">
        <v>515</v>
      </c>
    </row>
    <row r="446">
      <c r="A446" s="25" t="s">
        <v>355</v>
      </c>
      <c r="B446" s="25" t="s">
        <v>377</v>
      </c>
      <c r="C446" s="25" t="s">
        <v>516</v>
      </c>
    </row>
    <row r="447">
      <c r="A447" s="25" t="s">
        <v>355</v>
      </c>
      <c r="B447" s="25" t="s">
        <v>377</v>
      </c>
      <c r="C447" s="25" t="s">
        <v>517</v>
      </c>
    </row>
    <row r="448">
      <c r="A448" s="25" t="s">
        <v>355</v>
      </c>
      <c r="B448" s="25" t="s">
        <v>518</v>
      </c>
      <c r="C448" s="25" t="s">
        <v>519</v>
      </c>
    </row>
    <row r="449">
      <c r="A449" s="25" t="s">
        <v>355</v>
      </c>
      <c r="B449" s="25" t="s">
        <v>520</v>
      </c>
      <c r="C449" s="25" t="s">
        <v>521</v>
      </c>
    </row>
    <row r="450">
      <c r="A450" s="25" t="s">
        <v>355</v>
      </c>
      <c r="B450" s="25" t="s">
        <v>445</v>
      </c>
      <c r="C450" s="25" t="s">
        <v>522</v>
      </c>
    </row>
    <row r="451">
      <c r="A451" s="25" t="s">
        <v>355</v>
      </c>
      <c r="B451" s="25" t="s">
        <v>445</v>
      </c>
      <c r="C451" s="25" t="s">
        <v>523</v>
      </c>
    </row>
    <row r="452">
      <c r="A452" s="25" t="s">
        <v>355</v>
      </c>
      <c r="B452" s="25" t="s">
        <v>445</v>
      </c>
      <c r="C452" s="25" t="s">
        <v>524</v>
      </c>
    </row>
    <row r="453">
      <c r="A453" s="25" t="s">
        <v>355</v>
      </c>
      <c r="B453" s="25" t="s">
        <v>445</v>
      </c>
      <c r="C453" s="25" t="s">
        <v>525</v>
      </c>
    </row>
    <row r="454">
      <c r="A454" s="25" t="s">
        <v>355</v>
      </c>
      <c r="B454" s="25" t="s">
        <v>445</v>
      </c>
      <c r="C454" s="25" t="s">
        <v>526</v>
      </c>
    </row>
    <row r="455">
      <c r="A455" s="25" t="s">
        <v>19</v>
      </c>
      <c r="B455" s="25" t="s">
        <v>227</v>
      </c>
      <c r="C455" s="25" t="s">
        <v>527</v>
      </c>
    </row>
    <row r="456">
      <c r="A456" s="25" t="s">
        <v>19</v>
      </c>
      <c r="B456" s="25" t="s">
        <v>227</v>
      </c>
      <c r="C456" s="25" t="s">
        <v>528</v>
      </c>
    </row>
    <row r="457">
      <c r="A457" s="25" t="s">
        <v>19</v>
      </c>
      <c r="B457" s="25" t="s">
        <v>227</v>
      </c>
      <c r="C457" s="25" t="s">
        <v>529</v>
      </c>
    </row>
    <row r="458">
      <c r="A458" s="25" t="s">
        <v>19</v>
      </c>
      <c r="B458" s="25" t="s">
        <v>227</v>
      </c>
      <c r="C458" s="25" t="s">
        <v>530</v>
      </c>
    </row>
    <row r="459">
      <c r="A459" s="25" t="s">
        <v>19</v>
      </c>
      <c r="B459" s="25" t="s">
        <v>227</v>
      </c>
      <c r="C459" s="25" t="s">
        <v>531</v>
      </c>
    </row>
    <row r="460">
      <c r="A460" s="25" t="s">
        <v>19</v>
      </c>
      <c r="B460" s="25" t="s">
        <v>227</v>
      </c>
      <c r="C460" s="25" t="s">
        <v>532</v>
      </c>
    </row>
    <row r="461">
      <c r="A461" s="25" t="s">
        <v>19</v>
      </c>
      <c r="B461" s="25" t="s">
        <v>227</v>
      </c>
      <c r="C461" s="25" t="s">
        <v>533</v>
      </c>
    </row>
    <row r="462">
      <c r="A462" s="25" t="s">
        <v>19</v>
      </c>
      <c r="B462" s="25" t="s">
        <v>227</v>
      </c>
      <c r="C462" s="25" t="s">
        <v>534</v>
      </c>
    </row>
    <row r="463">
      <c r="A463" s="25" t="s">
        <v>283</v>
      </c>
      <c r="B463" s="25" t="s">
        <v>346</v>
      </c>
      <c r="C463" s="25" t="s">
        <v>535</v>
      </c>
    </row>
    <row r="464">
      <c r="A464" s="25" t="s">
        <v>283</v>
      </c>
      <c r="B464" s="25" t="s">
        <v>346</v>
      </c>
      <c r="C464" s="25" t="s">
        <v>307</v>
      </c>
    </row>
    <row r="465">
      <c r="A465" s="25" t="s">
        <v>283</v>
      </c>
      <c r="B465" s="25" t="s">
        <v>324</v>
      </c>
      <c r="C465" s="25" t="s">
        <v>536</v>
      </c>
    </row>
    <row r="466">
      <c r="A466" s="25" t="s">
        <v>283</v>
      </c>
      <c r="B466" s="25" t="s">
        <v>324</v>
      </c>
      <c r="C466" s="25" t="s">
        <v>537</v>
      </c>
    </row>
    <row r="467">
      <c r="A467" s="25" t="s">
        <v>19</v>
      </c>
      <c r="B467" s="25" t="s">
        <v>227</v>
      </c>
      <c r="C467" s="25" t="s">
        <v>538</v>
      </c>
    </row>
    <row r="468">
      <c r="A468" s="25" t="s">
        <v>19</v>
      </c>
      <c r="B468" s="25" t="s">
        <v>227</v>
      </c>
      <c r="C468" s="25" t="s">
        <v>539</v>
      </c>
    </row>
    <row r="469">
      <c r="A469" s="25" t="s">
        <v>19</v>
      </c>
      <c r="B469" s="25" t="s">
        <v>227</v>
      </c>
      <c r="C469" s="25" t="s">
        <v>540</v>
      </c>
    </row>
    <row r="470">
      <c r="A470" s="25" t="s">
        <v>19</v>
      </c>
      <c r="B470" s="25" t="s">
        <v>227</v>
      </c>
      <c r="C470" s="25" t="s">
        <v>541</v>
      </c>
    </row>
    <row r="471">
      <c r="A471" s="25" t="s">
        <v>19</v>
      </c>
      <c r="B471" s="25" t="s">
        <v>227</v>
      </c>
      <c r="C471" s="25" t="s">
        <v>542</v>
      </c>
    </row>
    <row r="472">
      <c r="A472" s="25" t="s">
        <v>19</v>
      </c>
      <c r="B472" s="25" t="s">
        <v>227</v>
      </c>
      <c r="C472" s="25" t="s">
        <v>543</v>
      </c>
    </row>
    <row r="473">
      <c r="A473" s="25" t="s">
        <v>19</v>
      </c>
      <c r="B473" s="25" t="s">
        <v>227</v>
      </c>
      <c r="C473" s="25" t="s">
        <v>544</v>
      </c>
    </row>
    <row r="474">
      <c r="A474" s="25" t="s">
        <v>19</v>
      </c>
      <c r="B474" s="25" t="s">
        <v>227</v>
      </c>
      <c r="C474" s="25" t="s">
        <v>545</v>
      </c>
    </row>
    <row r="475">
      <c r="A475" s="25" t="s">
        <v>19</v>
      </c>
      <c r="B475" s="25" t="s">
        <v>227</v>
      </c>
      <c r="C475" s="25" t="s">
        <v>546</v>
      </c>
    </row>
    <row r="476">
      <c r="A476" s="25" t="s">
        <v>19</v>
      </c>
      <c r="B476" s="25" t="s">
        <v>227</v>
      </c>
      <c r="C476" s="25" t="s">
        <v>547</v>
      </c>
    </row>
    <row r="477">
      <c r="A477" s="25" t="s">
        <v>19</v>
      </c>
      <c r="B477" s="25" t="s">
        <v>227</v>
      </c>
      <c r="C477" s="25" t="s">
        <v>548</v>
      </c>
    </row>
    <row r="478">
      <c r="A478" s="25" t="s">
        <v>19</v>
      </c>
      <c r="B478" s="25" t="s">
        <v>227</v>
      </c>
      <c r="C478" s="25" t="s">
        <v>549</v>
      </c>
    </row>
    <row r="479">
      <c r="A479" s="25" t="s">
        <v>19</v>
      </c>
      <c r="B479" s="25" t="s">
        <v>227</v>
      </c>
      <c r="C479" s="25" t="s">
        <v>550</v>
      </c>
    </row>
    <row r="480">
      <c r="A480" s="25" t="s">
        <v>283</v>
      </c>
      <c r="B480" s="25" t="s">
        <v>346</v>
      </c>
      <c r="C480" s="25" t="s">
        <v>551</v>
      </c>
    </row>
    <row r="481">
      <c r="A481" s="25" t="s">
        <v>283</v>
      </c>
      <c r="B481" s="25" t="s">
        <v>552</v>
      </c>
      <c r="C481" s="25" t="s">
        <v>553</v>
      </c>
    </row>
    <row r="482">
      <c r="A482" s="25" t="s">
        <v>283</v>
      </c>
      <c r="B482" s="25" t="s">
        <v>324</v>
      </c>
      <c r="C482" s="25" t="s">
        <v>554</v>
      </c>
    </row>
    <row r="483">
      <c r="A483" s="25" t="s">
        <v>283</v>
      </c>
      <c r="B483" s="25" t="s">
        <v>344</v>
      </c>
      <c r="C483" s="25" t="s">
        <v>555</v>
      </c>
    </row>
    <row r="484">
      <c r="A484" s="25" t="s">
        <v>283</v>
      </c>
      <c r="B484" s="25" t="s">
        <v>556</v>
      </c>
      <c r="C484" s="25" t="s">
        <v>557</v>
      </c>
    </row>
    <row r="485">
      <c r="A485" s="25" t="s">
        <v>283</v>
      </c>
      <c r="B485" s="25" t="s">
        <v>558</v>
      </c>
      <c r="C485" s="25" t="s">
        <v>559</v>
      </c>
    </row>
    <row r="486">
      <c r="A486" s="25" t="s">
        <v>283</v>
      </c>
      <c r="B486" s="25" t="s">
        <v>560</v>
      </c>
      <c r="C486" s="25" t="s">
        <v>561</v>
      </c>
    </row>
    <row r="487">
      <c r="A487" s="25" t="s">
        <v>19</v>
      </c>
      <c r="B487" s="25" t="s">
        <v>562</v>
      </c>
      <c r="C487" s="25" t="s">
        <v>563</v>
      </c>
    </row>
    <row r="488">
      <c r="A488" s="25" t="s">
        <v>19</v>
      </c>
      <c r="B488" s="25" t="s">
        <v>562</v>
      </c>
      <c r="C488" s="25" t="s">
        <v>564</v>
      </c>
    </row>
    <row r="489">
      <c r="A489" s="25" t="s">
        <v>19</v>
      </c>
      <c r="B489" s="25" t="s">
        <v>562</v>
      </c>
      <c r="C489" s="25" t="s">
        <v>565</v>
      </c>
    </row>
    <row r="490">
      <c r="A490" s="25" t="s">
        <v>19</v>
      </c>
      <c r="B490" s="25" t="s">
        <v>562</v>
      </c>
      <c r="C490" s="25" t="s">
        <v>566</v>
      </c>
    </row>
    <row r="491">
      <c r="A491" s="25" t="s">
        <v>19</v>
      </c>
      <c r="B491" s="25" t="s">
        <v>562</v>
      </c>
      <c r="C491" s="25" t="s">
        <v>567</v>
      </c>
    </row>
    <row r="492">
      <c r="A492" s="25" t="s">
        <v>19</v>
      </c>
      <c r="B492" s="25" t="s">
        <v>562</v>
      </c>
      <c r="C492" s="25" t="s">
        <v>568</v>
      </c>
    </row>
    <row r="493">
      <c r="A493" s="25" t="s">
        <v>19</v>
      </c>
      <c r="B493" s="25" t="s">
        <v>562</v>
      </c>
      <c r="C493" s="25" t="s">
        <v>569</v>
      </c>
    </row>
    <row r="494">
      <c r="A494" s="25" t="s">
        <v>19</v>
      </c>
      <c r="B494" s="25" t="s">
        <v>562</v>
      </c>
      <c r="C494" s="25" t="s">
        <v>570</v>
      </c>
    </row>
    <row r="495">
      <c r="A495" s="25" t="s">
        <v>19</v>
      </c>
      <c r="B495" s="25" t="s">
        <v>562</v>
      </c>
      <c r="C495" s="25" t="s">
        <v>571</v>
      </c>
    </row>
    <row r="496">
      <c r="A496" s="25" t="s">
        <v>19</v>
      </c>
      <c r="B496" s="25" t="s">
        <v>562</v>
      </c>
      <c r="C496" s="25" t="s">
        <v>572</v>
      </c>
    </row>
    <row r="497">
      <c r="A497" s="25" t="s">
        <v>283</v>
      </c>
      <c r="B497" s="25" t="s">
        <v>573</v>
      </c>
      <c r="C497" s="25" t="s">
        <v>574</v>
      </c>
    </row>
    <row r="498">
      <c r="A498" s="25" t="s">
        <v>283</v>
      </c>
      <c r="B498" s="25" t="s">
        <v>575</v>
      </c>
      <c r="C498" s="25" t="s">
        <v>576</v>
      </c>
    </row>
    <row r="499">
      <c r="A499" s="25" t="s">
        <v>283</v>
      </c>
      <c r="B499" s="25" t="s">
        <v>577</v>
      </c>
      <c r="C499" s="25" t="s">
        <v>578</v>
      </c>
    </row>
    <row r="500">
      <c r="A500" s="25" t="s">
        <v>283</v>
      </c>
      <c r="B500" s="25" t="s">
        <v>579</v>
      </c>
      <c r="C500" s="25" t="s">
        <v>580</v>
      </c>
    </row>
    <row r="501">
      <c r="A501" s="25" t="s">
        <v>283</v>
      </c>
      <c r="B501" s="25" t="s">
        <v>581</v>
      </c>
      <c r="C501" s="25" t="s">
        <v>582</v>
      </c>
    </row>
    <row r="502">
      <c r="A502" s="25" t="s">
        <v>283</v>
      </c>
      <c r="B502" s="25" t="s">
        <v>583</v>
      </c>
      <c r="C502" s="25" t="s">
        <v>584</v>
      </c>
    </row>
    <row r="503">
      <c r="A503" s="25" t="s">
        <v>283</v>
      </c>
      <c r="B503" s="25" t="s">
        <v>583</v>
      </c>
      <c r="C503" s="25" t="s">
        <v>585</v>
      </c>
    </row>
    <row r="504">
      <c r="A504" s="25" t="s">
        <v>19</v>
      </c>
      <c r="B504" s="25" t="s">
        <v>586</v>
      </c>
      <c r="C504" s="25" t="s">
        <v>587</v>
      </c>
    </row>
    <row r="505">
      <c r="A505" s="25" t="s">
        <v>19</v>
      </c>
      <c r="B505" s="25" t="s">
        <v>586</v>
      </c>
      <c r="C505" s="25" t="s">
        <v>588</v>
      </c>
    </row>
    <row r="506">
      <c r="A506" s="25" t="s">
        <v>19</v>
      </c>
      <c r="B506" s="25" t="s">
        <v>586</v>
      </c>
      <c r="C506" s="25" t="s">
        <v>589</v>
      </c>
    </row>
    <row r="507">
      <c r="A507" s="25" t="s">
        <v>19</v>
      </c>
      <c r="B507" s="25" t="s">
        <v>586</v>
      </c>
      <c r="C507" s="25" t="s">
        <v>590</v>
      </c>
    </row>
    <row r="508">
      <c r="A508" s="25" t="s">
        <v>19</v>
      </c>
      <c r="B508" s="25" t="s">
        <v>586</v>
      </c>
      <c r="C508" s="25" t="s">
        <v>591</v>
      </c>
    </row>
    <row r="509">
      <c r="A509" s="25" t="s">
        <v>19</v>
      </c>
      <c r="B509" s="25" t="s">
        <v>586</v>
      </c>
      <c r="C509" s="25" t="s">
        <v>592</v>
      </c>
    </row>
    <row r="510">
      <c r="A510" s="25" t="s">
        <v>19</v>
      </c>
      <c r="B510" s="25" t="s">
        <v>586</v>
      </c>
      <c r="C510" s="25" t="s">
        <v>593</v>
      </c>
    </row>
    <row r="511">
      <c r="A511" s="25" t="s">
        <v>19</v>
      </c>
      <c r="B511" s="25" t="s">
        <v>586</v>
      </c>
      <c r="C511" s="25" t="s">
        <v>594</v>
      </c>
    </row>
    <row r="512">
      <c r="A512" s="25" t="s">
        <v>19</v>
      </c>
      <c r="B512" s="25" t="s">
        <v>586</v>
      </c>
      <c r="C512" s="25" t="s">
        <v>595</v>
      </c>
    </row>
    <row r="513">
      <c r="A513" s="25" t="s">
        <v>19</v>
      </c>
      <c r="B513" s="25" t="s">
        <v>586</v>
      </c>
      <c r="C513" s="25" t="s">
        <v>596</v>
      </c>
    </row>
    <row r="514">
      <c r="A514" s="25" t="s">
        <v>19</v>
      </c>
      <c r="B514" s="25" t="s">
        <v>586</v>
      </c>
      <c r="C514" s="25" t="s">
        <v>597</v>
      </c>
    </row>
    <row r="515">
      <c r="A515" s="25" t="s">
        <v>19</v>
      </c>
      <c r="B515" s="25" t="s">
        <v>586</v>
      </c>
      <c r="C515" s="25" t="s">
        <v>598</v>
      </c>
    </row>
    <row r="516">
      <c r="A516" s="25" t="s">
        <v>19</v>
      </c>
      <c r="B516" s="25" t="s">
        <v>586</v>
      </c>
      <c r="C516" s="25" t="s">
        <v>599</v>
      </c>
    </row>
    <row r="517">
      <c r="A517" s="25" t="s">
        <v>19</v>
      </c>
      <c r="B517" s="25" t="s">
        <v>586</v>
      </c>
      <c r="C517" s="25" t="s">
        <v>600</v>
      </c>
    </row>
    <row r="518">
      <c r="A518" s="25" t="s">
        <v>19</v>
      </c>
      <c r="B518" s="25" t="s">
        <v>586</v>
      </c>
      <c r="C518" s="25" t="s">
        <v>601</v>
      </c>
    </row>
    <row r="519">
      <c r="A519" s="25" t="s">
        <v>19</v>
      </c>
      <c r="B519" s="25" t="s">
        <v>586</v>
      </c>
      <c r="C519" s="25" t="s">
        <v>602</v>
      </c>
    </row>
    <row r="520">
      <c r="A520" s="25" t="s">
        <v>19</v>
      </c>
      <c r="B520" s="25" t="s">
        <v>586</v>
      </c>
      <c r="C520" s="25" t="s">
        <v>603</v>
      </c>
    </row>
    <row r="521">
      <c r="A521" s="25" t="s">
        <v>19</v>
      </c>
      <c r="B521" s="25" t="s">
        <v>586</v>
      </c>
      <c r="C521" s="25" t="s">
        <v>604</v>
      </c>
    </row>
    <row r="522">
      <c r="A522" s="25" t="s">
        <v>19</v>
      </c>
      <c r="B522" s="25" t="s">
        <v>586</v>
      </c>
      <c r="C522" s="25" t="s">
        <v>605</v>
      </c>
    </row>
    <row r="523">
      <c r="A523" s="25" t="s">
        <v>19</v>
      </c>
      <c r="B523" s="25" t="s">
        <v>586</v>
      </c>
      <c r="C523" s="25" t="s">
        <v>606</v>
      </c>
    </row>
    <row r="524">
      <c r="A524" s="25" t="s">
        <v>19</v>
      </c>
      <c r="B524" s="25" t="s">
        <v>607</v>
      </c>
      <c r="C524" s="25" t="s">
        <v>608</v>
      </c>
    </row>
    <row r="525">
      <c r="A525" s="25" t="s">
        <v>283</v>
      </c>
      <c r="B525" s="25" t="s">
        <v>609</v>
      </c>
      <c r="C525" s="25" t="s">
        <v>610</v>
      </c>
    </row>
    <row r="526">
      <c r="A526" s="25" t="s">
        <v>19</v>
      </c>
      <c r="B526" s="25" t="s">
        <v>586</v>
      </c>
      <c r="C526" s="25" t="s">
        <v>611</v>
      </c>
    </row>
    <row r="527">
      <c r="A527" s="25" t="s">
        <v>19</v>
      </c>
      <c r="B527" s="25" t="s">
        <v>586</v>
      </c>
      <c r="C527" s="25" t="s">
        <v>612</v>
      </c>
    </row>
    <row r="528">
      <c r="A528" s="25" t="s">
        <v>19</v>
      </c>
      <c r="B528" s="25" t="s">
        <v>586</v>
      </c>
      <c r="C528" s="25" t="s">
        <v>613</v>
      </c>
    </row>
    <row r="529">
      <c r="A529" s="25" t="s">
        <v>19</v>
      </c>
      <c r="B529" s="25" t="s">
        <v>586</v>
      </c>
      <c r="C529" s="25" t="s">
        <v>614</v>
      </c>
    </row>
    <row r="530">
      <c r="A530" s="25" t="s">
        <v>19</v>
      </c>
      <c r="B530" s="25" t="s">
        <v>586</v>
      </c>
      <c r="C530" s="25" t="s">
        <v>615</v>
      </c>
    </row>
    <row r="531">
      <c r="A531" s="25" t="s">
        <v>19</v>
      </c>
      <c r="B531" s="25" t="s">
        <v>586</v>
      </c>
      <c r="C531" s="25" t="s">
        <v>616</v>
      </c>
    </row>
    <row r="532">
      <c r="A532" s="25" t="s">
        <v>19</v>
      </c>
      <c r="B532" s="25" t="s">
        <v>586</v>
      </c>
      <c r="C532" s="25" t="s">
        <v>617</v>
      </c>
    </row>
    <row r="533">
      <c r="A533" s="25" t="s">
        <v>19</v>
      </c>
      <c r="B533" s="25" t="s">
        <v>586</v>
      </c>
      <c r="C533" s="25" t="s">
        <v>618</v>
      </c>
    </row>
    <row r="534">
      <c r="A534" s="25" t="s">
        <v>19</v>
      </c>
      <c r="B534" s="25" t="s">
        <v>586</v>
      </c>
      <c r="C534" s="25" t="s">
        <v>619</v>
      </c>
    </row>
    <row r="535">
      <c r="A535" s="25" t="s">
        <v>19</v>
      </c>
      <c r="B535" s="25" t="s">
        <v>586</v>
      </c>
      <c r="C535" s="25" t="s">
        <v>620</v>
      </c>
    </row>
    <row r="536">
      <c r="A536" s="25" t="s">
        <v>19</v>
      </c>
      <c r="B536" s="25" t="s">
        <v>586</v>
      </c>
      <c r="C536" s="25" t="s">
        <v>621</v>
      </c>
    </row>
    <row r="537">
      <c r="A537" s="25" t="s">
        <v>19</v>
      </c>
      <c r="B537" s="25" t="s">
        <v>586</v>
      </c>
      <c r="C537" s="25" t="s">
        <v>622</v>
      </c>
    </row>
    <row r="538">
      <c r="A538" s="25" t="s">
        <v>19</v>
      </c>
      <c r="B538" s="25" t="s">
        <v>586</v>
      </c>
      <c r="C538" s="25" t="s">
        <v>623</v>
      </c>
    </row>
    <row r="539">
      <c r="A539" s="25" t="s">
        <v>19</v>
      </c>
      <c r="B539" s="25" t="s">
        <v>586</v>
      </c>
      <c r="C539" s="25" t="s">
        <v>624</v>
      </c>
    </row>
    <row r="540">
      <c r="A540" s="25" t="s">
        <v>19</v>
      </c>
      <c r="B540" s="25" t="s">
        <v>586</v>
      </c>
      <c r="C540" s="25" t="s">
        <v>625</v>
      </c>
    </row>
    <row r="541">
      <c r="A541" s="25" t="s">
        <v>19</v>
      </c>
      <c r="B541" s="25" t="s">
        <v>586</v>
      </c>
      <c r="C541" s="25" t="s">
        <v>626</v>
      </c>
    </row>
    <row r="542">
      <c r="A542" s="25" t="s">
        <v>19</v>
      </c>
      <c r="B542" s="25" t="s">
        <v>586</v>
      </c>
      <c r="C542" s="25" t="s">
        <v>627</v>
      </c>
    </row>
    <row r="543">
      <c r="A543" s="25" t="s">
        <v>19</v>
      </c>
      <c r="B543" s="25" t="s">
        <v>586</v>
      </c>
      <c r="C543" s="25" t="s">
        <v>628</v>
      </c>
    </row>
    <row r="544">
      <c r="A544" s="25" t="s">
        <v>19</v>
      </c>
      <c r="B544" s="25" t="s">
        <v>586</v>
      </c>
      <c r="C544" s="25" t="s">
        <v>629</v>
      </c>
    </row>
    <row r="545">
      <c r="A545" s="25" t="s">
        <v>19</v>
      </c>
      <c r="B545" s="25" t="s">
        <v>586</v>
      </c>
      <c r="C545" s="25" t="s">
        <v>630</v>
      </c>
    </row>
    <row r="546">
      <c r="A546" s="25" t="s">
        <v>283</v>
      </c>
      <c r="B546" s="25" t="s">
        <v>346</v>
      </c>
      <c r="C546" s="25" t="s">
        <v>631</v>
      </c>
    </row>
    <row r="547">
      <c r="A547" s="25" t="s">
        <v>283</v>
      </c>
      <c r="B547" s="25" t="s">
        <v>346</v>
      </c>
      <c r="C547" s="25" t="s">
        <v>632</v>
      </c>
    </row>
    <row r="548">
      <c r="A548" s="25" t="s">
        <v>283</v>
      </c>
      <c r="B548" s="25" t="s">
        <v>346</v>
      </c>
      <c r="C548" s="25" t="s">
        <v>633</v>
      </c>
    </row>
    <row r="549">
      <c r="A549" s="25" t="s">
        <v>19</v>
      </c>
      <c r="B549" s="25" t="s">
        <v>176</v>
      </c>
      <c r="C549" s="25" t="s">
        <v>634</v>
      </c>
    </row>
    <row r="550">
      <c r="A550" s="25" t="s">
        <v>19</v>
      </c>
      <c r="B550" s="25" t="s">
        <v>176</v>
      </c>
      <c r="C550" s="25" t="s">
        <v>635</v>
      </c>
    </row>
    <row r="551">
      <c r="A551" s="25" t="s">
        <v>355</v>
      </c>
      <c r="B551" s="25" t="s">
        <v>636</v>
      </c>
      <c r="C551" s="25" t="s">
        <v>637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25"/>
    <col customWidth="1" min="2" max="2" width="40.0"/>
    <col customWidth="1" min="3" max="3" width="3.88"/>
    <col customWidth="1" min="4" max="4" width="13.75"/>
    <col customWidth="1" min="5" max="5" width="17.5"/>
    <col customWidth="1" min="6" max="6" width="27.13"/>
    <col customWidth="1" min="7" max="7" width="23.75"/>
    <col customWidth="1" min="8" max="9" width="16.5"/>
    <col customWidth="1" min="10" max="10" width="22.38"/>
  </cols>
  <sheetData>
    <row r="1">
      <c r="A1" s="24" t="s">
        <v>638</v>
      </c>
      <c r="B1" s="24" t="s">
        <v>639</v>
      </c>
      <c r="C1" s="24" t="s">
        <v>640</v>
      </c>
      <c r="D1" s="24" t="s">
        <v>641</v>
      </c>
      <c r="E1" s="24" t="s">
        <v>642</v>
      </c>
      <c r="F1" s="24" t="s">
        <v>643</v>
      </c>
      <c r="G1" s="24" t="s">
        <v>644</v>
      </c>
      <c r="H1" s="24" t="s">
        <v>645</v>
      </c>
      <c r="I1" s="24" t="s">
        <v>646</v>
      </c>
      <c r="J1" s="24" t="s">
        <v>647</v>
      </c>
    </row>
    <row r="2">
      <c r="A2" s="25">
        <v>1.07231813E8</v>
      </c>
      <c r="B2" s="25" t="s">
        <v>648</v>
      </c>
      <c r="C2" s="26">
        <v>24.0</v>
      </c>
      <c r="D2" s="25" t="s">
        <v>649</v>
      </c>
      <c r="E2" s="25" t="s">
        <v>650</v>
      </c>
      <c r="F2" s="25" t="s">
        <v>651</v>
      </c>
      <c r="G2" s="25" t="s">
        <v>652</v>
      </c>
      <c r="H2" s="26" t="s">
        <v>653</v>
      </c>
      <c r="I2" s="26" t="s">
        <v>653</v>
      </c>
      <c r="J2" s="27"/>
    </row>
    <row r="3">
      <c r="A3" s="25">
        <v>1.07201164E8</v>
      </c>
      <c r="B3" s="25" t="s">
        <v>654</v>
      </c>
      <c r="C3" s="26">
        <v>46.0</v>
      </c>
      <c r="D3" s="25" t="s">
        <v>655</v>
      </c>
      <c r="E3" s="25" t="s">
        <v>650</v>
      </c>
      <c r="F3" s="25" t="s">
        <v>656</v>
      </c>
      <c r="G3" s="25" t="s">
        <v>657</v>
      </c>
      <c r="H3" s="26" t="s">
        <v>658</v>
      </c>
      <c r="I3" s="26" t="s">
        <v>659</v>
      </c>
      <c r="J3" s="28">
        <v>28339.0</v>
      </c>
    </row>
    <row r="4">
      <c r="A4" s="25">
        <v>2.032419E8</v>
      </c>
      <c r="B4" s="25" t="s">
        <v>660</v>
      </c>
      <c r="C4" s="26">
        <v>0.0</v>
      </c>
      <c r="D4" s="27"/>
      <c r="E4" s="25" t="s">
        <v>661</v>
      </c>
      <c r="F4" s="25" t="s">
        <v>662</v>
      </c>
      <c r="G4" s="25" t="s">
        <v>663</v>
      </c>
      <c r="H4" s="26" t="s">
        <v>664</v>
      </c>
      <c r="I4" s="26" t="s">
        <v>665</v>
      </c>
      <c r="J4" s="27"/>
    </row>
    <row r="5">
      <c r="A5" s="25">
        <v>2.04241906E8</v>
      </c>
      <c r="B5" s="25" t="s">
        <v>666</v>
      </c>
      <c r="C5" s="26">
        <v>21.0</v>
      </c>
      <c r="D5" s="25" t="s">
        <v>649</v>
      </c>
      <c r="E5" s="25" t="s">
        <v>661</v>
      </c>
      <c r="F5" s="25" t="s">
        <v>667</v>
      </c>
      <c r="G5" s="25" t="s">
        <v>668</v>
      </c>
      <c r="H5" s="27"/>
      <c r="I5" s="27"/>
      <c r="J5" s="27"/>
    </row>
    <row r="6">
      <c r="A6" s="25">
        <v>1.05211389E8</v>
      </c>
      <c r="B6" s="25" t="s">
        <v>669</v>
      </c>
      <c r="C6" s="26">
        <v>30.0</v>
      </c>
      <c r="D6" s="25" t="s">
        <v>649</v>
      </c>
      <c r="E6" s="25" t="s">
        <v>650</v>
      </c>
      <c r="F6" s="25" t="s">
        <v>670</v>
      </c>
      <c r="G6" s="25" t="s">
        <v>668</v>
      </c>
      <c r="H6" s="26" t="s">
        <v>671</v>
      </c>
      <c r="I6" s="26" t="s">
        <v>672</v>
      </c>
      <c r="J6" s="28">
        <v>36412.0</v>
      </c>
    </row>
    <row r="7">
      <c r="A7" s="25">
        <v>2.02201128E8</v>
      </c>
      <c r="B7" s="25" t="s">
        <v>673</v>
      </c>
      <c r="C7" s="26">
        <v>54.0</v>
      </c>
      <c r="D7" s="25" t="s">
        <v>649</v>
      </c>
      <c r="E7" s="25" t="s">
        <v>661</v>
      </c>
      <c r="F7" s="25" t="s">
        <v>674</v>
      </c>
      <c r="G7" s="25" t="s">
        <v>675</v>
      </c>
      <c r="H7" s="26" t="s">
        <v>676</v>
      </c>
      <c r="I7" s="26" t="s">
        <v>676</v>
      </c>
      <c r="J7" s="28">
        <v>26160.0</v>
      </c>
    </row>
    <row r="8">
      <c r="A8" s="25">
        <v>1.09201236E8</v>
      </c>
      <c r="B8" s="25" t="s">
        <v>677</v>
      </c>
      <c r="C8" s="26">
        <v>44.0</v>
      </c>
      <c r="D8" s="25" t="s">
        <v>649</v>
      </c>
      <c r="E8" s="25" t="s">
        <v>650</v>
      </c>
      <c r="F8" s="25" t="s">
        <v>678</v>
      </c>
      <c r="G8" s="25" t="s">
        <v>663</v>
      </c>
      <c r="H8" s="26" t="s">
        <v>679</v>
      </c>
      <c r="I8" s="26" t="s">
        <v>679</v>
      </c>
      <c r="J8" s="28">
        <v>31567.0</v>
      </c>
    </row>
    <row r="9">
      <c r="A9" s="25">
        <v>3.04210058E8</v>
      </c>
      <c r="B9" s="25" t="s">
        <v>680</v>
      </c>
      <c r="C9" s="26">
        <v>28.0</v>
      </c>
      <c r="D9" s="25" t="s">
        <v>649</v>
      </c>
      <c r="E9" s="25" t="s">
        <v>681</v>
      </c>
      <c r="F9" s="25" t="s">
        <v>682</v>
      </c>
      <c r="G9" s="25" t="s">
        <v>683</v>
      </c>
      <c r="H9" s="26" t="s">
        <v>684</v>
      </c>
      <c r="I9" s="26" t="s">
        <v>685</v>
      </c>
      <c r="J9" s="28">
        <v>35150.0</v>
      </c>
    </row>
    <row r="10">
      <c r="A10" s="25">
        <v>1.1221156E8</v>
      </c>
      <c r="B10" s="25" t="s">
        <v>686</v>
      </c>
      <c r="C10" s="26">
        <v>24.0</v>
      </c>
      <c r="D10" s="25" t="s">
        <v>649</v>
      </c>
      <c r="E10" s="25" t="s">
        <v>650</v>
      </c>
      <c r="F10" s="25" t="s">
        <v>687</v>
      </c>
      <c r="G10" s="25" t="s">
        <v>675</v>
      </c>
      <c r="H10" s="26" t="s">
        <v>688</v>
      </c>
      <c r="I10" s="26" t="s">
        <v>688</v>
      </c>
      <c r="J10" s="27"/>
    </row>
    <row r="11">
      <c r="A11" s="25">
        <v>2.12211549E8</v>
      </c>
      <c r="B11" s="25" t="s">
        <v>689</v>
      </c>
      <c r="C11" s="26">
        <v>44.0</v>
      </c>
      <c r="D11" s="25" t="s">
        <v>649</v>
      </c>
      <c r="E11" s="25" t="s">
        <v>661</v>
      </c>
      <c r="F11" s="25" t="s">
        <v>678</v>
      </c>
      <c r="G11" s="25" t="s">
        <v>663</v>
      </c>
      <c r="H11" s="26" t="s">
        <v>690</v>
      </c>
      <c r="I11" s="26" t="s">
        <v>691</v>
      </c>
      <c r="J11" s="27"/>
    </row>
    <row r="12">
      <c r="A12" s="25">
        <v>1.02190897E8</v>
      </c>
      <c r="B12" s="25" t="s">
        <v>692</v>
      </c>
      <c r="C12" s="26">
        <v>47.0</v>
      </c>
      <c r="D12" s="25" t="s">
        <v>649</v>
      </c>
      <c r="E12" s="25" t="s">
        <v>650</v>
      </c>
      <c r="F12" s="25" t="s">
        <v>693</v>
      </c>
      <c r="G12" s="25" t="s">
        <v>694</v>
      </c>
      <c r="H12" s="26" t="s">
        <v>695</v>
      </c>
      <c r="I12" s="26" t="s">
        <v>696</v>
      </c>
      <c r="J12" s="27"/>
    </row>
    <row r="13">
      <c r="A13" s="25">
        <v>1.09201217E8</v>
      </c>
      <c r="B13" s="25" t="s">
        <v>697</v>
      </c>
      <c r="C13" s="26">
        <v>40.0</v>
      </c>
      <c r="D13" s="25" t="s">
        <v>698</v>
      </c>
      <c r="E13" s="25" t="s">
        <v>650</v>
      </c>
      <c r="F13" s="25" t="s">
        <v>699</v>
      </c>
      <c r="G13" s="25" t="s">
        <v>675</v>
      </c>
      <c r="H13" s="26" t="s">
        <v>700</v>
      </c>
      <c r="I13" s="26" t="s">
        <v>700</v>
      </c>
      <c r="J13" s="28">
        <v>32708.0</v>
      </c>
    </row>
    <row r="14">
      <c r="A14" s="25">
        <v>2.10201258E8</v>
      </c>
      <c r="B14" s="25" t="s">
        <v>701</v>
      </c>
      <c r="C14" s="26">
        <v>29.0</v>
      </c>
      <c r="D14" s="25" t="s">
        <v>702</v>
      </c>
      <c r="E14" s="25" t="s">
        <v>661</v>
      </c>
      <c r="F14" s="25" t="s">
        <v>674</v>
      </c>
      <c r="G14" s="25" t="s">
        <v>675</v>
      </c>
      <c r="H14" s="26" t="s">
        <v>703</v>
      </c>
      <c r="I14" s="26" t="s">
        <v>704</v>
      </c>
      <c r="J14" s="27"/>
    </row>
    <row r="15">
      <c r="A15" s="25">
        <v>2.10231841E8</v>
      </c>
      <c r="B15" s="25" t="s">
        <v>705</v>
      </c>
      <c r="C15" s="26">
        <v>51.0</v>
      </c>
      <c r="D15" s="25" t="s">
        <v>698</v>
      </c>
      <c r="E15" s="25" t="s">
        <v>661</v>
      </c>
      <c r="F15" s="25" t="s">
        <v>706</v>
      </c>
      <c r="G15" s="25" t="s">
        <v>668</v>
      </c>
      <c r="H15" s="26" t="s">
        <v>707</v>
      </c>
      <c r="I15" s="26" t="s">
        <v>708</v>
      </c>
      <c r="J15" s="28">
        <v>29567.0</v>
      </c>
    </row>
    <row r="16">
      <c r="A16" s="25">
        <v>2.11221703E8</v>
      </c>
      <c r="B16" s="25" t="s">
        <v>709</v>
      </c>
      <c r="C16" s="26">
        <v>21.0</v>
      </c>
      <c r="D16" s="25" t="s">
        <v>649</v>
      </c>
      <c r="E16" s="25" t="s">
        <v>661</v>
      </c>
      <c r="F16" s="25" t="s">
        <v>710</v>
      </c>
      <c r="G16" s="25" t="s">
        <v>668</v>
      </c>
      <c r="H16" s="26" t="s">
        <v>711</v>
      </c>
      <c r="I16" s="26" t="s">
        <v>712</v>
      </c>
      <c r="J16" s="27"/>
    </row>
    <row r="17">
      <c r="A17" s="27"/>
      <c r="B17" s="25" t="s">
        <v>713</v>
      </c>
      <c r="C17" s="26">
        <v>0.0</v>
      </c>
      <c r="D17" s="27"/>
      <c r="E17" s="25" t="s">
        <v>650</v>
      </c>
      <c r="F17" s="29" t="b">
        <v>0</v>
      </c>
      <c r="G17" s="29" t="b">
        <v>0</v>
      </c>
      <c r="H17" s="27"/>
      <c r="I17" s="27"/>
      <c r="J17" s="27"/>
    </row>
    <row r="18">
      <c r="A18" s="25">
        <v>1.10211515E8</v>
      </c>
      <c r="B18" s="25" t="s">
        <v>714</v>
      </c>
      <c r="C18" s="26">
        <v>34.0</v>
      </c>
      <c r="D18" s="25" t="s">
        <v>698</v>
      </c>
      <c r="E18" s="25" t="s">
        <v>650</v>
      </c>
      <c r="F18" s="25" t="s">
        <v>715</v>
      </c>
      <c r="G18" s="25" t="s">
        <v>663</v>
      </c>
      <c r="H18" s="26" t="s">
        <v>716</v>
      </c>
      <c r="I18" s="26" t="s">
        <v>717</v>
      </c>
      <c r="J18" s="27"/>
    </row>
    <row r="19">
      <c r="A19" s="25">
        <v>1.11211534E8</v>
      </c>
      <c r="B19" s="25" t="s">
        <v>718</v>
      </c>
      <c r="C19" s="26">
        <v>24.0</v>
      </c>
      <c r="D19" s="25" t="s">
        <v>649</v>
      </c>
      <c r="E19" s="25" t="s">
        <v>650</v>
      </c>
      <c r="F19" s="25" t="s">
        <v>719</v>
      </c>
      <c r="G19" s="25" t="s">
        <v>668</v>
      </c>
      <c r="H19" s="26" t="s">
        <v>720</v>
      </c>
      <c r="I19" s="26" t="s">
        <v>721</v>
      </c>
      <c r="J19" s="27"/>
    </row>
    <row r="20">
      <c r="A20" s="25">
        <v>1.09211475E8</v>
      </c>
      <c r="B20" s="25" t="s">
        <v>722</v>
      </c>
      <c r="C20" s="26">
        <v>22.0</v>
      </c>
      <c r="D20" s="25" t="s">
        <v>649</v>
      </c>
      <c r="E20" s="25" t="s">
        <v>650</v>
      </c>
      <c r="F20" s="25" t="s">
        <v>719</v>
      </c>
      <c r="G20" s="25" t="s">
        <v>668</v>
      </c>
      <c r="H20" s="26" t="s">
        <v>723</v>
      </c>
      <c r="I20" s="26" t="s">
        <v>723</v>
      </c>
      <c r="J20" s="27"/>
    </row>
    <row r="21">
      <c r="A21" s="25">
        <v>1.04211384E8</v>
      </c>
      <c r="B21" s="25" t="s">
        <v>724</v>
      </c>
      <c r="C21" s="26">
        <v>27.0</v>
      </c>
      <c r="D21" s="25" t="s">
        <v>649</v>
      </c>
      <c r="E21" s="25" t="s">
        <v>650</v>
      </c>
      <c r="F21" s="25" t="s">
        <v>725</v>
      </c>
      <c r="G21" s="25" t="s">
        <v>726</v>
      </c>
      <c r="H21" s="26" t="s">
        <v>727</v>
      </c>
      <c r="I21" s="26" t="s">
        <v>728</v>
      </c>
      <c r="J21" s="27"/>
    </row>
    <row r="22">
      <c r="A22" s="25">
        <v>2.04150633E8</v>
      </c>
      <c r="B22" s="25" t="s">
        <v>729</v>
      </c>
      <c r="C22" s="26">
        <v>52.0</v>
      </c>
      <c r="D22" s="25" t="s">
        <v>649</v>
      </c>
      <c r="E22" s="25" t="s">
        <v>661</v>
      </c>
      <c r="F22" s="25" t="s">
        <v>730</v>
      </c>
      <c r="G22" s="25" t="s">
        <v>675</v>
      </c>
      <c r="H22" s="26" t="s">
        <v>731</v>
      </c>
      <c r="I22" s="26" t="s">
        <v>731</v>
      </c>
      <c r="J22" s="27"/>
    </row>
    <row r="23">
      <c r="A23" s="25">
        <v>2.0923183E8</v>
      </c>
      <c r="B23" s="25" t="s">
        <v>732</v>
      </c>
      <c r="C23" s="26">
        <v>33.0</v>
      </c>
      <c r="D23" s="25" t="s">
        <v>649</v>
      </c>
      <c r="E23" s="25" t="s">
        <v>661</v>
      </c>
      <c r="F23" s="25" t="s">
        <v>733</v>
      </c>
      <c r="G23" s="25" t="s">
        <v>652</v>
      </c>
      <c r="H23" s="26" t="s">
        <v>734</v>
      </c>
      <c r="I23" s="26" t="s">
        <v>734</v>
      </c>
      <c r="J23" s="27"/>
    </row>
    <row r="24">
      <c r="A24" s="25">
        <v>1.02190759E8</v>
      </c>
      <c r="B24" s="25" t="s">
        <v>735</v>
      </c>
      <c r="C24" s="26">
        <v>31.0</v>
      </c>
      <c r="D24" s="25" t="s">
        <v>649</v>
      </c>
      <c r="E24" s="25" t="s">
        <v>650</v>
      </c>
      <c r="F24" s="25" t="s">
        <v>736</v>
      </c>
      <c r="G24" s="25" t="s">
        <v>663</v>
      </c>
      <c r="H24" s="26" t="s">
        <v>737</v>
      </c>
      <c r="I24" s="26" t="s">
        <v>738</v>
      </c>
      <c r="J24" s="28">
        <v>34858.0</v>
      </c>
    </row>
    <row r="25">
      <c r="A25" s="25">
        <v>2.04241907E8</v>
      </c>
      <c r="B25" s="25" t="s">
        <v>739</v>
      </c>
      <c r="C25" s="26">
        <v>0.0</v>
      </c>
      <c r="D25" s="25" t="s">
        <v>649</v>
      </c>
      <c r="E25" s="25" t="s">
        <v>661</v>
      </c>
      <c r="F25" s="25" t="s">
        <v>667</v>
      </c>
      <c r="G25" s="25" t="s">
        <v>668</v>
      </c>
      <c r="H25" s="27"/>
      <c r="I25" s="27"/>
      <c r="J25" s="27"/>
    </row>
    <row r="26">
      <c r="A26" s="25">
        <v>2.02190768E8</v>
      </c>
      <c r="B26" s="25" t="s">
        <v>740</v>
      </c>
      <c r="C26" s="26">
        <v>24.0</v>
      </c>
      <c r="D26" s="25" t="s">
        <v>655</v>
      </c>
      <c r="E26" s="25" t="s">
        <v>661</v>
      </c>
      <c r="F26" s="25" t="s">
        <v>741</v>
      </c>
      <c r="G26" s="25" t="s">
        <v>675</v>
      </c>
      <c r="H26" s="27"/>
      <c r="I26" s="27"/>
      <c r="J26" s="27"/>
    </row>
    <row r="27">
      <c r="A27" s="25">
        <v>1.04211363E8</v>
      </c>
      <c r="B27" s="25" t="s">
        <v>742</v>
      </c>
      <c r="C27" s="26">
        <v>51.0</v>
      </c>
      <c r="D27" s="25" t="s">
        <v>649</v>
      </c>
      <c r="E27" s="25" t="s">
        <v>650</v>
      </c>
      <c r="F27" s="25" t="s">
        <v>743</v>
      </c>
      <c r="G27" s="25" t="s">
        <v>668</v>
      </c>
      <c r="H27" s="26" t="s">
        <v>744</v>
      </c>
      <c r="I27" s="26" t="s">
        <v>745</v>
      </c>
      <c r="J27" s="28">
        <v>30272.0</v>
      </c>
    </row>
    <row r="28">
      <c r="A28" s="25">
        <v>2.11211538E8</v>
      </c>
      <c r="B28" s="25" t="s">
        <v>746</v>
      </c>
      <c r="C28" s="26">
        <v>29.0</v>
      </c>
      <c r="D28" s="25" t="s">
        <v>649</v>
      </c>
      <c r="E28" s="25" t="s">
        <v>661</v>
      </c>
      <c r="F28" s="25" t="s">
        <v>667</v>
      </c>
      <c r="G28" s="25" t="s">
        <v>668</v>
      </c>
      <c r="H28" s="26" t="s">
        <v>747</v>
      </c>
      <c r="I28" s="26" t="s">
        <v>748</v>
      </c>
      <c r="J28" s="27"/>
    </row>
    <row r="29">
      <c r="A29" s="25">
        <v>1.02150022E8</v>
      </c>
      <c r="B29" s="25" t="s">
        <v>749</v>
      </c>
      <c r="C29" s="26">
        <v>36.0</v>
      </c>
      <c r="D29" s="25" t="s">
        <v>649</v>
      </c>
      <c r="E29" s="25" t="s">
        <v>650</v>
      </c>
      <c r="F29" s="25" t="s">
        <v>741</v>
      </c>
      <c r="G29" s="25" t="s">
        <v>675</v>
      </c>
      <c r="H29" s="26" t="s">
        <v>750</v>
      </c>
      <c r="I29" s="26" t="s">
        <v>750</v>
      </c>
      <c r="J29" s="28">
        <v>34060.0</v>
      </c>
    </row>
    <row r="30">
      <c r="A30" s="25">
        <v>2.11211542E8</v>
      </c>
      <c r="B30" s="25" t="s">
        <v>751</v>
      </c>
      <c r="C30" s="26">
        <v>41.0</v>
      </c>
      <c r="D30" s="25" t="s">
        <v>649</v>
      </c>
      <c r="E30" s="25" t="s">
        <v>661</v>
      </c>
      <c r="F30" s="25" t="s">
        <v>678</v>
      </c>
      <c r="G30" s="25" t="s">
        <v>663</v>
      </c>
      <c r="H30" s="26" t="s">
        <v>752</v>
      </c>
      <c r="I30" s="26" t="s">
        <v>753</v>
      </c>
      <c r="J30" s="28">
        <v>30380.0</v>
      </c>
    </row>
    <row r="31">
      <c r="A31" s="25">
        <v>1.101911E8</v>
      </c>
      <c r="B31" s="25" t="s">
        <v>754</v>
      </c>
      <c r="C31" s="26">
        <v>41.0</v>
      </c>
      <c r="D31" s="25" t="s">
        <v>649</v>
      </c>
      <c r="E31" s="25" t="s">
        <v>650</v>
      </c>
      <c r="F31" s="25" t="s">
        <v>678</v>
      </c>
      <c r="G31" s="25" t="s">
        <v>663</v>
      </c>
      <c r="H31" s="26" t="s">
        <v>755</v>
      </c>
      <c r="I31" s="26" t="s">
        <v>755</v>
      </c>
      <c r="J31" s="28">
        <v>30744.0</v>
      </c>
    </row>
    <row r="32">
      <c r="A32" s="25">
        <v>2.05241933E8</v>
      </c>
      <c r="B32" s="25" t="s">
        <v>756</v>
      </c>
      <c r="C32" s="26">
        <v>0.0</v>
      </c>
      <c r="D32" s="27"/>
      <c r="E32" s="25" t="s">
        <v>661</v>
      </c>
      <c r="F32" s="25" t="s">
        <v>715</v>
      </c>
      <c r="G32" s="25" t="s">
        <v>663</v>
      </c>
      <c r="H32" s="30"/>
      <c r="I32" s="30"/>
      <c r="J32" s="27"/>
    </row>
    <row r="33">
      <c r="A33" s="25">
        <v>1.12231862E8</v>
      </c>
      <c r="B33" s="25" t="s">
        <v>757</v>
      </c>
      <c r="C33" s="26">
        <v>0.0</v>
      </c>
      <c r="D33" s="30"/>
      <c r="E33" s="25" t="s">
        <v>650</v>
      </c>
      <c r="F33" s="25" t="s">
        <v>758</v>
      </c>
      <c r="G33" s="25" t="s">
        <v>663</v>
      </c>
      <c r="H33" s="26" t="s">
        <v>759</v>
      </c>
      <c r="I33" s="26" t="s">
        <v>760</v>
      </c>
      <c r="J33" s="27"/>
    </row>
    <row r="34">
      <c r="A34" s="25">
        <v>2.03221605E8</v>
      </c>
      <c r="B34" s="25" t="s">
        <v>761</v>
      </c>
      <c r="C34" s="26">
        <v>46.0</v>
      </c>
      <c r="D34" s="25" t="s">
        <v>655</v>
      </c>
      <c r="E34" s="25" t="s">
        <v>661</v>
      </c>
      <c r="F34" s="25" t="s">
        <v>678</v>
      </c>
      <c r="G34" s="25" t="s">
        <v>663</v>
      </c>
      <c r="H34" s="26" t="s">
        <v>762</v>
      </c>
      <c r="I34" s="26" t="s">
        <v>763</v>
      </c>
      <c r="J34" s="28">
        <v>29983.0</v>
      </c>
    </row>
    <row r="35">
      <c r="A35" s="30"/>
      <c r="B35" s="25" t="s">
        <v>764</v>
      </c>
      <c r="C35" s="26">
        <v>0.0</v>
      </c>
      <c r="D35" s="27"/>
      <c r="E35" s="25" t="s">
        <v>661</v>
      </c>
      <c r="F35" s="29" t="b">
        <v>0</v>
      </c>
      <c r="G35" s="25" t="s">
        <v>765</v>
      </c>
      <c r="H35" s="30"/>
      <c r="I35" s="30"/>
      <c r="J35" s="27"/>
    </row>
    <row r="36">
      <c r="A36" s="25">
        <v>2.03241894E8</v>
      </c>
      <c r="B36" s="25" t="s">
        <v>766</v>
      </c>
      <c r="C36" s="26">
        <v>0.0</v>
      </c>
      <c r="D36" s="30"/>
      <c r="E36" s="25" t="s">
        <v>661</v>
      </c>
      <c r="F36" s="25" t="s">
        <v>733</v>
      </c>
      <c r="G36" s="25" t="s">
        <v>652</v>
      </c>
      <c r="H36" s="26" t="s">
        <v>767</v>
      </c>
      <c r="I36" s="26" t="s">
        <v>767</v>
      </c>
      <c r="J36" s="27"/>
    </row>
    <row r="37">
      <c r="A37" s="25">
        <v>2.02221583E8</v>
      </c>
      <c r="B37" s="25" t="s">
        <v>768</v>
      </c>
      <c r="C37" s="26">
        <v>21.0</v>
      </c>
      <c r="D37" s="25" t="s">
        <v>649</v>
      </c>
      <c r="E37" s="25" t="s">
        <v>661</v>
      </c>
      <c r="F37" s="25" t="s">
        <v>769</v>
      </c>
      <c r="G37" s="25" t="s">
        <v>726</v>
      </c>
      <c r="H37" s="26" t="s">
        <v>770</v>
      </c>
      <c r="I37" s="26" t="s">
        <v>770</v>
      </c>
      <c r="J37" s="27"/>
    </row>
    <row r="38">
      <c r="A38" s="25">
        <v>2.07211444E8</v>
      </c>
      <c r="B38" s="25" t="s">
        <v>771</v>
      </c>
      <c r="C38" s="26">
        <v>24.0</v>
      </c>
      <c r="D38" s="25" t="s">
        <v>698</v>
      </c>
      <c r="E38" s="25" t="s">
        <v>661</v>
      </c>
      <c r="F38" s="25" t="s">
        <v>772</v>
      </c>
      <c r="G38" s="25" t="s">
        <v>668</v>
      </c>
      <c r="H38" s="26" t="s">
        <v>773</v>
      </c>
      <c r="I38" s="26" t="s">
        <v>774</v>
      </c>
      <c r="J38" s="27"/>
    </row>
    <row r="39">
      <c r="A39" s="25">
        <v>2.06189004E8</v>
      </c>
      <c r="B39" s="25" t="s">
        <v>775</v>
      </c>
      <c r="C39" s="26">
        <v>0.0</v>
      </c>
      <c r="D39" s="27"/>
      <c r="E39" s="25" t="s">
        <v>661</v>
      </c>
      <c r="F39" s="29" t="b">
        <v>0</v>
      </c>
      <c r="G39" s="25" t="s">
        <v>765</v>
      </c>
      <c r="H39" s="30"/>
      <c r="I39" s="30"/>
      <c r="J39" s="27"/>
    </row>
    <row r="40">
      <c r="A40" s="25">
        <v>2.06231773E8</v>
      </c>
      <c r="B40" s="25" t="s">
        <v>776</v>
      </c>
      <c r="C40" s="26">
        <v>0.0</v>
      </c>
      <c r="D40" s="30"/>
      <c r="E40" s="25" t="s">
        <v>661</v>
      </c>
      <c r="F40" s="25" t="s">
        <v>777</v>
      </c>
      <c r="G40" s="25" t="s">
        <v>726</v>
      </c>
      <c r="H40" s="26" t="s">
        <v>778</v>
      </c>
      <c r="I40" s="26" t="s">
        <v>779</v>
      </c>
      <c r="J40" s="27"/>
    </row>
    <row r="41">
      <c r="A41" s="25">
        <v>1.03180405E8</v>
      </c>
      <c r="B41" s="25" t="s">
        <v>780</v>
      </c>
      <c r="C41" s="26">
        <v>48.0</v>
      </c>
      <c r="D41" s="25" t="s">
        <v>698</v>
      </c>
      <c r="E41" s="25" t="s">
        <v>650</v>
      </c>
      <c r="F41" s="25" t="s">
        <v>781</v>
      </c>
      <c r="G41" s="25" t="s">
        <v>663</v>
      </c>
      <c r="H41" s="26" t="s">
        <v>782</v>
      </c>
      <c r="I41" s="26" t="s">
        <v>782</v>
      </c>
      <c r="J41" s="28">
        <v>27424.0</v>
      </c>
    </row>
    <row r="42">
      <c r="A42" s="25">
        <v>1.02190932E8</v>
      </c>
      <c r="B42" s="25" t="s">
        <v>783</v>
      </c>
      <c r="C42" s="26">
        <v>34.0</v>
      </c>
      <c r="D42" s="25" t="s">
        <v>698</v>
      </c>
      <c r="E42" s="25" t="s">
        <v>650</v>
      </c>
      <c r="F42" s="25" t="s">
        <v>678</v>
      </c>
      <c r="G42" s="25" t="s">
        <v>663</v>
      </c>
      <c r="H42" s="26" t="s">
        <v>784</v>
      </c>
      <c r="I42" s="26" t="s">
        <v>784</v>
      </c>
      <c r="J42" s="27"/>
    </row>
    <row r="43">
      <c r="A43" s="25">
        <v>2.02211339E8</v>
      </c>
      <c r="B43" s="25" t="s">
        <v>785</v>
      </c>
      <c r="C43" s="26">
        <v>27.0</v>
      </c>
      <c r="D43" s="25" t="s">
        <v>655</v>
      </c>
      <c r="E43" s="25" t="s">
        <v>661</v>
      </c>
      <c r="F43" s="25" t="s">
        <v>741</v>
      </c>
      <c r="G43" s="25" t="s">
        <v>675</v>
      </c>
      <c r="H43" s="26" t="s">
        <v>786</v>
      </c>
      <c r="I43" s="26" t="s">
        <v>786</v>
      </c>
      <c r="J43" s="27"/>
    </row>
    <row r="44">
      <c r="A44" s="25">
        <v>2.03190787E8</v>
      </c>
      <c r="B44" s="25" t="s">
        <v>787</v>
      </c>
      <c r="C44" s="26">
        <v>43.0</v>
      </c>
      <c r="D44" s="25" t="s">
        <v>649</v>
      </c>
      <c r="E44" s="25" t="s">
        <v>661</v>
      </c>
      <c r="F44" s="25" t="s">
        <v>678</v>
      </c>
      <c r="G44" s="25" t="s">
        <v>663</v>
      </c>
      <c r="H44" s="26" t="s">
        <v>788</v>
      </c>
      <c r="I44" s="26" t="s">
        <v>788</v>
      </c>
      <c r="J44" s="27"/>
    </row>
    <row r="45">
      <c r="A45" s="25">
        <v>2.0122157E8</v>
      </c>
      <c r="B45" s="25" t="s">
        <v>789</v>
      </c>
      <c r="C45" s="26">
        <v>28.0</v>
      </c>
      <c r="D45" s="25" t="s">
        <v>649</v>
      </c>
      <c r="E45" s="25" t="s">
        <v>661</v>
      </c>
      <c r="F45" s="25" t="s">
        <v>678</v>
      </c>
      <c r="G45" s="25" t="s">
        <v>663</v>
      </c>
      <c r="H45" s="26" t="s">
        <v>790</v>
      </c>
      <c r="I45" s="26" t="s">
        <v>790</v>
      </c>
      <c r="J45" s="27"/>
    </row>
    <row r="46">
      <c r="A46" s="25">
        <v>2.11180653E8</v>
      </c>
      <c r="B46" s="25" t="s">
        <v>791</v>
      </c>
      <c r="C46" s="26">
        <v>52.0</v>
      </c>
      <c r="D46" s="25" t="s">
        <v>649</v>
      </c>
      <c r="E46" s="25" t="s">
        <v>661</v>
      </c>
      <c r="F46" s="25" t="s">
        <v>741</v>
      </c>
      <c r="G46" s="25" t="s">
        <v>675</v>
      </c>
      <c r="H46" s="26" t="s">
        <v>792</v>
      </c>
      <c r="I46" s="26" t="s">
        <v>792</v>
      </c>
      <c r="J46" s="28">
        <v>31031.0</v>
      </c>
    </row>
    <row r="47">
      <c r="A47" s="25">
        <v>2.05231763E8</v>
      </c>
      <c r="B47" s="25" t="s">
        <v>793</v>
      </c>
      <c r="C47" s="26">
        <v>0.0</v>
      </c>
      <c r="D47" s="30"/>
      <c r="E47" s="25" t="s">
        <v>661</v>
      </c>
      <c r="F47" s="25" t="s">
        <v>794</v>
      </c>
      <c r="G47" s="25" t="s">
        <v>663</v>
      </c>
      <c r="H47" s="26" t="s">
        <v>795</v>
      </c>
      <c r="I47" s="26" t="s">
        <v>796</v>
      </c>
      <c r="J47" s="27"/>
    </row>
    <row r="48">
      <c r="A48" s="25">
        <v>3.08210087E8</v>
      </c>
      <c r="B48" s="25" t="s">
        <v>797</v>
      </c>
      <c r="C48" s="26">
        <v>47.0</v>
      </c>
      <c r="D48" s="25" t="s">
        <v>649</v>
      </c>
      <c r="E48" s="25" t="s">
        <v>681</v>
      </c>
      <c r="F48" s="25" t="s">
        <v>741</v>
      </c>
      <c r="G48" s="25" t="s">
        <v>675</v>
      </c>
      <c r="H48" s="30"/>
      <c r="I48" s="30"/>
      <c r="J48" s="28">
        <v>29476.0</v>
      </c>
    </row>
    <row r="49">
      <c r="A49" s="25">
        <v>2.04190824E8</v>
      </c>
      <c r="B49" s="25" t="s">
        <v>798</v>
      </c>
      <c r="C49" s="26">
        <v>43.0</v>
      </c>
      <c r="D49" s="25" t="s">
        <v>649</v>
      </c>
      <c r="E49" s="25" t="s">
        <v>661</v>
      </c>
      <c r="F49" s="25" t="s">
        <v>678</v>
      </c>
      <c r="G49" s="25" t="s">
        <v>663</v>
      </c>
      <c r="H49" s="26" t="s">
        <v>799</v>
      </c>
      <c r="I49" s="26" t="s">
        <v>800</v>
      </c>
      <c r="J49" s="28">
        <v>30682.0</v>
      </c>
    </row>
    <row r="50">
      <c r="A50" s="25" t="s">
        <v>801</v>
      </c>
      <c r="B50" s="25" t="s">
        <v>802</v>
      </c>
      <c r="C50" s="26">
        <v>0.0</v>
      </c>
      <c r="D50" s="30"/>
      <c r="E50" s="25" t="s">
        <v>650</v>
      </c>
      <c r="F50" s="29" t="b">
        <v>0</v>
      </c>
      <c r="G50" s="25" t="s">
        <v>765</v>
      </c>
      <c r="H50" s="26" t="s">
        <v>803</v>
      </c>
      <c r="I50" s="26" t="s">
        <v>804</v>
      </c>
      <c r="J50" s="27"/>
    </row>
    <row r="51">
      <c r="A51" s="25">
        <v>2.04241905E8</v>
      </c>
      <c r="B51" s="25" t="s">
        <v>805</v>
      </c>
      <c r="C51" s="26">
        <v>29.0</v>
      </c>
      <c r="D51" s="25" t="s">
        <v>649</v>
      </c>
      <c r="E51" s="25" t="s">
        <v>661</v>
      </c>
      <c r="F51" s="25" t="s">
        <v>733</v>
      </c>
      <c r="G51" s="25" t="s">
        <v>652</v>
      </c>
      <c r="H51" s="30"/>
      <c r="I51" s="30"/>
      <c r="J51" s="27"/>
    </row>
    <row r="52">
      <c r="A52" s="25">
        <v>2.07221661E8</v>
      </c>
      <c r="B52" s="25" t="s">
        <v>806</v>
      </c>
      <c r="C52" s="26">
        <v>65.0</v>
      </c>
      <c r="D52" s="25" t="s">
        <v>649</v>
      </c>
      <c r="E52" s="25" t="s">
        <v>650</v>
      </c>
      <c r="F52" s="25" t="s">
        <v>678</v>
      </c>
      <c r="G52" s="25" t="s">
        <v>663</v>
      </c>
      <c r="H52" s="26" t="s">
        <v>807</v>
      </c>
      <c r="I52" s="26" t="s">
        <v>808</v>
      </c>
      <c r="J52" s="28">
        <v>26481.0</v>
      </c>
    </row>
    <row r="53">
      <c r="A53" s="25">
        <v>1.07221659E8</v>
      </c>
      <c r="B53" s="25" t="s">
        <v>809</v>
      </c>
      <c r="C53" s="26">
        <v>47.0</v>
      </c>
      <c r="D53" s="25" t="s">
        <v>649</v>
      </c>
      <c r="E53" s="25" t="s">
        <v>650</v>
      </c>
      <c r="F53" s="25" t="s">
        <v>678</v>
      </c>
      <c r="G53" s="25" t="s">
        <v>663</v>
      </c>
      <c r="H53" s="26" t="s">
        <v>810</v>
      </c>
      <c r="I53" s="26" t="s">
        <v>811</v>
      </c>
      <c r="J53" s="28">
        <v>32690.0</v>
      </c>
    </row>
    <row r="54">
      <c r="A54" s="25">
        <v>2.09120697E8</v>
      </c>
      <c r="B54" s="25" t="s">
        <v>812</v>
      </c>
      <c r="C54" s="26">
        <v>46.0</v>
      </c>
      <c r="D54" s="25" t="s">
        <v>649</v>
      </c>
      <c r="E54" s="25" t="s">
        <v>661</v>
      </c>
      <c r="F54" s="25" t="s">
        <v>678</v>
      </c>
      <c r="G54" s="25" t="s">
        <v>663</v>
      </c>
      <c r="H54" s="26" t="s">
        <v>813</v>
      </c>
      <c r="I54" s="26" t="s">
        <v>813</v>
      </c>
      <c r="J54" s="27"/>
    </row>
    <row r="55">
      <c r="A55" s="25">
        <v>1.07201159E8</v>
      </c>
      <c r="B55" s="25" t="s">
        <v>814</v>
      </c>
      <c r="C55" s="26">
        <v>38.0</v>
      </c>
      <c r="D55" s="25" t="s">
        <v>649</v>
      </c>
      <c r="E55" s="25" t="s">
        <v>650</v>
      </c>
      <c r="F55" s="25" t="s">
        <v>670</v>
      </c>
      <c r="G55" s="25" t="s">
        <v>668</v>
      </c>
      <c r="H55" s="26" t="s">
        <v>815</v>
      </c>
      <c r="I55" s="26" t="s">
        <v>816</v>
      </c>
      <c r="J55" s="27"/>
    </row>
    <row r="56">
      <c r="A56" s="25">
        <v>1.08201201E8</v>
      </c>
      <c r="B56" s="25" t="s">
        <v>817</v>
      </c>
      <c r="C56" s="26">
        <v>26.0</v>
      </c>
      <c r="D56" s="25" t="s">
        <v>649</v>
      </c>
      <c r="E56" s="25" t="s">
        <v>650</v>
      </c>
      <c r="F56" s="25" t="s">
        <v>818</v>
      </c>
      <c r="G56" s="25" t="s">
        <v>675</v>
      </c>
      <c r="H56" s="26" t="s">
        <v>819</v>
      </c>
      <c r="I56" s="26" t="s">
        <v>819</v>
      </c>
      <c r="J56" s="27"/>
    </row>
    <row r="57">
      <c r="A57" s="25">
        <v>2.05231759E8</v>
      </c>
      <c r="B57" s="25" t="s">
        <v>820</v>
      </c>
      <c r="C57" s="26">
        <v>27.0</v>
      </c>
      <c r="D57" s="25" t="s">
        <v>698</v>
      </c>
      <c r="E57" s="25" t="s">
        <v>661</v>
      </c>
      <c r="F57" s="25" t="s">
        <v>821</v>
      </c>
      <c r="G57" s="25" t="s">
        <v>663</v>
      </c>
      <c r="H57" s="26" t="s">
        <v>822</v>
      </c>
      <c r="I57" s="26" t="s">
        <v>822</v>
      </c>
      <c r="J57" s="27"/>
    </row>
    <row r="58">
      <c r="A58" s="25">
        <v>2.06231787E8</v>
      </c>
      <c r="B58" s="25" t="s">
        <v>823</v>
      </c>
      <c r="C58" s="26">
        <v>20.0</v>
      </c>
      <c r="D58" s="25" t="s">
        <v>698</v>
      </c>
      <c r="E58" s="25" t="s">
        <v>661</v>
      </c>
      <c r="F58" s="25" t="s">
        <v>824</v>
      </c>
      <c r="G58" s="25" t="s">
        <v>652</v>
      </c>
      <c r="H58" s="26" t="s">
        <v>825</v>
      </c>
      <c r="I58" s="26" t="s">
        <v>826</v>
      </c>
      <c r="J58" s="27"/>
    </row>
    <row r="59">
      <c r="A59" s="25">
        <v>1.11180596E8</v>
      </c>
      <c r="B59" s="25" t="s">
        <v>827</v>
      </c>
      <c r="C59" s="26">
        <v>28.0</v>
      </c>
      <c r="D59" s="25" t="s">
        <v>649</v>
      </c>
      <c r="E59" s="25" t="s">
        <v>650</v>
      </c>
      <c r="F59" s="25" t="s">
        <v>818</v>
      </c>
      <c r="G59" s="25" t="s">
        <v>675</v>
      </c>
      <c r="H59" s="26" t="s">
        <v>828</v>
      </c>
      <c r="I59" s="26" t="s">
        <v>829</v>
      </c>
      <c r="J59" s="27"/>
    </row>
    <row r="60">
      <c r="A60" s="25">
        <v>2.09231831E8</v>
      </c>
      <c r="B60" s="25" t="s">
        <v>830</v>
      </c>
      <c r="C60" s="26">
        <v>0.0</v>
      </c>
      <c r="D60" s="30"/>
      <c r="E60" s="25" t="s">
        <v>661</v>
      </c>
      <c r="F60" s="25" t="s">
        <v>758</v>
      </c>
      <c r="G60" s="25" t="s">
        <v>663</v>
      </c>
      <c r="H60" s="26" t="s">
        <v>831</v>
      </c>
      <c r="I60" s="26" t="s">
        <v>831</v>
      </c>
      <c r="J60" s="27"/>
    </row>
    <row r="61">
      <c r="A61" s="25">
        <v>1.09211492E8</v>
      </c>
      <c r="B61" s="25" t="s">
        <v>832</v>
      </c>
      <c r="C61" s="26">
        <v>43.0</v>
      </c>
      <c r="D61" s="25" t="s">
        <v>649</v>
      </c>
      <c r="E61" s="25" t="s">
        <v>650</v>
      </c>
      <c r="F61" s="25" t="s">
        <v>833</v>
      </c>
      <c r="G61" s="25" t="s">
        <v>726</v>
      </c>
      <c r="H61" s="26" t="s">
        <v>834</v>
      </c>
      <c r="I61" s="26" t="s">
        <v>835</v>
      </c>
      <c r="J61" s="28">
        <v>34304.0</v>
      </c>
    </row>
    <row r="62">
      <c r="A62" s="25">
        <v>2.01241876E8</v>
      </c>
      <c r="B62" s="25" t="s">
        <v>836</v>
      </c>
      <c r="C62" s="26">
        <v>1.0</v>
      </c>
      <c r="D62" s="25" t="s">
        <v>649</v>
      </c>
      <c r="E62" s="25" t="s">
        <v>661</v>
      </c>
      <c r="F62" s="25" t="s">
        <v>837</v>
      </c>
      <c r="G62" s="25" t="s">
        <v>726</v>
      </c>
      <c r="H62" s="26" t="s">
        <v>838</v>
      </c>
      <c r="I62" s="26" t="s">
        <v>839</v>
      </c>
      <c r="J62" s="27"/>
    </row>
    <row r="63">
      <c r="A63" s="25">
        <v>2.01221577E8</v>
      </c>
      <c r="B63" s="25" t="s">
        <v>840</v>
      </c>
      <c r="C63" s="26">
        <v>30.0</v>
      </c>
      <c r="D63" s="25" t="s">
        <v>698</v>
      </c>
      <c r="E63" s="25" t="s">
        <v>661</v>
      </c>
      <c r="F63" s="25" t="s">
        <v>841</v>
      </c>
      <c r="G63" s="25" t="s">
        <v>652</v>
      </c>
      <c r="H63" s="26" t="s">
        <v>842</v>
      </c>
      <c r="I63" s="26" t="s">
        <v>843</v>
      </c>
      <c r="J63" s="28">
        <v>33335.0</v>
      </c>
    </row>
    <row r="64">
      <c r="A64" s="25">
        <v>1.07201158E8</v>
      </c>
      <c r="B64" s="25" t="s">
        <v>844</v>
      </c>
      <c r="C64" s="26">
        <v>55.0</v>
      </c>
      <c r="D64" s="25" t="s">
        <v>649</v>
      </c>
      <c r="E64" s="25" t="s">
        <v>650</v>
      </c>
      <c r="F64" s="25" t="s">
        <v>678</v>
      </c>
      <c r="G64" s="25" t="s">
        <v>663</v>
      </c>
      <c r="H64" s="26" t="s">
        <v>845</v>
      </c>
      <c r="I64" s="26" t="s">
        <v>846</v>
      </c>
      <c r="J64" s="27"/>
    </row>
    <row r="65">
      <c r="A65" s="25">
        <v>2.06211414E8</v>
      </c>
      <c r="B65" s="25" t="s">
        <v>847</v>
      </c>
      <c r="C65" s="26">
        <v>38.0</v>
      </c>
      <c r="D65" s="25" t="s">
        <v>698</v>
      </c>
      <c r="E65" s="25" t="s">
        <v>661</v>
      </c>
      <c r="F65" s="25" t="s">
        <v>674</v>
      </c>
      <c r="G65" s="25" t="s">
        <v>675</v>
      </c>
      <c r="H65" s="26" t="s">
        <v>848</v>
      </c>
      <c r="I65" s="26" t="s">
        <v>848</v>
      </c>
      <c r="J65" s="27"/>
    </row>
    <row r="66">
      <c r="A66" s="25">
        <v>2.03211348E8</v>
      </c>
      <c r="B66" s="25" t="s">
        <v>849</v>
      </c>
      <c r="C66" s="26">
        <v>30.0</v>
      </c>
      <c r="D66" s="25" t="s">
        <v>655</v>
      </c>
      <c r="E66" s="25" t="s">
        <v>661</v>
      </c>
      <c r="F66" s="25" t="s">
        <v>741</v>
      </c>
      <c r="G66" s="25" t="s">
        <v>675</v>
      </c>
      <c r="H66" s="26" t="s">
        <v>850</v>
      </c>
      <c r="I66" s="26" t="s">
        <v>850</v>
      </c>
      <c r="J66" s="28">
        <v>33488.0</v>
      </c>
    </row>
    <row r="67">
      <c r="A67" s="25">
        <v>1.0720116E8</v>
      </c>
      <c r="B67" s="25" t="s">
        <v>851</v>
      </c>
      <c r="C67" s="26">
        <v>39.0</v>
      </c>
      <c r="D67" s="25" t="s">
        <v>649</v>
      </c>
      <c r="E67" s="25" t="s">
        <v>650</v>
      </c>
      <c r="F67" s="25" t="s">
        <v>741</v>
      </c>
      <c r="G67" s="25" t="s">
        <v>675</v>
      </c>
      <c r="H67" s="26" t="s">
        <v>852</v>
      </c>
      <c r="I67" s="26" t="s">
        <v>852</v>
      </c>
      <c r="J67" s="27"/>
    </row>
    <row r="68">
      <c r="A68" s="25">
        <v>2.04231744E8</v>
      </c>
      <c r="B68" s="25" t="s">
        <v>853</v>
      </c>
      <c r="C68" s="26">
        <v>22.0</v>
      </c>
      <c r="D68" s="25" t="s">
        <v>649</v>
      </c>
      <c r="E68" s="25" t="s">
        <v>661</v>
      </c>
      <c r="F68" s="25" t="s">
        <v>837</v>
      </c>
      <c r="G68" s="25" t="s">
        <v>726</v>
      </c>
      <c r="H68" s="26" t="s">
        <v>854</v>
      </c>
      <c r="I68" s="26" t="s">
        <v>855</v>
      </c>
      <c r="J68" s="28">
        <v>37325.0</v>
      </c>
    </row>
    <row r="69">
      <c r="A69" s="25">
        <v>1.08201187E8</v>
      </c>
      <c r="B69" s="25" t="s">
        <v>856</v>
      </c>
      <c r="C69" s="26">
        <v>27.0</v>
      </c>
      <c r="D69" s="25" t="s">
        <v>649</v>
      </c>
      <c r="E69" s="25" t="s">
        <v>650</v>
      </c>
      <c r="F69" s="25" t="s">
        <v>794</v>
      </c>
      <c r="G69" s="25" t="s">
        <v>663</v>
      </c>
      <c r="H69" s="26" t="s">
        <v>857</v>
      </c>
      <c r="I69" s="26" t="s">
        <v>857</v>
      </c>
      <c r="J69" s="27"/>
    </row>
    <row r="70">
      <c r="A70" s="25">
        <v>2.03241898E8</v>
      </c>
      <c r="B70" s="25" t="s">
        <v>858</v>
      </c>
      <c r="C70" s="26">
        <v>0.0</v>
      </c>
      <c r="D70" s="30"/>
      <c r="E70" s="25" t="s">
        <v>661</v>
      </c>
      <c r="F70" s="25" t="s">
        <v>733</v>
      </c>
      <c r="G70" s="25" t="s">
        <v>652</v>
      </c>
      <c r="H70" s="30"/>
      <c r="I70" s="30"/>
      <c r="J70" s="27"/>
    </row>
    <row r="71">
      <c r="A71" s="25">
        <v>2.03221614E8</v>
      </c>
      <c r="B71" s="25" t="s">
        <v>859</v>
      </c>
      <c r="C71" s="26">
        <v>24.0</v>
      </c>
      <c r="D71" s="25" t="s">
        <v>649</v>
      </c>
      <c r="E71" s="25" t="s">
        <v>661</v>
      </c>
      <c r="F71" s="25" t="s">
        <v>741</v>
      </c>
      <c r="G71" s="25" t="s">
        <v>675</v>
      </c>
      <c r="H71" s="26" t="s">
        <v>860</v>
      </c>
      <c r="I71" s="26" t="s">
        <v>860</v>
      </c>
      <c r="J71" s="27"/>
    </row>
    <row r="72">
      <c r="A72" s="25">
        <v>2.05241921E8</v>
      </c>
      <c r="B72" s="25" t="s">
        <v>861</v>
      </c>
      <c r="C72" s="26">
        <v>0.0</v>
      </c>
      <c r="D72" s="27"/>
      <c r="E72" s="25" t="s">
        <v>661</v>
      </c>
      <c r="F72" s="25" t="s">
        <v>862</v>
      </c>
      <c r="G72" s="25" t="s">
        <v>668</v>
      </c>
      <c r="H72" s="27"/>
      <c r="I72" s="27"/>
      <c r="J72" s="27"/>
    </row>
    <row r="73">
      <c r="A73" s="25">
        <v>2.04241911E8</v>
      </c>
      <c r="B73" s="25" t="s">
        <v>863</v>
      </c>
      <c r="C73" s="26">
        <v>0.0</v>
      </c>
      <c r="D73" s="27"/>
      <c r="E73" s="25" t="s">
        <v>661</v>
      </c>
      <c r="F73" s="25" t="s">
        <v>864</v>
      </c>
      <c r="G73" s="25" t="s">
        <v>668</v>
      </c>
      <c r="H73" s="27"/>
      <c r="I73" s="27"/>
      <c r="J73" s="27"/>
    </row>
    <row r="74">
      <c r="A74" s="25">
        <v>2.01241879E8</v>
      </c>
      <c r="B74" s="25" t="s">
        <v>865</v>
      </c>
      <c r="C74" s="26">
        <v>0.0</v>
      </c>
      <c r="D74" s="27"/>
      <c r="E74" s="25" t="s">
        <v>661</v>
      </c>
      <c r="F74" s="25" t="s">
        <v>824</v>
      </c>
      <c r="G74" s="25" t="s">
        <v>652</v>
      </c>
      <c r="H74" s="30"/>
      <c r="I74" s="30"/>
      <c r="J74" s="27"/>
    </row>
    <row r="75">
      <c r="A75" s="25">
        <v>2.12231868E8</v>
      </c>
      <c r="B75" s="25" t="s">
        <v>866</v>
      </c>
      <c r="C75" s="26">
        <v>0.0</v>
      </c>
      <c r="D75" s="27"/>
      <c r="E75" s="25" t="s">
        <v>661</v>
      </c>
      <c r="F75" s="25" t="s">
        <v>758</v>
      </c>
      <c r="G75" s="25" t="s">
        <v>663</v>
      </c>
      <c r="H75" s="26" t="s">
        <v>867</v>
      </c>
      <c r="I75" s="26" t="s">
        <v>868</v>
      </c>
      <c r="J75" s="27"/>
    </row>
    <row r="76">
      <c r="A76" s="25">
        <v>2.03241895E8</v>
      </c>
      <c r="B76" s="25" t="s">
        <v>869</v>
      </c>
      <c r="C76" s="26">
        <v>0.0</v>
      </c>
      <c r="D76" s="30"/>
      <c r="E76" s="25" t="s">
        <v>661</v>
      </c>
      <c r="F76" s="25" t="s">
        <v>733</v>
      </c>
      <c r="G76" s="25" t="s">
        <v>652</v>
      </c>
      <c r="H76" s="30"/>
      <c r="I76" s="30"/>
      <c r="J76" s="27"/>
    </row>
    <row r="77">
      <c r="A77" s="25">
        <v>2.12180734E8</v>
      </c>
      <c r="B77" s="25" t="s">
        <v>870</v>
      </c>
      <c r="C77" s="26">
        <v>31.0</v>
      </c>
      <c r="D77" s="25" t="s">
        <v>649</v>
      </c>
      <c r="E77" s="25" t="s">
        <v>661</v>
      </c>
      <c r="F77" s="25" t="s">
        <v>741</v>
      </c>
      <c r="G77" s="25" t="s">
        <v>675</v>
      </c>
      <c r="H77" s="26" t="s">
        <v>871</v>
      </c>
      <c r="I77" s="26" t="s">
        <v>871</v>
      </c>
      <c r="J77" s="28">
        <v>35057.0</v>
      </c>
    </row>
    <row r="78">
      <c r="A78" s="25">
        <v>2.1223187E8</v>
      </c>
      <c r="B78" s="25" t="s">
        <v>872</v>
      </c>
      <c r="C78" s="26">
        <v>0.0</v>
      </c>
      <c r="D78" s="30"/>
      <c r="E78" s="25" t="s">
        <v>661</v>
      </c>
      <c r="F78" s="25" t="s">
        <v>758</v>
      </c>
      <c r="G78" s="25" t="s">
        <v>663</v>
      </c>
      <c r="H78" s="26" t="s">
        <v>873</v>
      </c>
      <c r="I78" s="26" t="s">
        <v>874</v>
      </c>
      <c r="J78" s="27"/>
    </row>
    <row r="79">
      <c r="A79" s="25">
        <v>2.02221582E8</v>
      </c>
      <c r="B79" s="25" t="s">
        <v>875</v>
      </c>
      <c r="C79" s="26">
        <v>21.0</v>
      </c>
      <c r="D79" s="25" t="s">
        <v>655</v>
      </c>
      <c r="E79" s="25" t="s">
        <v>661</v>
      </c>
      <c r="F79" s="25" t="s">
        <v>876</v>
      </c>
      <c r="G79" s="25" t="s">
        <v>657</v>
      </c>
      <c r="H79" s="26" t="s">
        <v>877</v>
      </c>
      <c r="I79" s="26" t="s">
        <v>878</v>
      </c>
      <c r="J79" s="27"/>
    </row>
    <row r="80">
      <c r="A80" s="25">
        <v>2.09221672E8</v>
      </c>
      <c r="B80" s="25" t="s">
        <v>879</v>
      </c>
      <c r="C80" s="26">
        <v>33.0</v>
      </c>
      <c r="D80" s="25" t="s">
        <v>649</v>
      </c>
      <c r="E80" s="25" t="s">
        <v>661</v>
      </c>
      <c r="F80" s="25" t="s">
        <v>715</v>
      </c>
      <c r="G80" s="25" t="s">
        <v>663</v>
      </c>
      <c r="H80" s="26" t="s">
        <v>880</v>
      </c>
      <c r="I80" s="26" t="s">
        <v>881</v>
      </c>
      <c r="J80" s="28">
        <v>29386.0</v>
      </c>
    </row>
    <row r="81">
      <c r="A81" s="25">
        <v>2.03221612E8</v>
      </c>
      <c r="B81" s="25" t="s">
        <v>882</v>
      </c>
      <c r="C81" s="26">
        <v>42.0</v>
      </c>
      <c r="D81" s="25" t="s">
        <v>649</v>
      </c>
      <c r="E81" s="25" t="s">
        <v>661</v>
      </c>
      <c r="F81" s="25" t="s">
        <v>741</v>
      </c>
      <c r="G81" s="25" t="s">
        <v>675</v>
      </c>
      <c r="H81" s="26" t="s">
        <v>883</v>
      </c>
      <c r="I81" s="26" t="s">
        <v>883</v>
      </c>
      <c r="J81" s="28">
        <v>30839.0</v>
      </c>
    </row>
    <row r="82">
      <c r="A82" s="30"/>
      <c r="B82" s="25" t="s">
        <v>884</v>
      </c>
      <c r="C82" s="26">
        <v>0.0</v>
      </c>
      <c r="D82" s="30"/>
      <c r="E82" s="25" t="s">
        <v>650</v>
      </c>
      <c r="F82" s="29" t="b">
        <v>0</v>
      </c>
      <c r="G82" s="29" t="b">
        <v>0</v>
      </c>
      <c r="H82" s="30"/>
      <c r="I82" s="30"/>
      <c r="J82" s="27"/>
    </row>
    <row r="83">
      <c r="A83" s="25">
        <v>2.02231728E8</v>
      </c>
      <c r="B83" s="25" t="s">
        <v>885</v>
      </c>
      <c r="C83" s="26">
        <v>38.0</v>
      </c>
      <c r="D83" s="25" t="s">
        <v>649</v>
      </c>
      <c r="E83" s="25" t="s">
        <v>661</v>
      </c>
      <c r="F83" s="25" t="s">
        <v>794</v>
      </c>
      <c r="G83" s="25" t="s">
        <v>663</v>
      </c>
      <c r="H83" s="26" t="s">
        <v>886</v>
      </c>
      <c r="I83" s="26" t="s">
        <v>886</v>
      </c>
      <c r="J83" s="28">
        <v>35000.0</v>
      </c>
    </row>
    <row r="84">
      <c r="A84" s="25">
        <v>2.08201189E8</v>
      </c>
      <c r="B84" s="25" t="s">
        <v>887</v>
      </c>
      <c r="C84" s="26">
        <v>32.0</v>
      </c>
      <c r="D84" s="25" t="s">
        <v>649</v>
      </c>
      <c r="E84" s="25" t="s">
        <v>661</v>
      </c>
      <c r="F84" s="25" t="s">
        <v>741</v>
      </c>
      <c r="G84" s="25" t="s">
        <v>675</v>
      </c>
      <c r="H84" s="26" t="s">
        <v>888</v>
      </c>
      <c r="I84" s="26" t="s">
        <v>888</v>
      </c>
      <c r="J84" s="28">
        <v>30628.0</v>
      </c>
    </row>
    <row r="85">
      <c r="A85" s="25">
        <v>2.12221712E8</v>
      </c>
      <c r="B85" s="25" t="s">
        <v>889</v>
      </c>
      <c r="C85" s="26">
        <v>30.0</v>
      </c>
      <c r="D85" s="25" t="s">
        <v>649</v>
      </c>
      <c r="E85" s="25" t="s">
        <v>661</v>
      </c>
      <c r="F85" s="25" t="s">
        <v>794</v>
      </c>
      <c r="G85" s="25" t="s">
        <v>663</v>
      </c>
      <c r="H85" s="26" t="s">
        <v>890</v>
      </c>
      <c r="I85" s="26" t="s">
        <v>890</v>
      </c>
      <c r="J85" s="28">
        <v>36828.0</v>
      </c>
    </row>
    <row r="86">
      <c r="A86" s="25">
        <v>1.08191059E8</v>
      </c>
      <c r="B86" s="25" t="s">
        <v>891</v>
      </c>
      <c r="C86" s="26">
        <v>28.0</v>
      </c>
      <c r="D86" s="25" t="s">
        <v>649</v>
      </c>
      <c r="E86" s="25" t="s">
        <v>650</v>
      </c>
      <c r="F86" s="25" t="s">
        <v>693</v>
      </c>
      <c r="G86" s="25" t="s">
        <v>694</v>
      </c>
      <c r="H86" s="26" t="s">
        <v>892</v>
      </c>
      <c r="I86" s="26" t="s">
        <v>893</v>
      </c>
      <c r="J86" s="27"/>
    </row>
    <row r="87">
      <c r="A87" s="25">
        <v>1.12180619E8</v>
      </c>
      <c r="B87" s="25" t="s">
        <v>894</v>
      </c>
      <c r="C87" s="26">
        <v>44.0</v>
      </c>
      <c r="D87" s="25" t="s">
        <v>649</v>
      </c>
      <c r="E87" s="25" t="s">
        <v>650</v>
      </c>
      <c r="F87" s="25" t="s">
        <v>730</v>
      </c>
      <c r="G87" s="25" t="s">
        <v>675</v>
      </c>
      <c r="H87" s="26" t="s">
        <v>895</v>
      </c>
      <c r="I87" s="26" t="s">
        <v>895</v>
      </c>
      <c r="J87" s="27"/>
    </row>
    <row r="88">
      <c r="A88" s="25">
        <v>2.02211342E8</v>
      </c>
      <c r="B88" s="25" t="s">
        <v>896</v>
      </c>
      <c r="C88" s="26">
        <v>33.0</v>
      </c>
      <c r="D88" s="25" t="s">
        <v>649</v>
      </c>
      <c r="E88" s="25" t="s">
        <v>661</v>
      </c>
      <c r="F88" s="25" t="s">
        <v>741</v>
      </c>
      <c r="G88" s="25" t="s">
        <v>675</v>
      </c>
      <c r="H88" s="26" t="s">
        <v>897</v>
      </c>
      <c r="I88" s="26" t="s">
        <v>897</v>
      </c>
      <c r="J88" s="28">
        <v>31738.0</v>
      </c>
    </row>
    <row r="89">
      <c r="A89" s="25">
        <v>1.09201214E8</v>
      </c>
      <c r="B89" s="25" t="s">
        <v>898</v>
      </c>
      <c r="C89" s="26">
        <v>27.0</v>
      </c>
      <c r="D89" s="25" t="s">
        <v>649</v>
      </c>
      <c r="E89" s="25" t="s">
        <v>650</v>
      </c>
      <c r="F89" s="25" t="s">
        <v>741</v>
      </c>
      <c r="G89" s="25" t="s">
        <v>675</v>
      </c>
      <c r="H89" s="26" t="s">
        <v>899</v>
      </c>
      <c r="I89" s="26" t="s">
        <v>899</v>
      </c>
      <c r="J89" s="28">
        <v>34990.0</v>
      </c>
    </row>
    <row r="90">
      <c r="A90" s="25">
        <v>2.12211551E8</v>
      </c>
      <c r="B90" s="25" t="s">
        <v>900</v>
      </c>
      <c r="C90" s="26">
        <v>42.0</v>
      </c>
      <c r="D90" s="25" t="s">
        <v>649</v>
      </c>
      <c r="E90" s="25" t="s">
        <v>661</v>
      </c>
      <c r="F90" s="25" t="s">
        <v>678</v>
      </c>
      <c r="G90" s="25" t="s">
        <v>663</v>
      </c>
      <c r="H90" s="26" t="s">
        <v>901</v>
      </c>
      <c r="I90" s="26" t="s">
        <v>902</v>
      </c>
      <c r="J90" s="28">
        <v>31575.0</v>
      </c>
    </row>
    <row r="91">
      <c r="A91" s="25">
        <v>1.12201311E8</v>
      </c>
      <c r="B91" s="25" t="s">
        <v>903</v>
      </c>
      <c r="C91" s="26">
        <v>26.0</v>
      </c>
      <c r="D91" s="25" t="s">
        <v>649</v>
      </c>
      <c r="E91" s="25" t="s">
        <v>650</v>
      </c>
      <c r="F91" s="25" t="s">
        <v>904</v>
      </c>
      <c r="G91" s="25" t="s">
        <v>765</v>
      </c>
      <c r="H91" s="26" t="s">
        <v>905</v>
      </c>
      <c r="I91" s="26" t="s">
        <v>905</v>
      </c>
      <c r="J91" s="27"/>
    </row>
    <row r="92">
      <c r="A92" s="25">
        <v>1.04211367E8</v>
      </c>
      <c r="B92" s="25" t="s">
        <v>906</v>
      </c>
      <c r="C92" s="26">
        <v>28.0</v>
      </c>
      <c r="D92" s="25" t="s">
        <v>649</v>
      </c>
      <c r="E92" s="25" t="s">
        <v>650</v>
      </c>
      <c r="F92" s="25" t="s">
        <v>678</v>
      </c>
      <c r="G92" s="25" t="s">
        <v>663</v>
      </c>
      <c r="H92" s="26" t="s">
        <v>907</v>
      </c>
      <c r="I92" s="26" t="s">
        <v>907</v>
      </c>
      <c r="J92" s="27"/>
    </row>
    <row r="93">
      <c r="A93" s="25">
        <v>1.072318E8</v>
      </c>
      <c r="B93" s="25" t="s">
        <v>908</v>
      </c>
      <c r="C93" s="26">
        <v>47.0</v>
      </c>
      <c r="D93" s="25" t="s">
        <v>649</v>
      </c>
      <c r="E93" s="25" t="s">
        <v>650</v>
      </c>
      <c r="F93" s="25" t="s">
        <v>777</v>
      </c>
      <c r="G93" s="25" t="s">
        <v>726</v>
      </c>
      <c r="H93" s="26" t="s">
        <v>909</v>
      </c>
      <c r="I93" s="26" t="s">
        <v>909</v>
      </c>
      <c r="J93" s="27"/>
    </row>
    <row r="94">
      <c r="A94" s="30"/>
      <c r="B94" s="25" t="s">
        <v>910</v>
      </c>
      <c r="C94" s="26">
        <v>0.0</v>
      </c>
      <c r="D94" s="30"/>
      <c r="E94" s="25" t="s">
        <v>650</v>
      </c>
      <c r="F94" s="29" t="b">
        <v>0</v>
      </c>
      <c r="G94" s="29" t="b">
        <v>0</v>
      </c>
      <c r="H94" s="26" t="s">
        <v>911</v>
      </c>
      <c r="I94" s="30"/>
      <c r="J94" s="27"/>
    </row>
    <row r="95">
      <c r="A95" s="25">
        <v>2.08201204E8</v>
      </c>
      <c r="B95" s="25" t="s">
        <v>912</v>
      </c>
      <c r="C95" s="26">
        <v>46.0</v>
      </c>
      <c r="D95" s="25" t="s">
        <v>649</v>
      </c>
      <c r="E95" s="25" t="s">
        <v>661</v>
      </c>
      <c r="F95" s="25" t="s">
        <v>678</v>
      </c>
      <c r="G95" s="25" t="s">
        <v>663</v>
      </c>
      <c r="H95" s="26" t="s">
        <v>913</v>
      </c>
      <c r="I95" s="26" t="s">
        <v>914</v>
      </c>
      <c r="J95" s="28">
        <v>28668.0</v>
      </c>
    </row>
    <row r="96">
      <c r="A96" s="25">
        <v>2.02221585E8</v>
      </c>
      <c r="B96" s="25" t="s">
        <v>912</v>
      </c>
      <c r="C96" s="26">
        <v>30.0</v>
      </c>
      <c r="D96" s="25" t="s">
        <v>649</v>
      </c>
      <c r="E96" s="25" t="s">
        <v>661</v>
      </c>
      <c r="F96" s="25" t="s">
        <v>876</v>
      </c>
      <c r="G96" s="25" t="s">
        <v>657</v>
      </c>
      <c r="H96" s="26" t="s">
        <v>915</v>
      </c>
      <c r="I96" s="26" t="s">
        <v>916</v>
      </c>
      <c r="J96" s="28">
        <v>34447.0</v>
      </c>
    </row>
    <row r="97">
      <c r="A97" s="25">
        <v>1.04211366E8</v>
      </c>
      <c r="B97" s="25" t="s">
        <v>917</v>
      </c>
      <c r="C97" s="26">
        <v>63.0</v>
      </c>
      <c r="D97" s="25" t="s">
        <v>649</v>
      </c>
      <c r="E97" s="25" t="s">
        <v>650</v>
      </c>
      <c r="F97" s="25" t="s">
        <v>821</v>
      </c>
      <c r="G97" s="25" t="s">
        <v>663</v>
      </c>
      <c r="H97" s="26" t="s">
        <v>918</v>
      </c>
      <c r="I97" s="26" t="s">
        <v>918</v>
      </c>
      <c r="J97" s="28">
        <v>26455.0</v>
      </c>
    </row>
    <row r="98">
      <c r="A98" s="25">
        <v>2.08231826E8</v>
      </c>
      <c r="B98" s="25" t="s">
        <v>919</v>
      </c>
      <c r="C98" s="26">
        <v>30.0</v>
      </c>
      <c r="D98" s="25" t="s">
        <v>649</v>
      </c>
      <c r="E98" s="25" t="s">
        <v>661</v>
      </c>
      <c r="F98" s="25" t="s">
        <v>758</v>
      </c>
      <c r="G98" s="25" t="s">
        <v>663</v>
      </c>
      <c r="H98" s="26" t="s">
        <v>920</v>
      </c>
      <c r="I98" s="26" t="s">
        <v>921</v>
      </c>
      <c r="J98" s="28">
        <v>31361.0</v>
      </c>
    </row>
    <row r="99">
      <c r="A99" s="25">
        <v>2.03231734E8</v>
      </c>
      <c r="B99" s="25" t="s">
        <v>922</v>
      </c>
      <c r="C99" s="26">
        <v>27.0</v>
      </c>
      <c r="D99" s="25" t="s">
        <v>649</v>
      </c>
      <c r="E99" s="25" t="s">
        <v>661</v>
      </c>
      <c r="F99" s="25" t="s">
        <v>794</v>
      </c>
      <c r="G99" s="25" t="s">
        <v>663</v>
      </c>
      <c r="H99" s="26" t="s">
        <v>923</v>
      </c>
      <c r="I99" s="26" t="s">
        <v>924</v>
      </c>
      <c r="J99" s="28">
        <v>35795.0</v>
      </c>
    </row>
    <row r="100">
      <c r="A100" s="25">
        <v>3.01210042E8</v>
      </c>
      <c r="B100" s="25" t="s">
        <v>925</v>
      </c>
      <c r="C100" s="26">
        <v>45.0</v>
      </c>
      <c r="D100" s="25" t="s">
        <v>649</v>
      </c>
      <c r="E100" s="25" t="s">
        <v>681</v>
      </c>
      <c r="F100" s="25" t="s">
        <v>741</v>
      </c>
      <c r="G100" s="25" t="s">
        <v>675</v>
      </c>
      <c r="H100" s="30"/>
      <c r="I100" s="30"/>
      <c r="J100" s="28">
        <v>32486.0</v>
      </c>
    </row>
    <row r="101">
      <c r="A101" s="25">
        <v>2.11201297E8</v>
      </c>
      <c r="B101" s="25" t="s">
        <v>926</v>
      </c>
      <c r="C101" s="26">
        <v>39.0</v>
      </c>
      <c r="D101" s="25" t="s">
        <v>655</v>
      </c>
      <c r="E101" s="25" t="s">
        <v>661</v>
      </c>
      <c r="F101" s="25" t="s">
        <v>678</v>
      </c>
      <c r="G101" s="25" t="s">
        <v>663</v>
      </c>
      <c r="H101" s="26" t="s">
        <v>927</v>
      </c>
      <c r="I101" s="26" t="s">
        <v>928</v>
      </c>
      <c r="J101" s="27"/>
    </row>
    <row r="102">
      <c r="A102" s="25">
        <v>2.08231814E8</v>
      </c>
      <c r="B102" s="25" t="s">
        <v>929</v>
      </c>
      <c r="C102" s="26">
        <v>32.0</v>
      </c>
      <c r="D102" s="25" t="s">
        <v>655</v>
      </c>
      <c r="E102" s="25" t="s">
        <v>661</v>
      </c>
      <c r="F102" s="25" t="s">
        <v>741</v>
      </c>
      <c r="G102" s="25" t="s">
        <v>675</v>
      </c>
      <c r="H102" s="26" t="s">
        <v>930</v>
      </c>
      <c r="I102" s="26" t="s">
        <v>930</v>
      </c>
      <c r="J102" s="27"/>
    </row>
    <row r="103">
      <c r="A103" s="25">
        <v>2.03231739E8</v>
      </c>
      <c r="B103" s="25" t="s">
        <v>931</v>
      </c>
      <c r="C103" s="26">
        <v>50.0</v>
      </c>
      <c r="D103" s="25" t="s">
        <v>698</v>
      </c>
      <c r="E103" s="25" t="s">
        <v>661</v>
      </c>
      <c r="F103" s="25" t="s">
        <v>706</v>
      </c>
      <c r="G103" s="25" t="s">
        <v>668</v>
      </c>
      <c r="H103" s="26" t="s">
        <v>932</v>
      </c>
      <c r="I103" s="26" t="s">
        <v>933</v>
      </c>
      <c r="J103" s="28">
        <v>28843.0</v>
      </c>
    </row>
    <row r="104">
      <c r="A104" s="25">
        <v>1.08211459E8</v>
      </c>
      <c r="B104" s="25" t="s">
        <v>934</v>
      </c>
      <c r="C104" s="26">
        <v>53.0</v>
      </c>
      <c r="D104" s="25" t="s">
        <v>698</v>
      </c>
      <c r="E104" s="25" t="s">
        <v>650</v>
      </c>
      <c r="F104" s="25" t="s">
        <v>678</v>
      </c>
      <c r="G104" s="25" t="s">
        <v>663</v>
      </c>
      <c r="H104" s="26" t="s">
        <v>935</v>
      </c>
      <c r="I104" s="26" t="s">
        <v>936</v>
      </c>
      <c r="J104" s="28">
        <v>26435.0</v>
      </c>
    </row>
    <row r="105">
      <c r="A105" s="25">
        <v>1.05130051E8</v>
      </c>
      <c r="B105" s="25" t="s">
        <v>937</v>
      </c>
      <c r="C105" s="26">
        <v>42.0</v>
      </c>
      <c r="D105" s="25" t="s">
        <v>698</v>
      </c>
      <c r="E105" s="25" t="s">
        <v>650</v>
      </c>
      <c r="F105" s="25" t="s">
        <v>938</v>
      </c>
      <c r="G105" s="25" t="s">
        <v>668</v>
      </c>
      <c r="H105" s="26" t="s">
        <v>939</v>
      </c>
      <c r="I105" s="26" t="s">
        <v>939</v>
      </c>
      <c r="J105" s="27"/>
    </row>
    <row r="106">
      <c r="A106" s="25">
        <v>2.01221569E8</v>
      </c>
      <c r="B106" s="25" t="s">
        <v>940</v>
      </c>
      <c r="C106" s="26">
        <v>45.0</v>
      </c>
      <c r="D106" s="25" t="s">
        <v>649</v>
      </c>
      <c r="E106" s="25" t="s">
        <v>661</v>
      </c>
      <c r="F106" s="25" t="s">
        <v>678</v>
      </c>
      <c r="G106" s="25" t="s">
        <v>663</v>
      </c>
      <c r="H106" s="26" t="s">
        <v>941</v>
      </c>
      <c r="I106" s="26" t="s">
        <v>941</v>
      </c>
      <c r="J106" s="28">
        <v>31763.0</v>
      </c>
    </row>
    <row r="107">
      <c r="A107" s="25">
        <v>1.12191115E8</v>
      </c>
      <c r="B107" s="25" t="s">
        <v>942</v>
      </c>
      <c r="C107" s="26">
        <v>49.0</v>
      </c>
      <c r="D107" s="25" t="s">
        <v>649</v>
      </c>
      <c r="E107" s="25" t="s">
        <v>650</v>
      </c>
      <c r="F107" s="25" t="s">
        <v>678</v>
      </c>
      <c r="G107" s="25" t="s">
        <v>663</v>
      </c>
      <c r="H107" s="26" t="s">
        <v>943</v>
      </c>
      <c r="I107" s="26" t="s">
        <v>943</v>
      </c>
      <c r="J107" s="27"/>
    </row>
    <row r="108">
      <c r="A108" s="25">
        <v>2.09150698E8</v>
      </c>
      <c r="B108" s="25" t="s">
        <v>944</v>
      </c>
      <c r="C108" s="26">
        <v>46.0</v>
      </c>
      <c r="D108" s="25" t="s">
        <v>649</v>
      </c>
      <c r="E108" s="25" t="s">
        <v>661</v>
      </c>
      <c r="F108" s="25" t="s">
        <v>678</v>
      </c>
      <c r="G108" s="25" t="s">
        <v>663</v>
      </c>
      <c r="H108" s="26" t="s">
        <v>945</v>
      </c>
      <c r="I108" s="26" t="s">
        <v>945</v>
      </c>
      <c r="J108" s="28">
        <v>29512.0</v>
      </c>
    </row>
    <row r="109">
      <c r="A109" s="25">
        <v>2.07231812E8</v>
      </c>
      <c r="B109" s="25" t="s">
        <v>946</v>
      </c>
      <c r="C109" s="26">
        <v>33.0</v>
      </c>
      <c r="D109" s="25" t="s">
        <v>698</v>
      </c>
      <c r="E109" s="25" t="s">
        <v>661</v>
      </c>
      <c r="F109" s="25" t="s">
        <v>715</v>
      </c>
      <c r="G109" s="25" t="s">
        <v>663</v>
      </c>
      <c r="H109" s="26" t="s">
        <v>947</v>
      </c>
      <c r="I109" s="26" t="s">
        <v>948</v>
      </c>
      <c r="J109" s="27"/>
    </row>
    <row r="110">
      <c r="A110" s="25">
        <v>2.05241925E8</v>
      </c>
      <c r="B110" s="25" t="s">
        <v>949</v>
      </c>
      <c r="C110" s="26">
        <v>37.0</v>
      </c>
      <c r="D110" s="25" t="s">
        <v>698</v>
      </c>
      <c r="E110" s="25" t="s">
        <v>661</v>
      </c>
      <c r="F110" s="25" t="s">
        <v>758</v>
      </c>
      <c r="G110" s="25" t="s">
        <v>663</v>
      </c>
      <c r="H110" s="30"/>
      <c r="I110" s="30"/>
      <c r="J110" s="27"/>
    </row>
    <row r="111">
      <c r="A111" s="25">
        <v>2.07231802E8</v>
      </c>
      <c r="B111" s="25" t="s">
        <v>950</v>
      </c>
      <c r="C111" s="26">
        <v>22.0</v>
      </c>
      <c r="D111" s="25" t="s">
        <v>698</v>
      </c>
      <c r="E111" s="25" t="s">
        <v>661</v>
      </c>
      <c r="F111" s="25" t="s">
        <v>769</v>
      </c>
      <c r="G111" s="25" t="s">
        <v>726</v>
      </c>
      <c r="H111" s="26" t="s">
        <v>951</v>
      </c>
      <c r="I111" s="26" t="s">
        <v>952</v>
      </c>
      <c r="J111" s="27"/>
    </row>
    <row r="112">
      <c r="A112" s="25">
        <v>1.10211509E8</v>
      </c>
      <c r="B112" s="25" t="s">
        <v>953</v>
      </c>
      <c r="C112" s="26">
        <v>46.0</v>
      </c>
      <c r="D112" s="25" t="s">
        <v>649</v>
      </c>
      <c r="E112" s="25" t="s">
        <v>650</v>
      </c>
      <c r="F112" s="25" t="s">
        <v>678</v>
      </c>
      <c r="G112" s="25" t="s">
        <v>663</v>
      </c>
      <c r="H112" s="26" t="s">
        <v>954</v>
      </c>
      <c r="I112" s="26" t="s">
        <v>954</v>
      </c>
      <c r="J112" s="28">
        <v>29428.0</v>
      </c>
    </row>
    <row r="113">
      <c r="A113" s="25">
        <v>2.08231816E8</v>
      </c>
      <c r="B113" s="25" t="s">
        <v>955</v>
      </c>
      <c r="C113" s="26">
        <v>22.0</v>
      </c>
      <c r="D113" s="25" t="s">
        <v>649</v>
      </c>
      <c r="E113" s="25" t="s">
        <v>661</v>
      </c>
      <c r="F113" s="25" t="s">
        <v>956</v>
      </c>
      <c r="G113" s="25" t="s">
        <v>668</v>
      </c>
      <c r="H113" s="26" t="s">
        <v>957</v>
      </c>
      <c r="I113" s="26" t="s">
        <v>958</v>
      </c>
      <c r="J113" s="27"/>
    </row>
    <row r="114">
      <c r="A114" s="25">
        <v>3.11200015E8</v>
      </c>
      <c r="B114" s="25" t="s">
        <v>959</v>
      </c>
      <c r="C114" s="26">
        <v>51.0</v>
      </c>
      <c r="D114" s="25" t="s">
        <v>698</v>
      </c>
      <c r="E114" s="25" t="s">
        <v>681</v>
      </c>
      <c r="F114" s="25" t="s">
        <v>821</v>
      </c>
      <c r="G114" s="25" t="s">
        <v>663</v>
      </c>
      <c r="H114" s="30"/>
      <c r="I114" s="30"/>
      <c r="J114" s="27"/>
    </row>
    <row r="115">
      <c r="A115" s="25">
        <v>3.01210044E8</v>
      </c>
      <c r="B115" s="25" t="s">
        <v>960</v>
      </c>
      <c r="C115" s="26">
        <v>50.0</v>
      </c>
      <c r="D115" s="25" t="s">
        <v>698</v>
      </c>
      <c r="E115" s="25" t="s">
        <v>681</v>
      </c>
      <c r="F115" s="25" t="s">
        <v>741</v>
      </c>
      <c r="G115" s="25" t="s">
        <v>675</v>
      </c>
      <c r="H115" s="26" t="s">
        <v>961</v>
      </c>
      <c r="I115" s="26" t="s">
        <v>962</v>
      </c>
      <c r="J115" s="28">
        <v>30108.0</v>
      </c>
    </row>
    <row r="116">
      <c r="A116" s="25">
        <v>3.03210054E8</v>
      </c>
      <c r="B116" s="25" t="s">
        <v>963</v>
      </c>
      <c r="C116" s="26">
        <v>34.0</v>
      </c>
      <c r="D116" s="25" t="s">
        <v>698</v>
      </c>
      <c r="E116" s="25" t="s">
        <v>681</v>
      </c>
      <c r="F116" s="25" t="s">
        <v>821</v>
      </c>
      <c r="G116" s="25" t="s">
        <v>663</v>
      </c>
      <c r="H116" s="30"/>
      <c r="I116" s="30"/>
      <c r="J116" s="27"/>
    </row>
    <row r="117">
      <c r="A117" s="25">
        <v>2.03231733E8</v>
      </c>
      <c r="B117" s="25" t="s">
        <v>964</v>
      </c>
      <c r="C117" s="26">
        <v>0.0</v>
      </c>
      <c r="D117" s="30"/>
      <c r="E117" s="25" t="s">
        <v>661</v>
      </c>
      <c r="F117" s="25" t="s">
        <v>794</v>
      </c>
      <c r="G117" s="25" t="s">
        <v>663</v>
      </c>
      <c r="H117" s="26" t="s">
        <v>965</v>
      </c>
      <c r="I117" s="26" t="s">
        <v>966</v>
      </c>
      <c r="J117" s="27"/>
    </row>
    <row r="118">
      <c r="A118" s="25">
        <v>2.08231829E8</v>
      </c>
      <c r="B118" s="25" t="s">
        <v>967</v>
      </c>
      <c r="C118" s="26">
        <v>21.0</v>
      </c>
      <c r="D118" s="25" t="s">
        <v>698</v>
      </c>
      <c r="E118" s="25" t="s">
        <v>661</v>
      </c>
      <c r="F118" s="25" t="s">
        <v>687</v>
      </c>
      <c r="G118" s="25" t="s">
        <v>675</v>
      </c>
      <c r="H118" s="26" t="s">
        <v>968</v>
      </c>
      <c r="I118" s="26" t="s">
        <v>968</v>
      </c>
      <c r="J118" s="27"/>
    </row>
    <row r="119">
      <c r="A119" s="25">
        <v>2.06231778E8</v>
      </c>
      <c r="B119" s="25" t="s">
        <v>969</v>
      </c>
      <c r="C119" s="26">
        <v>23.0</v>
      </c>
      <c r="D119" s="25" t="s">
        <v>698</v>
      </c>
      <c r="E119" s="25" t="s">
        <v>661</v>
      </c>
      <c r="F119" s="25" t="s">
        <v>743</v>
      </c>
      <c r="G119" s="25" t="s">
        <v>668</v>
      </c>
      <c r="H119" s="26" t="s">
        <v>970</v>
      </c>
      <c r="I119" s="26" t="s">
        <v>970</v>
      </c>
      <c r="J119" s="27"/>
    </row>
    <row r="120">
      <c r="A120" s="25">
        <v>1.09201221E8</v>
      </c>
      <c r="B120" s="25" t="s">
        <v>971</v>
      </c>
      <c r="C120" s="26">
        <v>32.0</v>
      </c>
      <c r="D120" s="25" t="s">
        <v>698</v>
      </c>
      <c r="E120" s="25" t="s">
        <v>650</v>
      </c>
      <c r="F120" s="25" t="s">
        <v>972</v>
      </c>
      <c r="G120" s="25" t="s">
        <v>668</v>
      </c>
      <c r="H120" s="26" t="s">
        <v>973</v>
      </c>
      <c r="I120" s="26" t="s">
        <v>974</v>
      </c>
      <c r="J120" s="27"/>
    </row>
    <row r="121">
      <c r="A121" s="25">
        <v>2.02241911E8</v>
      </c>
      <c r="B121" s="25" t="s">
        <v>975</v>
      </c>
      <c r="C121" s="26">
        <v>0.0</v>
      </c>
      <c r="D121" s="30"/>
      <c r="E121" s="25" t="s">
        <v>661</v>
      </c>
      <c r="F121" s="25" t="s">
        <v>719</v>
      </c>
      <c r="G121" s="25" t="s">
        <v>668</v>
      </c>
      <c r="H121" s="30"/>
      <c r="I121" s="30"/>
      <c r="J121" s="27"/>
    </row>
    <row r="122">
      <c r="A122" s="25">
        <v>1.04211373E8</v>
      </c>
      <c r="B122" s="25" t="s">
        <v>976</v>
      </c>
      <c r="C122" s="26">
        <v>44.0</v>
      </c>
      <c r="D122" s="25" t="s">
        <v>698</v>
      </c>
      <c r="E122" s="25" t="s">
        <v>650</v>
      </c>
      <c r="F122" s="25" t="s">
        <v>818</v>
      </c>
      <c r="G122" s="25" t="s">
        <v>675</v>
      </c>
      <c r="H122" s="26" t="s">
        <v>977</v>
      </c>
      <c r="I122" s="26" t="s">
        <v>977</v>
      </c>
      <c r="J122" s="28">
        <v>38528.0</v>
      </c>
    </row>
    <row r="123">
      <c r="A123" s="25">
        <v>2.07231801E8</v>
      </c>
      <c r="B123" s="25" t="s">
        <v>978</v>
      </c>
      <c r="C123" s="26">
        <v>38.0</v>
      </c>
      <c r="D123" s="25" t="s">
        <v>698</v>
      </c>
      <c r="E123" s="25" t="s">
        <v>661</v>
      </c>
      <c r="F123" s="25" t="s">
        <v>736</v>
      </c>
      <c r="G123" s="25" t="s">
        <v>663</v>
      </c>
      <c r="H123" s="26" t="s">
        <v>979</v>
      </c>
      <c r="I123" s="26" t="s">
        <v>979</v>
      </c>
      <c r="J123" s="28">
        <v>29790.0</v>
      </c>
    </row>
    <row r="124">
      <c r="A124" s="25">
        <v>3.12200028E8</v>
      </c>
      <c r="B124" s="25" t="s">
        <v>980</v>
      </c>
      <c r="C124" s="26">
        <v>50.0</v>
      </c>
      <c r="D124" s="25" t="s">
        <v>698</v>
      </c>
      <c r="E124" s="25" t="s">
        <v>681</v>
      </c>
      <c r="F124" s="25" t="s">
        <v>821</v>
      </c>
      <c r="G124" s="25" t="s">
        <v>663</v>
      </c>
      <c r="H124" s="30"/>
      <c r="I124" s="30"/>
      <c r="J124" s="28">
        <v>28393.0</v>
      </c>
    </row>
    <row r="125">
      <c r="A125" s="25">
        <v>1.03211354E8</v>
      </c>
      <c r="B125" s="25" t="s">
        <v>981</v>
      </c>
      <c r="C125" s="26">
        <v>31.0</v>
      </c>
      <c r="D125" s="25" t="s">
        <v>698</v>
      </c>
      <c r="E125" s="25" t="s">
        <v>650</v>
      </c>
      <c r="F125" s="25" t="s">
        <v>982</v>
      </c>
      <c r="G125" s="25" t="s">
        <v>668</v>
      </c>
      <c r="H125" s="26" t="s">
        <v>983</v>
      </c>
      <c r="I125" s="26" t="s">
        <v>983</v>
      </c>
      <c r="J125" s="27"/>
    </row>
    <row r="126">
      <c r="A126" s="25">
        <v>2.04241913E8</v>
      </c>
      <c r="B126" s="25" t="s">
        <v>984</v>
      </c>
      <c r="C126" s="26">
        <v>0.0</v>
      </c>
      <c r="D126" s="30"/>
      <c r="E126" s="25" t="s">
        <v>661</v>
      </c>
      <c r="F126" s="25" t="s">
        <v>777</v>
      </c>
      <c r="G126" s="25" t="s">
        <v>726</v>
      </c>
      <c r="H126" s="30"/>
      <c r="I126" s="30"/>
      <c r="J126" s="27"/>
    </row>
    <row r="127">
      <c r="A127" s="25">
        <v>1.08221664E8</v>
      </c>
      <c r="B127" s="25" t="s">
        <v>985</v>
      </c>
      <c r="C127" s="26">
        <v>45.0</v>
      </c>
      <c r="D127" s="25" t="s">
        <v>649</v>
      </c>
      <c r="E127" s="25" t="s">
        <v>650</v>
      </c>
      <c r="F127" s="25" t="s">
        <v>986</v>
      </c>
      <c r="G127" s="25" t="s">
        <v>726</v>
      </c>
      <c r="H127" s="26" t="s">
        <v>987</v>
      </c>
      <c r="I127" s="26" t="s">
        <v>988</v>
      </c>
      <c r="J127" s="28">
        <v>29549.0</v>
      </c>
    </row>
    <row r="128">
      <c r="A128" s="25">
        <v>2.05231757E8</v>
      </c>
      <c r="B128" s="25" t="s">
        <v>989</v>
      </c>
      <c r="C128" s="26">
        <v>20.0</v>
      </c>
      <c r="D128" s="25" t="s">
        <v>698</v>
      </c>
      <c r="E128" s="25" t="s">
        <v>661</v>
      </c>
      <c r="F128" s="25" t="s">
        <v>687</v>
      </c>
      <c r="G128" s="25" t="s">
        <v>675</v>
      </c>
      <c r="H128" s="26" t="s">
        <v>990</v>
      </c>
      <c r="I128" s="26" t="s">
        <v>991</v>
      </c>
      <c r="J128" s="27"/>
    </row>
    <row r="129">
      <c r="A129" s="25">
        <v>2.08211463E8</v>
      </c>
      <c r="B129" s="25" t="s">
        <v>992</v>
      </c>
      <c r="C129" s="26">
        <v>43.0</v>
      </c>
      <c r="D129" s="25" t="s">
        <v>698</v>
      </c>
      <c r="E129" s="25" t="s">
        <v>661</v>
      </c>
      <c r="F129" s="25" t="s">
        <v>741</v>
      </c>
      <c r="G129" s="25" t="s">
        <v>675</v>
      </c>
      <c r="H129" s="26" t="s">
        <v>993</v>
      </c>
      <c r="I129" s="26" t="s">
        <v>993</v>
      </c>
      <c r="J129" s="27"/>
    </row>
    <row r="130">
      <c r="A130" s="25">
        <v>2.04211376E8</v>
      </c>
      <c r="B130" s="25" t="s">
        <v>994</v>
      </c>
      <c r="C130" s="26">
        <v>56.0</v>
      </c>
      <c r="D130" s="25" t="s">
        <v>698</v>
      </c>
      <c r="E130" s="25" t="s">
        <v>661</v>
      </c>
      <c r="F130" s="25" t="s">
        <v>741</v>
      </c>
      <c r="G130" s="25" t="s">
        <v>675</v>
      </c>
      <c r="H130" s="26" t="s">
        <v>995</v>
      </c>
      <c r="I130" s="26" t="s">
        <v>996</v>
      </c>
      <c r="J130" s="27"/>
    </row>
    <row r="131">
      <c r="A131" s="25">
        <v>1.03110065E8</v>
      </c>
      <c r="B131" s="25" t="s">
        <v>997</v>
      </c>
      <c r="C131" s="26">
        <v>58.0</v>
      </c>
      <c r="D131" s="25" t="s">
        <v>698</v>
      </c>
      <c r="E131" s="25" t="s">
        <v>650</v>
      </c>
      <c r="F131" s="25" t="s">
        <v>998</v>
      </c>
      <c r="G131" s="25" t="s">
        <v>652</v>
      </c>
      <c r="H131" s="26" t="s">
        <v>999</v>
      </c>
      <c r="I131" s="26" t="s">
        <v>999</v>
      </c>
      <c r="J131" s="27"/>
    </row>
    <row r="132">
      <c r="A132" s="25">
        <v>1.12120067E8</v>
      </c>
      <c r="B132" s="25" t="s">
        <v>1000</v>
      </c>
      <c r="C132" s="26">
        <v>44.0</v>
      </c>
      <c r="D132" s="25" t="s">
        <v>649</v>
      </c>
      <c r="E132" s="25" t="s">
        <v>650</v>
      </c>
      <c r="F132" s="25" t="s">
        <v>678</v>
      </c>
      <c r="G132" s="25" t="s">
        <v>663</v>
      </c>
      <c r="H132" s="26" t="s">
        <v>1001</v>
      </c>
      <c r="I132" s="26" t="s">
        <v>1001</v>
      </c>
      <c r="J132" s="28">
        <v>35297.0</v>
      </c>
    </row>
    <row r="133">
      <c r="A133" s="25">
        <v>2.03241899E8</v>
      </c>
      <c r="B133" s="25" t="s">
        <v>1002</v>
      </c>
      <c r="C133" s="26">
        <v>25.0</v>
      </c>
      <c r="D133" s="25" t="s">
        <v>698</v>
      </c>
      <c r="E133" s="25" t="s">
        <v>661</v>
      </c>
      <c r="F133" s="25" t="s">
        <v>1003</v>
      </c>
      <c r="G133" s="25" t="s">
        <v>726</v>
      </c>
      <c r="H133" s="26" t="s">
        <v>1004</v>
      </c>
      <c r="I133" s="26" t="s">
        <v>1005</v>
      </c>
      <c r="J133" s="27"/>
    </row>
    <row r="134">
      <c r="A134" s="30"/>
      <c r="B134" s="25" t="s">
        <v>1002</v>
      </c>
      <c r="C134" s="26">
        <v>25.0</v>
      </c>
      <c r="D134" s="30"/>
      <c r="E134" s="25" t="s">
        <v>661</v>
      </c>
      <c r="F134" s="29" t="b">
        <v>0</v>
      </c>
      <c r="G134" s="25" t="s">
        <v>726</v>
      </c>
      <c r="H134" s="30"/>
      <c r="I134" s="30"/>
      <c r="J134" s="27"/>
    </row>
    <row r="135">
      <c r="A135" s="25">
        <v>2.05190879E8</v>
      </c>
      <c r="B135" s="25" t="s">
        <v>1006</v>
      </c>
      <c r="C135" s="26">
        <v>32.0</v>
      </c>
      <c r="D135" s="25" t="s">
        <v>649</v>
      </c>
      <c r="E135" s="25" t="s">
        <v>661</v>
      </c>
      <c r="F135" s="25" t="s">
        <v>736</v>
      </c>
      <c r="G135" s="25" t="s">
        <v>663</v>
      </c>
      <c r="H135" s="26" t="s">
        <v>1007</v>
      </c>
      <c r="I135" s="26" t="s">
        <v>1008</v>
      </c>
      <c r="J135" s="27"/>
    </row>
    <row r="136">
      <c r="A136" s="25">
        <v>2.05231768E8</v>
      </c>
      <c r="B136" s="25" t="s">
        <v>1009</v>
      </c>
      <c r="C136" s="26">
        <v>0.0</v>
      </c>
      <c r="D136" s="27"/>
      <c r="E136" s="25" t="s">
        <v>661</v>
      </c>
      <c r="F136" s="25" t="s">
        <v>719</v>
      </c>
      <c r="G136" s="25" t="s">
        <v>668</v>
      </c>
      <c r="H136" s="27"/>
      <c r="I136" s="27"/>
      <c r="J136" s="27"/>
    </row>
    <row r="137">
      <c r="A137" s="30"/>
      <c r="B137" s="25" t="s">
        <v>1010</v>
      </c>
      <c r="C137" s="26">
        <v>0.0</v>
      </c>
      <c r="D137" s="30"/>
      <c r="E137" s="25" t="s">
        <v>650</v>
      </c>
      <c r="F137" s="29" t="b">
        <v>0</v>
      </c>
      <c r="G137" s="29" t="b">
        <v>0</v>
      </c>
      <c r="H137" s="30"/>
      <c r="I137" s="30"/>
      <c r="J137" s="27"/>
    </row>
    <row r="138">
      <c r="A138" s="25">
        <v>1.12191117E8</v>
      </c>
      <c r="B138" s="25" t="s">
        <v>1011</v>
      </c>
      <c r="C138" s="26">
        <v>33.0</v>
      </c>
      <c r="D138" s="25" t="s">
        <v>655</v>
      </c>
      <c r="E138" s="25" t="s">
        <v>650</v>
      </c>
      <c r="F138" s="25" t="s">
        <v>818</v>
      </c>
      <c r="G138" s="25" t="s">
        <v>675</v>
      </c>
      <c r="H138" s="26" t="s">
        <v>1012</v>
      </c>
      <c r="I138" s="26" t="s">
        <v>1013</v>
      </c>
      <c r="J138" s="27"/>
    </row>
    <row r="139">
      <c r="A139" s="25">
        <v>2.08160688E8</v>
      </c>
      <c r="B139" s="25" t="s">
        <v>1014</v>
      </c>
      <c r="C139" s="26">
        <v>29.0</v>
      </c>
      <c r="D139" s="25" t="s">
        <v>655</v>
      </c>
      <c r="E139" s="25" t="s">
        <v>661</v>
      </c>
      <c r="F139" s="25" t="s">
        <v>1015</v>
      </c>
      <c r="G139" s="25" t="s">
        <v>675</v>
      </c>
      <c r="H139" s="26" t="s">
        <v>1016</v>
      </c>
      <c r="I139" s="26" t="s">
        <v>1016</v>
      </c>
      <c r="J139" s="28">
        <v>36137.0</v>
      </c>
    </row>
    <row r="140">
      <c r="A140" s="25">
        <v>2.07231805E8</v>
      </c>
      <c r="B140" s="25" t="s">
        <v>1017</v>
      </c>
      <c r="C140" s="26">
        <v>31.0</v>
      </c>
      <c r="D140" s="25" t="s">
        <v>698</v>
      </c>
      <c r="E140" s="25" t="s">
        <v>661</v>
      </c>
      <c r="F140" s="25" t="s">
        <v>715</v>
      </c>
      <c r="G140" s="25" t="s">
        <v>663</v>
      </c>
      <c r="H140" s="26" t="s">
        <v>1018</v>
      </c>
      <c r="I140" s="26" t="s">
        <v>1019</v>
      </c>
      <c r="J140" s="27"/>
    </row>
    <row r="141">
      <c r="A141" s="25">
        <v>1.05211401E8</v>
      </c>
      <c r="B141" s="25" t="s">
        <v>1020</v>
      </c>
      <c r="C141" s="26">
        <v>40.0</v>
      </c>
      <c r="D141" s="25" t="s">
        <v>698</v>
      </c>
      <c r="E141" s="25" t="s">
        <v>650</v>
      </c>
      <c r="F141" s="25" t="s">
        <v>758</v>
      </c>
      <c r="G141" s="25" t="s">
        <v>663</v>
      </c>
      <c r="H141" s="26" t="s">
        <v>1021</v>
      </c>
      <c r="I141" s="26" t="s">
        <v>1021</v>
      </c>
      <c r="J141" s="28">
        <v>28755.0</v>
      </c>
    </row>
    <row r="142">
      <c r="A142" s="25">
        <v>1.01190626E8</v>
      </c>
      <c r="B142" s="25" t="s">
        <v>1022</v>
      </c>
      <c r="C142" s="26">
        <v>26.0</v>
      </c>
      <c r="D142" s="25" t="s">
        <v>655</v>
      </c>
      <c r="E142" s="25" t="s">
        <v>650</v>
      </c>
      <c r="F142" s="25" t="s">
        <v>741</v>
      </c>
      <c r="G142" s="25" t="s">
        <v>675</v>
      </c>
      <c r="H142" s="26" t="s">
        <v>1023</v>
      </c>
      <c r="I142" s="26" t="s">
        <v>1023</v>
      </c>
      <c r="J142" s="27"/>
    </row>
    <row r="143">
      <c r="A143" s="25">
        <v>1.05190864E8</v>
      </c>
      <c r="B143" s="25" t="s">
        <v>1024</v>
      </c>
      <c r="C143" s="26">
        <v>57.0</v>
      </c>
      <c r="D143" s="25" t="s">
        <v>698</v>
      </c>
      <c r="E143" s="25" t="s">
        <v>650</v>
      </c>
      <c r="F143" s="25" t="s">
        <v>678</v>
      </c>
      <c r="G143" s="25" t="s">
        <v>663</v>
      </c>
      <c r="H143" s="26" t="s">
        <v>1025</v>
      </c>
      <c r="I143" s="26" t="s">
        <v>1026</v>
      </c>
      <c r="J143" s="28">
        <v>25969.0</v>
      </c>
    </row>
    <row r="144">
      <c r="A144" s="25">
        <v>1.12211555E8</v>
      </c>
      <c r="B144" s="25" t="s">
        <v>1027</v>
      </c>
      <c r="C144" s="26">
        <v>27.0</v>
      </c>
      <c r="D144" s="25" t="s">
        <v>649</v>
      </c>
      <c r="E144" s="25" t="s">
        <v>650</v>
      </c>
      <c r="F144" s="25" t="s">
        <v>719</v>
      </c>
      <c r="G144" s="25" t="s">
        <v>668</v>
      </c>
      <c r="H144" s="26" t="s">
        <v>1028</v>
      </c>
      <c r="I144" s="26" t="s">
        <v>1029</v>
      </c>
      <c r="J144" s="27"/>
    </row>
    <row r="145">
      <c r="A145" s="25">
        <v>2.10180647E8</v>
      </c>
      <c r="B145" s="25" t="s">
        <v>1030</v>
      </c>
      <c r="C145" s="26">
        <v>26.0</v>
      </c>
      <c r="D145" s="25" t="s">
        <v>649</v>
      </c>
      <c r="E145" s="25" t="s">
        <v>661</v>
      </c>
      <c r="F145" s="25" t="s">
        <v>741</v>
      </c>
      <c r="G145" s="25" t="s">
        <v>675</v>
      </c>
      <c r="H145" s="26" t="s">
        <v>1031</v>
      </c>
      <c r="I145" s="26" t="s">
        <v>1031</v>
      </c>
      <c r="J145" s="27"/>
    </row>
    <row r="146">
      <c r="A146" s="25">
        <v>1.02150007E8</v>
      </c>
      <c r="B146" s="25" t="s">
        <v>1032</v>
      </c>
      <c r="C146" s="26">
        <v>35.0</v>
      </c>
      <c r="D146" s="25" t="s">
        <v>649</v>
      </c>
      <c r="E146" s="25" t="s">
        <v>650</v>
      </c>
      <c r="F146" s="25" t="s">
        <v>1033</v>
      </c>
      <c r="G146" s="25" t="s">
        <v>652</v>
      </c>
      <c r="H146" s="26" t="s">
        <v>1034</v>
      </c>
      <c r="I146" s="26" t="s">
        <v>1034</v>
      </c>
      <c r="J146" s="28">
        <v>34346.0</v>
      </c>
    </row>
    <row r="147">
      <c r="A147" s="25" t="s">
        <v>1035</v>
      </c>
      <c r="B147" s="25" t="s">
        <v>1036</v>
      </c>
      <c r="C147" s="26">
        <v>0.0</v>
      </c>
      <c r="D147" s="30"/>
      <c r="E147" s="25" t="s">
        <v>681</v>
      </c>
      <c r="F147" s="29" t="b">
        <v>0</v>
      </c>
      <c r="G147" s="25" t="s">
        <v>765</v>
      </c>
      <c r="H147" s="30"/>
      <c r="I147" s="30"/>
      <c r="J147" s="27"/>
    </row>
    <row r="148">
      <c r="A148" s="25">
        <v>1.11231853E8</v>
      </c>
      <c r="B148" s="25" t="s">
        <v>1037</v>
      </c>
      <c r="C148" s="26">
        <v>42.0</v>
      </c>
      <c r="D148" s="25" t="s">
        <v>698</v>
      </c>
      <c r="E148" s="25" t="s">
        <v>650</v>
      </c>
      <c r="F148" s="25" t="s">
        <v>758</v>
      </c>
      <c r="G148" s="25" t="s">
        <v>663</v>
      </c>
      <c r="H148" s="26" t="s">
        <v>1038</v>
      </c>
      <c r="I148" s="26" t="s">
        <v>1039</v>
      </c>
      <c r="J148" s="27"/>
    </row>
    <row r="149">
      <c r="A149" s="25">
        <v>2.07201163E8</v>
      </c>
      <c r="B149" s="25" t="s">
        <v>1040</v>
      </c>
      <c r="C149" s="26">
        <v>31.0</v>
      </c>
      <c r="D149" s="25" t="s">
        <v>698</v>
      </c>
      <c r="E149" s="25" t="s">
        <v>661</v>
      </c>
      <c r="F149" s="25" t="s">
        <v>741</v>
      </c>
      <c r="G149" s="25" t="s">
        <v>675</v>
      </c>
      <c r="H149" s="26" t="s">
        <v>1041</v>
      </c>
      <c r="I149" s="26" t="s">
        <v>1042</v>
      </c>
      <c r="J149" s="28">
        <v>44663.0</v>
      </c>
    </row>
    <row r="150">
      <c r="A150" s="25">
        <v>1.02201134E8</v>
      </c>
      <c r="B150" s="25" t="s">
        <v>1043</v>
      </c>
      <c r="C150" s="26">
        <v>37.0</v>
      </c>
      <c r="D150" s="25" t="s">
        <v>698</v>
      </c>
      <c r="E150" s="25" t="s">
        <v>650</v>
      </c>
      <c r="F150" s="25" t="s">
        <v>833</v>
      </c>
      <c r="G150" s="25" t="s">
        <v>726</v>
      </c>
      <c r="H150" s="26" t="s">
        <v>1044</v>
      </c>
      <c r="I150" s="26" t="s">
        <v>1045</v>
      </c>
      <c r="J150" s="27"/>
    </row>
    <row r="151">
      <c r="A151" s="25">
        <v>1.11160071E8</v>
      </c>
      <c r="B151" s="25" t="s">
        <v>1046</v>
      </c>
      <c r="C151" s="26">
        <v>58.0</v>
      </c>
      <c r="D151" s="25" t="s">
        <v>698</v>
      </c>
      <c r="E151" s="25" t="s">
        <v>650</v>
      </c>
      <c r="F151" s="25" t="s">
        <v>1015</v>
      </c>
      <c r="G151" s="25" t="s">
        <v>675</v>
      </c>
      <c r="H151" s="26" t="s">
        <v>1047</v>
      </c>
      <c r="I151" s="26" t="s">
        <v>1047</v>
      </c>
      <c r="J151" s="28">
        <v>25070.0</v>
      </c>
    </row>
    <row r="152">
      <c r="A152" s="25">
        <v>2.04241912E8</v>
      </c>
      <c r="B152" s="25" t="s">
        <v>1048</v>
      </c>
      <c r="C152" s="26">
        <v>0.0</v>
      </c>
      <c r="D152" s="30"/>
      <c r="E152" s="25" t="s">
        <v>661</v>
      </c>
      <c r="F152" s="25" t="s">
        <v>777</v>
      </c>
      <c r="G152" s="25" t="s">
        <v>726</v>
      </c>
      <c r="H152" s="30"/>
      <c r="I152" s="30"/>
      <c r="J152" s="27"/>
    </row>
    <row r="153">
      <c r="A153" s="25">
        <v>1.08191037E8</v>
      </c>
      <c r="B153" s="25" t="s">
        <v>1049</v>
      </c>
      <c r="C153" s="26">
        <v>43.0</v>
      </c>
      <c r="D153" s="25" t="s">
        <v>698</v>
      </c>
      <c r="E153" s="25" t="s">
        <v>650</v>
      </c>
      <c r="F153" s="25" t="s">
        <v>1050</v>
      </c>
      <c r="G153" s="25" t="s">
        <v>726</v>
      </c>
      <c r="H153" s="26" t="s">
        <v>1051</v>
      </c>
      <c r="I153" s="26" t="s">
        <v>1052</v>
      </c>
      <c r="J153" s="27"/>
    </row>
    <row r="154">
      <c r="A154" s="25">
        <v>1.03201137E8</v>
      </c>
      <c r="B154" s="25" t="s">
        <v>1053</v>
      </c>
      <c r="C154" s="26">
        <v>32.0</v>
      </c>
      <c r="D154" s="25" t="s">
        <v>655</v>
      </c>
      <c r="E154" s="25" t="s">
        <v>650</v>
      </c>
      <c r="F154" s="25" t="s">
        <v>674</v>
      </c>
      <c r="G154" s="25" t="s">
        <v>675</v>
      </c>
      <c r="H154" s="26" t="s">
        <v>1054</v>
      </c>
      <c r="I154" s="26" t="s">
        <v>1054</v>
      </c>
      <c r="J154" s="28">
        <v>34459.0</v>
      </c>
    </row>
    <row r="155">
      <c r="A155" s="25">
        <v>2.03241896E8</v>
      </c>
      <c r="B155" s="25" t="s">
        <v>1055</v>
      </c>
      <c r="C155" s="26">
        <v>0.0</v>
      </c>
      <c r="D155" s="27"/>
      <c r="E155" s="25" t="s">
        <v>661</v>
      </c>
      <c r="F155" s="29" t="b">
        <v>0</v>
      </c>
      <c r="G155" s="25" t="s">
        <v>663</v>
      </c>
      <c r="H155" s="26" t="s">
        <v>1056</v>
      </c>
      <c r="I155" s="26" t="s">
        <v>1057</v>
      </c>
      <c r="J155" s="27"/>
    </row>
    <row r="156">
      <c r="A156" s="25">
        <v>1.01190758E8</v>
      </c>
      <c r="B156" s="25" t="s">
        <v>1058</v>
      </c>
      <c r="C156" s="26">
        <v>0.0</v>
      </c>
      <c r="D156" s="30"/>
      <c r="E156" s="25" t="s">
        <v>650</v>
      </c>
      <c r="F156" s="25" t="s">
        <v>1050</v>
      </c>
      <c r="G156" s="25" t="s">
        <v>726</v>
      </c>
      <c r="H156" s="26" t="s">
        <v>1059</v>
      </c>
      <c r="I156" s="26" t="s">
        <v>1059</v>
      </c>
      <c r="J156" s="27"/>
    </row>
    <row r="157">
      <c r="A157" s="25">
        <v>1.02150008E8</v>
      </c>
      <c r="B157" s="25" t="s">
        <v>1060</v>
      </c>
      <c r="C157" s="26">
        <v>38.0</v>
      </c>
      <c r="D157" s="25" t="s">
        <v>649</v>
      </c>
      <c r="E157" s="25" t="s">
        <v>650</v>
      </c>
      <c r="F157" s="25" t="s">
        <v>1061</v>
      </c>
      <c r="G157" s="25" t="s">
        <v>652</v>
      </c>
      <c r="H157" s="26" t="s">
        <v>1062</v>
      </c>
      <c r="I157" s="26" t="s">
        <v>1063</v>
      </c>
      <c r="J157" s="28">
        <v>33832.0</v>
      </c>
    </row>
    <row r="158">
      <c r="A158" s="25">
        <v>2.11201294E8</v>
      </c>
      <c r="B158" s="25" t="s">
        <v>1064</v>
      </c>
      <c r="C158" s="26">
        <v>28.0</v>
      </c>
      <c r="D158" s="25" t="s">
        <v>649</v>
      </c>
      <c r="E158" s="25" t="s">
        <v>661</v>
      </c>
      <c r="F158" s="25" t="s">
        <v>1065</v>
      </c>
      <c r="G158" s="25" t="s">
        <v>657</v>
      </c>
      <c r="H158" s="26" t="s">
        <v>1066</v>
      </c>
      <c r="I158" s="26" t="s">
        <v>1066</v>
      </c>
      <c r="J158" s="27"/>
    </row>
    <row r="159">
      <c r="A159" s="25">
        <v>2.08191034E8</v>
      </c>
      <c r="B159" s="25" t="s">
        <v>1067</v>
      </c>
      <c r="C159" s="26">
        <v>25.0</v>
      </c>
      <c r="D159" s="25" t="s">
        <v>655</v>
      </c>
      <c r="E159" s="25" t="s">
        <v>661</v>
      </c>
      <c r="F159" s="25" t="s">
        <v>741</v>
      </c>
      <c r="G159" s="25" t="s">
        <v>675</v>
      </c>
      <c r="H159" s="26" t="s">
        <v>1068</v>
      </c>
      <c r="I159" s="26" t="s">
        <v>1068</v>
      </c>
      <c r="J159" s="27"/>
    </row>
    <row r="160">
      <c r="A160" s="25">
        <v>1.09160076E8</v>
      </c>
      <c r="B160" s="25" t="s">
        <v>1069</v>
      </c>
      <c r="C160" s="26">
        <v>52.0</v>
      </c>
      <c r="D160" s="25" t="s">
        <v>698</v>
      </c>
      <c r="E160" s="25" t="s">
        <v>650</v>
      </c>
      <c r="F160" s="25" t="s">
        <v>678</v>
      </c>
      <c r="G160" s="25" t="s">
        <v>663</v>
      </c>
      <c r="H160" s="26" t="s">
        <v>1070</v>
      </c>
      <c r="I160" s="26" t="s">
        <v>1070</v>
      </c>
      <c r="J160" s="27"/>
    </row>
    <row r="161">
      <c r="A161" s="25">
        <v>1.12180617E8</v>
      </c>
      <c r="B161" s="25" t="s">
        <v>1071</v>
      </c>
      <c r="C161" s="26">
        <v>39.0</v>
      </c>
      <c r="D161" s="25" t="s">
        <v>649</v>
      </c>
      <c r="E161" s="25" t="s">
        <v>650</v>
      </c>
      <c r="F161" s="25" t="s">
        <v>667</v>
      </c>
      <c r="G161" s="25" t="s">
        <v>668</v>
      </c>
      <c r="H161" s="26" t="s">
        <v>1072</v>
      </c>
      <c r="I161" s="26" t="s">
        <v>1073</v>
      </c>
      <c r="J161" s="28">
        <v>33608.0</v>
      </c>
    </row>
    <row r="162">
      <c r="A162" s="25">
        <v>1.10201256E8</v>
      </c>
      <c r="B162" s="25" t="s">
        <v>1074</v>
      </c>
      <c r="C162" s="26">
        <v>40.0</v>
      </c>
      <c r="D162" s="25" t="s">
        <v>698</v>
      </c>
      <c r="E162" s="25" t="s">
        <v>650</v>
      </c>
      <c r="F162" s="25" t="s">
        <v>1075</v>
      </c>
      <c r="G162" s="25" t="s">
        <v>668</v>
      </c>
      <c r="H162" s="26" t="s">
        <v>1076</v>
      </c>
      <c r="I162" s="26" t="s">
        <v>1076</v>
      </c>
      <c r="J162" s="27"/>
    </row>
    <row r="163">
      <c r="A163" s="25">
        <v>2.01241877E8</v>
      </c>
      <c r="B163" s="25" t="s">
        <v>1077</v>
      </c>
      <c r="C163" s="26">
        <v>0.0</v>
      </c>
      <c r="D163" s="27"/>
      <c r="E163" s="25" t="s">
        <v>661</v>
      </c>
      <c r="F163" s="25" t="s">
        <v>1078</v>
      </c>
      <c r="G163" s="25" t="s">
        <v>668</v>
      </c>
      <c r="H163" s="27"/>
      <c r="I163" s="27"/>
      <c r="J163" s="27"/>
    </row>
    <row r="164">
      <c r="A164" s="25">
        <v>2.05241932E8</v>
      </c>
      <c r="B164" s="25" t="s">
        <v>1079</v>
      </c>
      <c r="C164" s="26">
        <v>0.0</v>
      </c>
      <c r="D164" s="30"/>
      <c r="E164" s="25" t="s">
        <v>661</v>
      </c>
      <c r="F164" s="25" t="s">
        <v>1003</v>
      </c>
      <c r="G164" s="25" t="s">
        <v>726</v>
      </c>
      <c r="H164" s="30"/>
      <c r="I164" s="30"/>
      <c r="J164" s="27"/>
    </row>
    <row r="165">
      <c r="A165" s="25">
        <v>1.06190914E8</v>
      </c>
      <c r="B165" s="25" t="s">
        <v>1080</v>
      </c>
      <c r="C165" s="26">
        <v>33.0</v>
      </c>
      <c r="D165" s="25" t="s">
        <v>649</v>
      </c>
      <c r="E165" s="25" t="s">
        <v>650</v>
      </c>
      <c r="F165" s="25" t="s">
        <v>678</v>
      </c>
      <c r="G165" s="25" t="s">
        <v>663</v>
      </c>
      <c r="H165" s="26" t="s">
        <v>1081</v>
      </c>
      <c r="I165" s="26" t="s">
        <v>1082</v>
      </c>
      <c r="J165" s="28">
        <v>35396.0</v>
      </c>
    </row>
    <row r="166">
      <c r="A166" s="25">
        <v>1.09191106E8</v>
      </c>
      <c r="B166" s="25" t="s">
        <v>1083</v>
      </c>
      <c r="C166" s="26">
        <v>26.0</v>
      </c>
      <c r="D166" s="25" t="s">
        <v>649</v>
      </c>
      <c r="E166" s="25" t="s">
        <v>650</v>
      </c>
      <c r="F166" s="25" t="s">
        <v>758</v>
      </c>
      <c r="G166" s="25" t="s">
        <v>663</v>
      </c>
      <c r="H166" s="26" t="s">
        <v>1084</v>
      </c>
      <c r="I166" s="26" t="s">
        <v>1085</v>
      </c>
      <c r="J166" s="28">
        <v>36886.0</v>
      </c>
    </row>
    <row r="167">
      <c r="A167" s="30"/>
      <c r="B167" s="25" t="s">
        <v>1086</v>
      </c>
      <c r="C167" s="26">
        <v>0.0</v>
      </c>
      <c r="D167" s="30"/>
      <c r="E167" s="25" t="s">
        <v>650</v>
      </c>
      <c r="F167" s="29" t="b">
        <v>0</v>
      </c>
      <c r="G167" s="29" t="b">
        <v>0</v>
      </c>
      <c r="H167" s="27"/>
      <c r="I167" s="27"/>
      <c r="J167" s="27"/>
    </row>
    <row r="168">
      <c r="A168" s="25">
        <v>3.11200021E8</v>
      </c>
      <c r="B168" s="25" t="s">
        <v>1087</v>
      </c>
      <c r="C168" s="26">
        <v>45.0</v>
      </c>
      <c r="D168" s="25" t="s">
        <v>655</v>
      </c>
      <c r="E168" s="25" t="s">
        <v>681</v>
      </c>
      <c r="F168" s="25" t="s">
        <v>1088</v>
      </c>
      <c r="G168" s="25" t="s">
        <v>1089</v>
      </c>
      <c r="H168" s="30"/>
      <c r="I168" s="30"/>
      <c r="J168" s="28">
        <v>31198.0</v>
      </c>
    </row>
    <row r="169">
      <c r="A169" s="25">
        <v>1.08201179E8</v>
      </c>
      <c r="B169" s="25" t="s">
        <v>1090</v>
      </c>
      <c r="C169" s="26">
        <v>27.0</v>
      </c>
      <c r="D169" s="25" t="s">
        <v>649</v>
      </c>
      <c r="E169" s="25" t="s">
        <v>650</v>
      </c>
      <c r="F169" s="25" t="s">
        <v>741</v>
      </c>
      <c r="G169" s="25" t="s">
        <v>675</v>
      </c>
      <c r="H169" s="26" t="s">
        <v>1091</v>
      </c>
      <c r="I169" s="26" t="s">
        <v>1091</v>
      </c>
      <c r="J169" s="28">
        <v>35280.0</v>
      </c>
    </row>
    <row r="170">
      <c r="A170" s="25">
        <v>2.02231724E8</v>
      </c>
      <c r="B170" s="25" t="s">
        <v>1092</v>
      </c>
      <c r="C170" s="26">
        <v>29.0</v>
      </c>
      <c r="D170" s="25" t="s">
        <v>655</v>
      </c>
      <c r="E170" s="25" t="s">
        <v>661</v>
      </c>
      <c r="F170" s="25" t="s">
        <v>687</v>
      </c>
      <c r="G170" s="25" t="s">
        <v>675</v>
      </c>
      <c r="H170" s="26" t="s">
        <v>1093</v>
      </c>
      <c r="I170" s="26" t="s">
        <v>1094</v>
      </c>
      <c r="J170" s="27"/>
    </row>
    <row r="171">
      <c r="A171" s="25">
        <v>1.06221652E8</v>
      </c>
      <c r="B171" s="25" t="s">
        <v>1095</v>
      </c>
      <c r="C171" s="26">
        <v>43.0</v>
      </c>
      <c r="D171" s="25" t="s">
        <v>649</v>
      </c>
      <c r="E171" s="25" t="s">
        <v>650</v>
      </c>
      <c r="F171" s="25" t="s">
        <v>678</v>
      </c>
      <c r="G171" s="25" t="s">
        <v>663</v>
      </c>
      <c r="H171" s="26" t="s">
        <v>1096</v>
      </c>
      <c r="I171" s="26" t="s">
        <v>1096</v>
      </c>
      <c r="J171" s="28">
        <v>34030.0</v>
      </c>
    </row>
    <row r="172">
      <c r="A172" s="30"/>
      <c r="B172" s="25" t="s">
        <v>1097</v>
      </c>
      <c r="C172" s="26">
        <v>0.0</v>
      </c>
      <c r="D172" s="27"/>
      <c r="E172" s="25" t="s">
        <v>650</v>
      </c>
      <c r="F172" s="29" t="b">
        <v>0</v>
      </c>
      <c r="G172" s="29" t="b">
        <v>0</v>
      </c>
      <c r="H172" s="27"/>
      <c r="I172" s="27"/>
      <c r="J172" s="27"/>
    </row>
    <row r="173">
      <c r="A173" s="25">
        <v>2.0424191E8</v>
      </c>
      <c r="B173" s="25" t="s">
        <v>1098</v>
      </c>
      <c r="C173" s="26">
        <v>0.0</v>
      </c>
      <c r="D173" s="30"/>
      <c r="E173" s="25" t="s">
        <v>661</v>
      </c>
      <c r="F173" s="25" t="s">
        <v>864</v>
      </c>
      <c r="G173" s="25" t="s">
        <v>668</v>
      </c>
      <c r="H173" s="30"/>
      <c r="I173" s="30"/>
      <c r="J173" s="27"/>
    </row>
    <row r="174">
      <c r="A174" s="25">
        <v>2.04231747E8</v>
      </c>
      <c r="B174" s="25" t="s">
        <v>1099</v>
      </c>
      <c r="C174" s="26">
        <v>27.0</v>
      </c>
      <c r="D174" s="25" t="s">
        <v>649</v>
      </c>
      <c r="E174" s="25" t="s">
        <v>661</v>
      </c>
      <c r="F174" s="25" t="s">
        <v>794</v>
      </c>
      <c r="G174" s="25" t="s">
        <v>663</v>
      </c>
      <c r="H174" s="26" t="s">
        <v>1100</v>
      </c>
      <c r="I174" s="26" t="s">
        <v>1101</v>
      </c>
      <c r="J174" s="27"/>
    </row>
    <row r="175">
      <c r="A175" s="25">
        <v>2.07231796E8</v>
      </c>
      <c r="B175" s="25" t="s">
        <v>1102</v>
      </c>
      <c r="C175" s="26">
        <v>25.0</v>
      </c>
      <c r="D175" s="25" t="s">
        <v>649</v>
      </c>
      <c r="E175" s="25" t="s">
        <v>661</v>
      </c>
      <c r="F175" s="25" t="s">
        <v>1103</v>
      </c>
      <c r="G175" s="25" t="s">
        <v>675</v>
      </c>
      <c r="H175" s="26" t="s">
        <v>1104</v>
      </c>
      <c r="I175" s="26" t="s">
        <v>1104</v>
      </c>
      <c r="J175" s="27"/>
    </row>
    <row r="176">
      <c r="A176" s="25">
        <v>2.11221705E8</v>
      </c>
      <c r="B176" s="25" t="s">
        <v>1105</v>
      </c>
      <c r="C176" s="26">
        <v>22.0</v>
      </c>
      <c r="D176" s="25" t="s">
        <v>649</v>
      </c>
      <c r="E176" s="25" t="s">
        <v>661</v>
      </c>
      <c r="F176" s="25" t="s">
        <v>719</v>
      </c>
      <c r="G176" s="25" t="s">
        <v>668</v>
      </c>
      <c r="H176" s="26" t="s">
        <v>1106</v>
      </c>
      <c r="I176" s="26" t="s">
        <v>1106</v>
      </c>
      <c r="J176" s="27"/>
    </row>
    <row r="177">
      <c r="A177" s="25">
        <v>2.05231762E8</v>
      </c>
      <c r="B177" s="25" t="s">
        <v>1107</v>
      </c>
      <c r="C177" s="26">
        <v>23.0</v>
      </c>
      <c r="D177" s="25" t="s">
        <v>698</v>
      </c>
      <c r="E177" s="25" t="s">
        <v>661</v>
      </c>
      <c r="F177" s="25" t="s">
        <v>719</v>
      </c>
      <c r="G177" s="25" t="s">
        <v>668</v>
      </c>
      <c r="H177" s="26" t="s">
        <v>1108</v>
      </c>
      <c r="I177" s="26" t="s">
        <v>1108</v>
      </c>
      <c r="J177" s="27"/>
    </row>
    <row r="178">
      <c r="A178" s="25">
        <v>1.04211372E8</v>
      </c>
      <c r="B178" s="25" t="s">
        <v>1109</v>
      </c>
      <c r="C178" s="26">
        <v>50.0</v>
      </c>
      <c r="D178" s="25" t="s">
        <v>698</v>
      </c>
      <c r="E178" s="25" t="s">
        <v>650</v>
      </c>
      <c r="F178" s="25" t="s">
        <v>678</v>
      </c>
      <c r="G178" s="25" t="s">
        <v>663</v>
      </c>
      <c r="H178" s="26" t="s">
        <v>1110</v>
      </c>
      <c r="I178" s="26" t="s">
        <v>1111</v>
      </c>
      <c r="J178" s="28">
        <v>26989.0</v>
      </c>
    </row>
    <row r="179">
      <c r="A179" s="25">
        <v>1.08211472E8</v>
      </c>
      <c r="B179" s="25" t="s">
        <v>1112</v>
      </c>
      <c r="C179" s="26">
        <v>21.0</v>
      </c>
      <c r="D179" s="25" t="s">
        <v>698</v>
      </c>
      <c r="E179" s="25" t="s">
        <v>650</v>
      </c>
      <c r="F179" s="25" t="s">
        <v>719</v>
      </c>
      <c r="G179" s="25" t="s">
        <v>668</v>
      </c>
      <c r="H179" s="26" t="s">
        <v>1113</v>
      </c>
      <c r="I179" s="26" t="s">
        <v>1113</v>
      </c>
      <c r="J179" s="27"/>
    </row>
    <row r="180">
      <c r="A180" s="25">
        <v>2.07231804E8</v>
      </c>
      <c r="B180" s="25" t="s">
        <v>1114</v>
      </c>
      <c r="C180" s="26">
        <v>19.0</v>
      </c>
      <c r="D180" s="25" t="s">
        <v>698</v>
      </c>
      <c r="E180" s="25" t="s">
        <v>661</v>
      </c>
      <c r="F180" s="25" t="s">
        <v>687</v>
      </c>
      <c r="G180" s="25" t="s">
        <v>675</v>
      </c>
      <c r="H180" s="26" t="s">
        <v>1115</v>
      </c>
      <c r="I180" s="26" t="s">
        <v>1115</v>
      </c>
      <c r="J180" s="27"/>
    </row>
    <row r="181">
      <c r="A181" s="25">
        <v>2.0722166E8</v>
      </c>
      <c r="B181" s="25" t="s">
        <v>1116</v>
      </c>
      <c r="C181" s="26">
        <v>47.0</v>
      </c>
      <c r="D181" s="25" t="s">
        <v>698</v>
      </c>
      <c r="E181" s="25" t="s">
        <v>661</v>
      </c>
      <c r="F181" s="25" t="s">
        <v>678</v>
      </c>
      <c r="G181" s="25" t="s">
        <v>663</v>
      </c>
      <c r="H181" s="26" t="s">
        <v>1117</v>
      </c>
      <c r="I181" s="26" t="s">
        <v>1117</v>
      </c>
      <c r="J181" s="27"/>
    </row>
    <row r="182">
      <c r="A182" s="25">
        <v>2.05241934E8</v>
      </c>
      <c r="B182" s="25" t="s">
        <v>1118</v>
      </c>
      <c r="C182" s="26">
        <v>0.0</v>
      </c>
      <c r="D182" s="27"/>
      <c r="E182" s="25" t="s">
        <v>661</v>
      </c>
      <c r="F182" s="25" t="s">
        <v>715</v>
      </c>
      <c r="G182" s="25" t="s">
        <v>663</v>
      </c>
      <c r="H182" s="27"/>
      <c r="I182" s="27"/>
      <c r="J182" s="28">
        <v>32107.0</v>
      </c>
    </row>
    <row r="183">
      <c r="A183" s="25">
        <v>2.0719096E8</v>
      </c>
      <c r="B183" s="25" t="s">
        <v>1119</v>
      </c>
      <c r="C183" s="26">
        <v>57.0</v>
      </c>
      <c r="D183" s="25" t="s">
        <v>649</v>
      </c>
      <c r="E183" s="25" t="s">
        <v>661</v>
      </c>
      <c r="F183" s="25" t="s">
        <v>730</v>
      </c>
      <c r="G183" s="25" t="s">
        <v>675</v>
      </c>
      <c r="H183" s="26" t="s">
        <v>1120</v>
      </c>
      <c r="I183" s="26" t="s">
        <v>1120</v>
      </c>
      <c r="J183" s="28">
        <v>27141.0</v>
      </c>
    </row>
    <row r="184">
      <c r="A184" s="25">
        <v>2.05241919E8</v>
      </c>
      <c r="B184" s="25" t="s">
        <v>1121</v>
      </c>
      <c r="C184" s="26">
        <v>0.0</v>
      </c>
      <c r="D184" s="30"/>
      <c r="E184" s="25" t="s">
        <v>661</v>
      </c>
      <c r="F184" s="25" t="s">
        <v>1075</v>
      </c>
      <c r="G184" s="25" t="s">
        <v>668</v>
      </c>
      <c r="H184" s="30"/>
      <c r="I184" s="30"/>
      <c r="J184" s="27"/>
    </row>
    <row r="185">
      <c r="A185" s="25">
        <v>1.07180487E8</v>
      </c>
      <c r="B185" s="25" t="s">
        <v>1122</v>
      </c>
      <c r="C185" s="26">
        <v>40.0</v>
      </c>
      <c r="D185" s="25" t="s">
        <v>698</v>
      </c>
      <c r="E185" s="25" t="s">
        <v>650</v>
      </c>
      <c r="F185" s="25" t="s">
        <v>678</v>
      </c>
      <c r="G185" s="25" t="s">
        <v>663</v>
      </c>
      <c r="H185" s="26" t="s">
        <v>1123</v>
      </c>
      <c r="I185" s="26" t="s">
        <v>1124</v>
      </c>
      <c r="J185" s="27"/>
    </row>
    <row r="186">
      <c r="A186" s="25">
        <v>2.01221572E8</v>
      </c>
      <c r="B186" s="25" t="s">
        <v>1125</v>
      </c>
      <c r="C186" s="26">
        <v>45.0</v>
      </c>
      <c r="D186" s="25" t="s">
        <v>655</v>
      </c>
      <c r="E186" s="25" t="s">
        <v>661</v>
      </c>
      <c r="F186" s="25" t="s">
        <v>741</v>
      </c>
      <c r="G186" s="25" t="s">
        <v>675</v>
      </c>
      <c r="H186" s="26" t="s">
        <v>1126</v>
      </c>
      <c r="I186" s="26" t="s">
        <v>1126</v>
      </c>
      <c r="J186" s="28">
        <v>32359.0</v>
      </c>
    </row>
    <row r="187">
      <c r="A187" s="25">
        <v>3.06210077E8</v>
      </c>
      <c r="B187" s="25" t="s">
        <v>1127</v>
      </c>
      <c r="C187" s="26">
        <v>22.0</v>
      </c>
      <c r="D187" s="25" t="s">
        <v>698</v>
      </c>
      <c r="E187" s="25" t="s">
        <v>681</v>
      </c>
      <c r="F187" s="25" t="s">
        <v>733</v>
      </c>
      <c r="G187" s="25" t="s">
        <v>652</v>
      </c>
      <c r="H187" s="26" t="s">
        <v>1128</v>
      </c>
      <c r="I187" s="26" t="s">
        <v>1128</v>
      </c>
      <c r="J187" s="28">
        <v>37593.0</v>
      </c>
    </row>
    <row r="188">
      <c r="A188" s="25">
        <v>3.03230112E8</v>
      </c>
      <c r="B188" s="25" t="s">
        <v>1129</v>
      </c>
      <c r="C188" s="26">
        <v>24.0</v>
      </c>
      <c r="D188" s="25" t="s">
        <v>698</v>
      </c>
      <c r="E188" s="25" t="s">
        <v>681</v>
      </c>
      <c r="F188" s="25" t="s">
        <v>777</v>
      </c>
      <c r="G188" s="25" t="s">
        <v>726</v>
      </c>
      <c r="H188" s="26" t="s">
        <v>1130</v>
      </c>
      <c r="I188" s="26" t="s">
        <v>1130</v>
      </c>
      <c r="J188" s="27"/>
    </row>
    <row r="189">
      <c r="A189" s="25">
        <v>2.05241914E8</v>
      </c>
      <c r="B189" s="25" t="s">
        <v>1131</v>
      </c>
      <c r="C189" s="26">
        <v>0.0</v>
      </c>
      <c r="D189" s="27"/>
      <c r="E189" s="25" t="s">
        <v>661</v>
      </c>
      <c r="F189" s="25" t="s">
        <v>758</v>
      </c>
      <c r="G189" s="25" t="s">
        <v>663</v>
      </c>
      <c r="H189" s="30"/>
      <c r="I189" s="30"/>
      <c r="J189" s="27"/>
    </row>
    <row r="190">
      <c r="A190" s="25">
        <v>2.08231817E8</v>
      </c>
      <c r="B190" s="25" t="s">
        <v>1132</v>
      </c>
      <c r="C190" s="26">
        <v>29.0</v>
      </c>
      <c r="D190" s="25" t="s">
        <v>698</v>
      </c>
      <c r="E190" s="25" t="s">
        <v>661</v>
      </c>
      <c r="F190" s="25" t="s">
        <v>1133</v>
      </c>
      <c r="G190" s="25" t="s">
        <v>668</v>
      </c>
      <c r="H190" s="26" t="s">
        <v>1134</v>
      </c>
      <c r="I190" s="26" t="s">
        <v>1134</v>
      </c>
      <c r="J190" s="27"/>
    </row>
    <row r="191">
      <c r="A191" s="25">
        <v>2.02241888E8</v>
      </c>
      <c r="B191" s="25" t="s">
        <v>1135</v>
      </c>
      <c r="C191" s="26">
        <v>0.0</v>
      </c>
      <c r="D191" s="30"/>
      <c r="E191" s="25" t="s">
        <v>661</v>
      </c>
      <c r="F191" s="25" t="s">
        <v>725</v>
      </c>
      <c r="G191" s="25" t="s">
        <v>726</v>
      </c>
      <c r="H191" s="26" t="s">
        <v>1136</v>
      </c>
      <c r="I191" s="26" t="s">
        <v>1137</v>
      </c>
      <c r="J191" s="27"/>
    </row>
    <row r="192">
      <c r="A192" s="25">
        <v>1.07190992E8</v>
      </c>
      <c r="B192" s="25" t="s">
        <v>1138</v>
      </c>
      <c r="C192" s="26">
        <v>56.0</v>
      </c>
      <c r="D192" s="25" t="s">
        <v>649</v>
      </c>
      <c r="E192" s="25" t="s">
        <v>650</v>
      </c>
      <c r="F192" s="25" t="s">
        <v>715</v>
      </c>
      <c r="G192" s="25" t="s">
        <v>663</v>
      </c>
      <c r="H192" s="26" t="s">
        <v>1139</v>
      </c>
      <c r="I192" s="26" t="s">
        <v>1140</v>
      </c>
      <c r="J192" s="28">
        <v>30271.0</v>
      </c>
    </row>
    <row r="193">
      <c r="A193" s="25">
        <v>2.02221588E8</v>
      </c>
      <c r="B193" s="25" t="s">
        <v>1141</v>
      </c>
      <c r="C193" s="26">
        <v>30.0</v>
      </c>
      <c r="D193" s="25" t="s">
        <v>649</v>
      </c>
      <c r="E193" s="25" t="s">
        <v>661</v>
      </c>
      <c r="F193" s="25" t="s">
        <v>1142</v>
      </c>
      <c r="G193" s="25" t="s">
        <v>657</v>
      </c>
      <c r="H193" s="26" t="s">
        <v>1143</v>
      </c>
      <c r="I193" s="26" t="s">
        <v>1144</v>
      </c>
      <c r="J193" s="27"/>
    </row>
    <row r="194">
      <c r="A194" s="25">
        <v>2.08231824E8</v>
      </c>
      <c r="B194" s="25" t="s">
        <v>1145</v>
      </c>
      <c r="C194" s="26">
        <v>27.0</v>
      </c>
      <c r="D194" s="25" t="s">
        <v>698</v>
      </c>
      <c r="E194" s="25" t="s">
        <v>661</v>
      </c>
      <c r="F194" s="25" t="s">
        <v>715</v>
      </c>
      <c r="G194" s="25" t="s">
        <v>663</v>
      </c>
      <c r="H194" s="26" t="s">
        <v>1146</v>
      </c>
      <c r="I194" s="26" t="s">
        <v>1146</v>
      </c>
      <c r="J194" s="27"/>
    </row>
    <row r="195">
      <c r="A195" s="25">
        <v>2.09221676E8</v>
      </c>
      <c r="B195" s="25" t="s">
        <v>1147</v>
      </c>
      <c r="C195" s="26">
        <v>37.0</v>
      </c>
      <c r="D195" s="25" t="s">
        <v>649</v>
      </c>
      <c r="E195" s="25" t="s">
        <v>661</v>
      </c>
      <c r="F195" s="25" t="s">
        <v>758</v>
      </c>
      <c r="G195" s="25" t="s">
        <v>663</v>
      </c>
      <c r="H195" s="26" t="s">
        <v>1148</v>
      </c>
      <c r="I195" s="26" t="s">
        <v>1149</v>
      </c>
      <c r="J195" s="28">
        <v>33426.0</v>
      </c>
    </row>
    <row r="196">
      <c r="A196" s="25">
        <v>2.09221682E8</v>
      </c>
      <c r="B196" s="25" t="s">
        <v>1150</v>
      </c>
      <c r="C196" s="26">
        <v>28.0</v>
      </c>
      <c r="D196" s="25" t="s">
        <v>649</v>
      </c>
      <c r="E196" s="25" t="s">
        <v>661</v>
      </c>
      <c r="F196" s="25" t="s">
        <v>678</v>
      </c>
      <c r="G196" s="25" t="s">
        <v>663</v>
      </c>
      <c r="H196" s="26" t="s">
        <v>1151</v>
      </c>
      <c r="I196" s="26" t="s">
        <v>1152</v>
      </c>
      <c r="J196" s="28">
        <v>35300.0</v>
      </c>
    </row>
    <row r="197">
      <c r="A197" s="25">
        <v>3.11200019E8</v>
      </c>
      <c r="B197" s="25" t="s">
        <v>1153</v>
      </c>
      <c r="C197" s="26">
        <v>33.0</v>
      </c>
      <c r="D197" s="25" t="s">
        <v>649</v>
      </c>
      <c r="E197" s="25" t="s">
        <v>681</v>
      </c>
      <c r="F197" s="25" t="s">
        <v>741</v>
      </c>
      <c r="G197" s="25" t="s">
        <v>675</v>
      </c>
      <c r="H197" s="30"/>
      <c r="I197" s="30"/>
      <c r="J197" s="27"/>
    </row>
    <row r="198">
      <c r="A198" s="25">
        <v>2.0921148E8</v>
      </c>
      <c r="B198" s="25" t="s">
        <v>1154</v>
      </c>
      <c r="C198" s="26">
        <v>47.0</v>
      </c>
      <c r="D198" s="25" t="s">
        <v>649</v>
      </c>
      <c r="E198" s="25" t="s">
        <v>661</v>
      </c>
      <c r="F198" s="25" t="s">
        <v>678</v>
      </c>
      <c r="G198" s="25" t="s">
        <v>663</v>
      </c>
      <c r="H198" s="26" t="s">
        <v>1155</v>
      </c>
      <c r="I198" s="26" t="s">
        <v>1155</v>
      </c>
      <c r="J198" s="28">
        <v>30017.0</v>
      </c>
    </row>
    <row r="199">
      <c r="A199" s="25">
        <v>1.04211374E8</v>
      </c>
      <c r="B199" s="25" t="s">
        <v>1156</v>
      </c>
      <c r="C199" s="26">
        <v>44.0</v>
      </c>
      <c r="D199" s="25" t="s">
        <v>649</v>
      </c>
      <c r="E199" s="25" t="s">
        <v>650</v>
      </c>
      <c r="F199" s="25" t="s">
        <v>818</v>
      </c>
      <c r="G199" s="25" t="s">
        <v>675</v>
      </c>
      <c r="H199" s="26" t="s">
        <v>1157</v>
      </c>
      <c r="I199" s="26" t="s">
        <v>1157</v>
      </c>
      <c r="J199" s="28">
        <v>32007.0</v>
      </c>
    </row>
    <row r="200">
      <c r="A200" s="25">
        <v>1.0820119E8</v>
      </c>
      <c r="B200" s="25" t="s">
        <v>1158</v>
      </c>
      <c r="C200" s="26">
        <v>28.0</v>
      </c>
      <c r="D200" s="25" t="s">
        <v>649</v>
      </c>
      <c r="E200" s="25" t="s">
        <v>650</v>
      </c>
      <c r="F200" s="25" t="s">
        <v>1159</v>
      </c>
      <c r="G200" s="25" t="s">
        <v>694</v>
      </c>
      <c r="H200" s="26" t="s">
        <v>1160</v>
      </c>
      <c r="I200" s="26" t="s">
        <v>1160</v>
      </c>
      <c r="J200" s="27"/>
    </row>
    <row r="201">
      <c r="A201" s="25">
        <v>2.09231838E8</v>
      </c>
      <c r="B201" s="25" t="s">
        <v>1161</v>
      </c>
      <c r="C201" s="26">
        <v>0.0</v>
      </c>
      <c r="D201" s="30"/>
      <c r="E201" s="25" t="s">
        <v>661</v>
      </c>
      <c r="F201" s="25" t="s">
        <v>758</v>
      </c>
      <c r="G201" s="25" t="s">
        <v>663</v>
      </c>
      <c r="H201" s="26" t="s">
        <v>1162</v>
      </c>
      <c r="I201" s="26" t="s">
        <v>1162</v>
      </c>
      <c r="J201" s="27"/>
    </row>
    <row r="202">
      <c r="A202" s="25">
        <v>2.03231742E8</v>
      </c>
      <c r="B202" s="25" t="s">
        <v>1163</v>
      </c>
      <c r="C202" s="26">
        <v>43.0</v>
      </c>
      <c r="D202" s="25" t="s">
        <v>649</v>
      </c>
      <c r="E202" s="25" t="s">
        <v>661</v>
      </c>
      <c r="F202" s="25" t="s">
        <v>794</v>
      </c>
      <c r="G202" s="25" t="s">
        <v>663</v>
      </c>
      <c r="H202" s="26" t="s">
        <v>1164</v>
      </c>
      <c r="I202" s="26" t="s">
        <v>1165</v>
      </c>
      <c r="J202" s="27"/>
    </row>
    <row r="203">
      <c r="A203" s="25">
        <v>3.10200012E8</v>
      </c>
      <c r="B203" s="25" t="s">
        <v>1166</v>
      </c>
      <c r="C203" s="26">
        <v>64.0</v>
      </c>
      <c r="D203" s="25" t="s">
        <v>698</v>
      </c>
      <c r="E203" s="25" t="s">
        <v>681</v>
      </c>
      <c r="F203" s="25" t="s">
        <v>1167</v>
      </c>
      <c r="G203" s="25" t="s">
        <v>1089</v>
      </c>
      <c r="H203" s="30"/>
      <c r="I203" s="30"/>
      <c r="J203" s="27"/>
    </row>
    <row r="204">
      <c r="A204" s="25">
        <v>1.09221698E8</v>
      </c>
      <c r="B204" s="25" t="s">
        <v>1168</v>
      </c>
      <c r="C204" s="26">
        <v>0.0</v>
      </c>
      <c r="D204" s="30"/>
      <c r="E204" s="25" t="s">
        <v>650</v>
      </c>
      <c r="F204" s="29" t="b">
        <v>0</v>
      </c>
      <c r="G204" s="25" t="s">
        <v>726</v>
      </c>
      <c r="H204" s="26" t="s">
        <v>1169</v>
      </c>
      <c r="I204" s="26" t="s">
        <v>1170</v>
      </c>
      <c r="J204" s="27"/>
    </row>
    <row r="205">
      <c r="A205" s="25">
        <v>1.06180899E8</v>
      </c>
      <c r="B205" s="25" t="s">
        <v>1171</v>
      </c>
      <c r="C205" s="26">
        <v>62.0</v>
      </c>
      <c r="D205" s="25" t="s">
        <v>649</v>
      </c>
      <c r="E205" s="25" t="s">
        <v>650</v>
      </c>
      <c r="F205" s="25" t="s">
        <v>818</v>
      </c>
      <c r="G205" s="25" t="s">
        <v>675</v>
      </c>
      <c r="H205" s="26" t="s">
        <v>1172</v>
      </c>
      <c r="I205" s="26" t="s">
        <v>1173</v>
      </c>
      <c r="J205" s="28">
        <v>26881.0</v>
      </c>
    </row>
    <row r="206">
      <c r="A206" s="25">
        <v>2.01190739E8</v>
      </c>
      <c r="B206" s="25" t="s">
        <v>1174</v>
      </c>
      <c r="C206" s="26">
        <v>39.0</v>
      </c>
      <c r="D206" s="25" t="s">
        <v>649</v>
      </c>
      <c r="E206" s="25" t="s">
        <v>661</v>
      </c>
      <c r="F206" s="25" t="s">
        <v>824</v>
      </c>
      <c r="G206" s="25" t="s">
        <v>652</v>
      </c>
      <c r="H206" s="26" t="s">
        <v>1175</v>
      </c>
      <c r="I206" s="26" t="s">
        <v>1175</v>
      </c>
      <c r="J206" s="28">
        <v>31778.0</v>
      </c>
    </row>
    <row r="207">
      <c r="A207" s="25">
        <v>2.02241889E8</v>
      </c>
      <c r="B207" s="25" t="s">
        <v>1176</v>
      </c>
      <c r="C207" s="26">
        <v>30.0</v>
      </c>
      <c r="D207" s="25" t="s">
        <v>649</v>
      </c>
      <c r="E207" s="25" t="s">
        <v>661</v>
      </c>
      <c r="F207" s="25" t="s">
        <v>719</v>
      </c>
      <c r="G207" s="25" t="s">
        <v>668</v>
      </c>
      <c r="H207" s="30"/>
      <c r="I207" s="30"/>
      <c r="J207" s="27"/>
    </row>
    <row r="208">
      <c r="A208" s="25">
        <v>2.12221711E8</v>
      </c>
      <c r="B208" s="25" t="s">
        <v>1176</v>
      </c>
      <c r="C208" s="26">
        <v>33.0</v>
      </c>
      <c r="D208" s="25" t="s">
        <v>649</v>
      </c>
      <c r="E208" s="25" t="s">
        <v>661</v>
      </c>
      <c r="F208" s="25" t="s">
        <v>794</v>
      </c>
      <c r="G208" s="25" t="s">
        <v>663</v>
      </c>
      <c r="H208" s="26" t="s">
        <v>1177</v>
      </c>
      <c r="I208" s="26" t="s">
        <v>1177</v>
      </c>
      <c r="J208" s="28">
        <v>34031.0</v>
      </c>
    </row>
    <row r="209">
      <c r="A209" s="25">
        <v>2.08201174E8</v>
      </c>
      <c r="B209" s="25" t="s">
        <v>1178</v>
      </c>
      <c r="C209" s="26">
        <v>36.0</v>
      </c>
      <c r="D209" s="25" t="s">
        <v>649</v>
      </c>
      <c r="E209" s="25" t="s">
        <v>661</v>
      </c>
      <c r="F209" s="25" t="s">
        <v>678</v>
      </c>
      <c r="G209" s="25" t="s">
        <v>663</v>
      </c>
      <c r="H209" s="26" t="s">
        <v>1179</v>
      </c>
      <c r="I209" s="26" t="s">
        <v>1179</v>
      </c>
      <c r="J209" s="28">
        <v>34856.0</v>
      </c>
    </row>
    <row r="210">
      <c r="A210" s="25">
        <v>2.10211514E8</v>
      </c>
      <c r="B210" s="25" t="s">
        <v>1180</v>
      </c>
      <c r="C210" s="26">
        <v>22.0</v>
      </c>
      <c r="D210" s="25" t="s">
        <v>655</v>
      </c>
      <c r="E210" s="25" t="s">
        <v>661</v>
      </c>
      <c r="F210" s="25" t="s">
        <v>687</v>
      </c>
      <c r="G210" s="25" t="s">
        <v>675</v>
      </c>
      <c r="H210" s="26" t="s">
        <v>1181</v>
      </c>
      <c r="I210" s="26" t="s">
        <v>1181</v>
      </c>
      <c r="J210" s="27"/>
    </row>
    <row r="211">
      <c r="A211" s="25">
        <v>2.12231859E8</v>
      </c>
      <c r="B211" s="25" t="s">
        <v>1182</v>
      </c>
      <c r="C211" s="26">
        <v>0.0</v>
      </c>
      <c r="D211" s="30"/>
      <c r="E211" s="25" t="s">
        <v>661</v>
      </c>
      <c r="F211" s="25" t="s">
        <v>1183</v>
      </c>
      <c r="G211" s="29" t="b">
        <v>0</v>
      </c>
      <c r="H211" s="26" t="s">
        <v>1184</v>
      </c>
      <c r="I211" s="26" t="s">
        <v>1185</v>
      </c>
      <c r="J211" s="28">
        <v>35614.0</v>
      </c>
    </row>
    <row r="212">
      <c r="A212" s="30"/>
      <c r="B212" s="25" t="s">
        <v>1182</v>
      </c>
      <c r="C212" s="26">
        <v>0.0</v>
      </c>
      <c r="D212" s="30"/>
      <c r="E212" s="25" t="s">
        <v>650</v>
      </c>
      <c r="F212" s="29" t="b">
        <v>0</v>
      </c>
      <c r="G212" s="29" t="b">
        <v>0</v>
      </c>
      <c r="H212" s="30"/>
      <c r="I212" s="30"/>
      <c r="J212" s="27"/>
    </row>
    <row r="213">
      <c r="A213" s="25">
        <v>2.08201202E8</v>
      </c>
      <c r="B213" s="25" t="s">
        <v>1186</v>
      </c>
      <c r="C213" s="26">
        <v>40.0</v>
      </c>
      <c r="D213" s="25" t="s">
        <v>649</v>
      </c>
      <c r="E213" s="25" t="s">
        <v>661</v>
      </c>
      <c r="F213" s="25" t="s">
        <v>678</v>
      </c>
      <c r="G213" s="25" t="s">
        <v>663</v>
      </c>
      <c r="H213" s="26" t="s">
        <v>1187</v>
      </c>
      <c r="I213" s="26" t="s">
        <v>1188</v>
      </c>
      <c r="J213" s="28">
        <v>32372.0</v>
      </c>
    </row>
    <row r="214">
      <c r="A214" s="25">
        <v>1.07211446E8</v>
      </c>
      <c r="B214" s="25" t="s">
        <v>1189</v>
      </c>
      <c r="C214" s="26">
        <v>23.0</v>
      </c>
      <c r="D214" s="25" t="s">
        <v>649</v>
      </c>
      <c r="E214" s="25" t="s">
        <v>650</v>
      </c>
      <c r="F214" s="25" t="s">
        <v>719</v>
      </c>
      <c r="G214" s="25" t="s">
        <v>668</v>
      </c>
      <c r="H214" s="26" t="s">
        <v>1190</v>
      </c>
      <c r="I214" s="26" t="s">
        <v>1190</v>
      </c>
      <c r="J214" s="27"/>
    </row>
    <row r="215">
      <c r="A215" s="25">
        <v>1.01211324E8</v>
      </c>
      <c r="B215" s="25" t="s">
        <v>1191</v>
      </c>
      <c r="C215" s="26">
        <v>44.0</v>
      </c>
      <c r="D215" s="25" t="s">
        <v>698</v>
      </c>
      <c r="E215" s="25" t="s">
        <v>650</v>
      </c>
      <c r="F215" s="25" t="s">
        <v>1142</v>
      </c>
      <c r="G215" s="25" t="s">
        <v>657</v>
      </c>
      <c r="H215" s="26" t="s">
        <v>1192</v>
      </c>
      <c r="I215" s="26" t="s">
        <v>1193</v>
      </c>
      <c r="J215" s="28">
        <v>24946.0</v>
      </c>
    </row>
    <row r="216">
      <c r="A216" s="25">
        <v>2.09231832E8</v>
      </c>
      <c r="B216" s="25" t="s">
        <v>1191</v>
      </c>
      <c r="C216" s="26">
        <v>0.0</v>
      </c>
      <c r="D216" s="25" t="s">
        <v>649</v>
      </c>
      <c r="E216" s="25" t="s">
        <v>661</v>
      </c>
      <c r="F216" s="25" t="s">
        <v>758</v>
      </c>
      <c r="G216" s="25" t="s">
        <v>663</v>
      </c>
      <c r="H216" s="26" t="s">
        <v>1194</v>
      </c>
      <c r="I216" s="26" t="s">
        <v>1195</v>
      </c>
      <c r="J216" s="27"/>
    </row>
    <row r="217">
      <c r="A217" s="25">
        <v>2.09201233E8</v>
      </c>
      <c r="B217" s="25" t="s">
        <v>1196</v>
      </c>
      <c r="C217" s="26">
        <v>35.0</v>
      </c>
      <c r="D217" s="25" t="s">
        <v>698</v>
      </c>
      <c r="E217" s="25" t="s">
        <v>661</v>
      </c>
      <c r="F217" s="25" t="s">
        <v>678</v>
      </c>
      <c r="G217" s="25" t="s">
        <v>663</v>
      </c>
      <c r="H217" s="26" t="s">
        <v>1197</v>
      </c>
      <c r="I217" s="26" t="s">
        <v>1198</v>
      </c>
      <c r="J217" s="28">
        <v>33380.0</v>
      </c>
    </row>
    <row r="218">
      <c r="A218" s="25">
        <v>1.02199007E8</v>
      </c>
      <c r="B218" s="25" t="s">
        <v>1199</v>
      </c>
      <c r="C218" s="26">
        <v>0.0</v>
      </c>
      <c r="D218" s="30"/>
      <c r="E218" s="25" t="s">
        <v>650</v>
      </c>
      <c r="F218" s="29" t="b">
        <v>0</v>
      </c>
      <c r="G218" s="25" t="s">
        <v>765</v>
      </c>
      <c r="H218" s="30"/>
      <c r="I218" s="30"/>
      <c r="J218" s="27"/>
    </row>
    <row r="219">
      <c r="A219" s="25">
        <v>2.11221704E8</v>
      </c>
      <c r="B219" s="25" t="s">
        <v>1200</v>
      </c>
      <c r="C219" s="26">
        <v>30.0</v>
      </c>
      <c r="D219" s="25" t="s">
        <v>655</v>
      </c>
      <c r="E219" s="25" t="s">
        <v>661</v>
      </c>
      <c r="F219" s="25" t="s">
        <v>710</v>
      </c>
      <c r="G219" s="25" t="s">
        <v>668</v>
      </c>
      <c r="H219" s="26" t="s">
        <v>1201</v>
      </c>
      <c r="I219" s="26" t="s">
        <v>1202</v>
      </c>
      <c r="J219" s="28">
        <v>34852.0</v>
      </c>
    </row>
    <row r="220">
      <c r="A220" s="25">
        <v>2.10201255E8</v>
      </c>
      <c r="B220" s="25" t="s">
        <v>1203</v>
      </c>
      <c r="C220" s="26">
        <v>36.0</v>
      </c>
      <c r="D220" s="25" t="s">
        <v>655</v>
      </c>
      <c r="E220" s="25" t="s">
        <v>661</v>
      </c>
      <c r="F220" s="25" t="s">
        <v>741</v>
      </c>
      <c r="G220" s="25" t="s">
        <v>675</v>
      </c>
      <c r="H220" s="26" t="s">
        <v>1204</v>
      </c>
      <c r="I220" s="26" t="s">
        <v>1204</v>
      </c>
      <c r="J220" s="28">
        <v>32607.0</v>
      </c>
    </row>
    <row r="221">
      <c r="A221" s="25">
        <v>2.03231741E8</v>
      </c>
      <c r="B221" s="25" t="s">
        <v>1205</v>
      </c>
      <c r="C221" s="26">
        <v>25.0</v>
      </c>
      <c r="D221" s="25" t="s">
        <v>649</v>
      </c>
      <c r="E221" s="25" t="s">
        <v>661</v>
      </c>
      <c r="F221" s="25" t="s">
        <v>794</v>
      </c>
      <c r="G221" s="25" t="s">
        <v>663</v>
      </c>
      <c r="H221" s="26" t="s">
        <v>1206</v>
      </c>
      <c r="I221" s="26" t="s">
        <v>1207</v>
      </c>
      <c r="J221" s="28">
        <v>36393.0</v>
      </c>
    </row>
    <row r="222">
      <c r="A222" s="25">
        <v>1.03190794E8</v>
      </c>
      <c r="B222" s="25" t="s">
        <v>1208</v>
      </c>
      <c r="C222" s="26">
        <v>27.0</v>
      </c>
      <c r="D222" s="25" t="s">
        <v>698</v>
      </c>
      <c r="E222" s="25" t="s">
        <v>650</v>
      </c>
      <c r="F222" s="25" t="s">
        <v>758</v>
      </c>
      <c r="G222" s="25" t="s">
        <v>663</v>
      </c>
      <c r="H222" s="26" t="s">
        <v>1209</v>
      </c>
      <c r="I222" s="26" t="s">
        <v>1209</v>
      </c>
      <c r="J222" s="27"/>
    </row>
    <row r="223">
      <c r="A223" s="25">
        <v>1.0317011E8</v>
      </c>
      <c r="B223" s="25" t="s">
        <v>1210</v>
      </c>
      <c r="C223" s="26">
        <v>27.0</v>
      </c>
      <c r="D223" s="25" t="s">
        <v>698</v>
      </c>
      <c r="E223" s="25" t="s">
        <v>650</v>
      </c>
      <c r="F223" s="25" t="s">
        <v>833</v>
      </c>
      <c r="G223" s="25" t="s">
        <v>726</v>
      </c>
      <c r="H223" s="26" t="s">
        <v>1211</v>
      </c>
      <c r="I223" s="26" t="s">
        <v>1212</v>
      </c>
      <c r="J223" s="27"/>
    </row>
    <row r="224">
      <c r="A224" s="25">
        <v>1.08180517E8</v>
      </c>
      <c r="B224" s="25" t="s">
        <v>1213</v>
      </c>
      <c r="C224" s="26">
        <v>55.0</v>
      </c>
      <c r="D224" s="25" t="s">
        <v>698</v>
      </c>
      <c r="E224" s="25" t="s">
        <v>650</v>
      </c>
      <c r="F224" s="25" t="s">
        <v>1214</v>
      </c>
      <c r="G224" s="25" t="s">
        <v>668</v>
      </c>
      <c r="H224" s="26" t="s">
        <v>1215</v>
      </c>
      <c r="I224" s="26" t="s">
        <v>1215</v>
      </c>
      <c r="J224" s="27"/>
    </row>
    <row r="225">
      <c r="A225" s="25">
        <v>2.02241886E8</v>
      </c>
      <c r="B225" s="25" t="s">
        <v>1216</v>
      </c>
      <c r="C225" s="26">
        <v>0.0</v>
      </c>
      <c r="D225" s="30"/>
      <c r="E225" s="25" t="s">
        <v>661</v>
      </c>
      <c r="F225" s="25" t="s">
        <v>777</v>
      </c>
      <c r="G225" s="25" t="s">
        <v>726</v>
      </c>
      <c r="H225" s="26" t="s">
        <v>1217</v>
      </c>
      <c r="I225" s="26" t="s">
        <v>1218</v>
      </c>
      <c r="J225" s="27"/>
    </row>
    <row r="226">
      <c r="A226" s="25">
        <v>3.06200002E8</v>
      </c>
      <c r="B226" s="25" t="s">
        <v>1219</v>
      </c>
      <c r="C226" s="26">
        <v>45.0</v>
      </c>
      <c r="D226" s="25" t="s">
        <v>698</v>
      </c>
      <c r="E226" s="25" t="s">
        <v>681</v>
      </c>
      <c r="F226" s="25" t="s">
        <v>821</v>
      </c>
      <c r="G226" s="25" t="s">
        <v>663</v>
      </c>
      <c r="H226" s="27"/>
      <c r="I226" s="27"/>
      <c r="J226" s="27"/>
    </row>
    <row r="227">
      <c r="A227" s="25">
        <v>2.09211491E8</v>
      </c>
      <c r="B227" s="25" t="s">
        <v>1220</v>
      </c>
      <c r="C227" s="26">
        <v>24.0</v>
      </c>
      <c r="D227" s="25" t="s">
        <v>702</v>
      </c>
      <c r="E227" s="25" t="s">
        <v>661</v>
      </c>
      <c r="F227" s="25" t="s">
        <v>818</v>
      </c>
      <c r="G227" s="25" t="s">
        <v>675</v>
      </c>
      <c r="H227" s="26" t="s">
        <v>1221</v>
      </c>
      <c r="I227" s="26" t="s">
        <v>1221</v>
      </c>
      <c r="J227" s="27"/>
    </row>
    <row r="228">
      <c r="A228" s="25" t="s">
        <v>1222</v>
      </c>
      <c r="B228" s="25" t="s">
        <v>1223</v>
      </c>
      <c r="C228" s="26">
        <v>0.0</v>
      </c>
      <c r="D228" s="30"/>
      <c r="E228" s="25" t="s">
        <v>650</v>
      </c>
      <c r="F228" s="25" t="s">
        <v>1224</v>
      </c>
      <c r="G228" s="25" t="s">
        <v>765</v>
      </c>
      <c r="H228" s="30"/>
      <c r="I228" s="30"/>
      <c r="J228" s="27"/>
    </row>
    <row r="229">
      <c r="A229" s="25">
        <v>2.12201312E8</v>
      </c>
      <c r="B229" s="25" t="s">
        <v>1225</v>
      </c>
      <c r="C229" s="26">
        <v>47.0</v>
      </c>
      <c r="D229" s="25" t="s">
        <v>702</v>
      </c>
      <c r="E229" s="25" t="s">
        <v>661</v>
      </c>
      <c r="F229" s="25" t="s">
        <v>678</v>
      </c>
      <c r="G229" s="25" t="s">
        <v>663</v>
      </c>
      <c r="H229" s="26" t="s">
        <v>1226</v>
      </c>
      <c r="I229" s="26" t="s">
        <v>1227</v>
      </c>
      <c r="J229" s="28">
        <v>29053.0</v>
      </c>
    </row>
    <row r="230">
      <c r="A230" s="25">
        <v>1.07180499E8</v>
      </c>
      <c r="B230" s="25" t="s">
        <v>1228</v>
      </c>
      <c r="C230" s="26">
        <v>46.0</v>
      </c>
      <c r="D230" s="25" t="s">
        <v>649</v>
      </c>
      <c r="E230" s="25" t="s">
        <v>650</v>
      </c>
      <c r="F230" s="25" t="s">
        <v>678</v>
      </c>
      <c r="G230" s="25" t="s">
        <v>663</v>
      </c>
      <c r="H230" s="26" t="s">
        <v>1229</v>
      </c>
      <c r="I230" s="26" t="s">
        <v>1230</v>
      </c>
      <c r="J230" s="28">
        <v>29007.0</v>
      </c>
    </row>
    <row r="231">
      <c r="A231" s="25">
        <v>1.05190112E8</v>
      </c>
      <c r="B231" s="25" t="s">
        <v>1231</v>
      </c>
      <c r="C231" s="26">
        <v>31.0</v>
      </c>
      <c r="D231" s="25" t="s">
        <v>649</v>
      </c>
      <c r="E231" s="25" t="s">
        <v>650</v>
      </c>
      <c r="F231" s="25" t="s">
        <v>678</v>
      </c>
      <c r="G231" s="25" t="s">
        <v>663</v>
      </c>
      <c r="H231" s="26" t="s">
        <v>1232</v>
      </c>
      <c r="I231" s="26" t="s">
        <v>1232</v>
      </c>
      <c r="J231" s="28">
        <v>34010.0</v>
      </c>
    </row>
    <row r="232">
      <c r="A232" s="25">
        <v>2.06221649E8</v>
      </c>
      <c r="B232" s="25" t="s">
        <v>1233</v>
      </c>
      <c r="C232" s="26">
        <v>37.0</v>
      </c>
      <c r="D232" s="25" t="s">
        <v>649</v>
      </c>
      <c r="E232" s="25" t="s">
        <v>661</v>
      </c>
      <c r="F232" s="25" t="s">
        <v>794</v>
      </c>
      <c r="G232" s="25" t="s">
        <v>663</v>
      </c>
      <c r="H232" s="26" t="s">
        <v>1234</v>
      </c>
      <c r="I232" s="26" t="s">
        <v>1235</v>
      </c>
      <c r="J232" s="28">
        <v>29279.0</v>
      </c>
    </row>
    <row r="233">
      <c r="A233" s="25">
        <v>2.0621144E8</v>
      </c>
      <c r="B233" s="25" t="s">
        <v>1236</v>
      </c>
      <c r="C233" s="26">
        <v>33.0</v>
      </c>
      <c r="D233" s="25" t="s">
        <v>655</v>
      </c>
      <c r="E233" s="25" t="s">
        <v>661</v>
      </c>
      <c r="F233" s="25" t="s">
        <v>772</v>
      </c>
      <c r="G233" s="25" t="s">
        <v>668</v>
      </c>
      <c r="H233" s="26" t="s">
        <v>1237</v>
      </c>
      <c r="I233" s="26" t="s">
        <v>1238</v>
      </c>
      <c r="J233" s="27"/>
    </row>
    <row r="234">
      <c r="A234" s="25">
        <v>2.09231839E8</v>
      </c>
      <c r="B234" s="25" t="s">
        <v>1239</v>
      </c>
      <c r="C234" s="26">
        <v>0.0</v>
      </c>
      <c r="D234" s="30"/>
      <c r="E234" s="25" t="s">
        <v>661</v>
      </c>
      <c r="F234" s="25" t="s">
        <v>758</v>
      </c>
      <c r="G234" s="25" t="s">
        <v>663</v>
      </c>
      <c r="H234" s="26" t="s">
        <v>1240</v>
      </c>
      <c r="I234" s="26" t="s">
        <v>1241</v>
      </c>
      <c r="J234" s="28">
        <v>31270.0</v>
      </c>
    </row>
    <row r="235">
      <c r="A235" s="25">
        <v>2.08221665E8</v>
      </c>
      <c r="B235" s="25" t="s">
        <v>1242</v>
      </c>
      <c r="C235" s="26">
        <v>24.0</v>
      </c>
      <c r="D235" s="25" t="s">
        <v>649</v>
      </c>
      <c r="E235" s="25" t="s">
        <v>661</v>
      </c>
      <c r="F235" s="25" t="s">
        <v>719</v>
      </c>
      <c r="G235" s="25" t="s">
        <v>668</v>
      </c>
      <c r="H235" s="26" t="s">
        <v>1243</v>
      </c>
      <c r="I235" s="26" t="s">
        <v>1243</v>
      </c>
      <c r="J235" s="27"/>
    </row>
    <row r="236">
      <c r="A236" s="25">
        <v>2.04241908E8</v>
      </c>
      <c r="B236" s="25" t="s">
        <v>1244</v>
      </c>
      <c r="C236" s="26">
        <v>19.0</v>
      </c>
      <c r="D236" s="25" t="s">
        <v>698</v>
      </c>
      <c r="E236" s="25" t="s">
        <v>661</v>
      </c>
      <c r="F236" s="25" t="s">
        <v>1245</v>
      </c>
      <c r="G236" s="25" t="s">
        <v>668</v>
      </c>
      <c r="H236" s="27"/>
      <c r="I236" s="27"/>
      <c r="J236" s="27"/>
    </row>
    <row r="237">
      <c r="A237" s="25">
        <v>2.05221631E8</v>
      </c>
      <c r="B237" s="25" t="s">
        <v>1246</v>
      </c>
      <c r="C237" s="26">
        <v>24.0</v>
      </c>
      <c r="D237" s="25" t="s">
        <v>649</v>
      </c>
      <c r="E237" s="25" t="s">
        <v>661</v>
      </c>
      <c r="F237" s="25" t="s">
        <v>678</v>
      </c>
      <c r="G237" s="25" t="s">
        <v>663</v>
      </c>
      <c r="H237" s="26" t="s">
        <v>1247</v>
      </c>
      <c r="I237" s="26" t="s">
        <v>1247</v>
      </c>
      <c r="J237" s="27"/>
    </row>
    <row r="238">
      <c r="A238" s="25">
        <v>1.04150117E8</v>
      </c>
      <c r="B238" s="25" t="s">
        <v>1248</v>
      </c>
      <c r="C238" s="26">
        <v>34.0</v>
      </c>
      <c r="D238" s="25" t="s">
        <v>698</v>
      </c>
      <c r="E238" s="25" t="s">
        <v>650</v>
      </c>
      <c r="F238" s="25" t="s">
        <v>1249</v>
      </c>
      <c r="G238" s="25" t="s">
        <v>668</v>
      </c>
      <c r="H238" s="27"/>
      <c r="I238" s="27"/>
      <c r="J238" s="27"/>
    </row>
    <row r="239">
      <c r="A239" s="25">
        <v>2.05241918E8</v>
      </c>
      <c r="B239" s="25" t="s">
        <v>1250</v>
      </c>
      <c r="C239" s="26">
        <v>0.0</v>
      </c>
      <c r="D239" s="27"/>
      <c r="E239" s="25" t="s">
        <v>661</v>
      </c>
      <c r="F239" s="25" t="s">
        <v>662</v>
      </c>
      <c r="G239" s="25" t="s">
        <v>663</v>
      </c>
      <c r="H239" s="30"/>
      <c r="I239" s="30"/>
      <c r="J239" s="27"/>
    </row>
    <row r="240">
      <c r="A240" s="25">
        <v>2.02241882E8</v>
      </c>
      <c r="B240" s="25" t="s">
        <v>1251</v>
      </c>
      <c r="C240" s="26">
        <v>0.0</v>
      </c>
      <c r="D240" s="30"/>
      <c r="E240" s="25" t="s">
        <v>661</v>
      </c>
      <c r="F240" s="25" t="s">
        <v>956</v>
      </c>
      <c r="G240" s="25" t="s">
        <v>668</v>
      </c>
      <c r="H240" s="30"/>
      <c r="I240" s="30"/>
      <c r="J240" s="27"/>
    </row>
    <row r="241">
      <c r="A241" s="25">
        <v>2.08231821E8</v>
      </c>
      <c r="B241" s="25" t="s">
        <v>1252</v>
      </c>
      <c r="C241" s="26">
        <v>0.0</v>
      </c>
      <c r="D241" s="30"/>
      <c r="E241" s="25" t="s">
        <v>661</v>
      </c>
      <c r="F241" s="25" t="s">
        <v>1245</v>
      </c>
      <c r="G241" s="25" t="s">
        <v>668</v>
      </c>
      <c r="H241" s="26" t="s">
        <v>1253</v>
      </c>
      <c r="I241" s="26" t="s">
        <v>1253</v>
      </c>
      <c r="J241" s="27"/>
    </row>
    <row r="242">
      <c r="A242" s="25">
        <v>1.10211501E8</v>
      </c>
      <c r="B242" s="25" t="s">
        <v>1254</v>
      </c>
      <c r="C242" s="26">
        <v>27.0</v>
      </c>
      <c r="D242" s="25" t="s">
        <v>649</v>
      </c>
      <c r="E242" s="25" t="s">
        <v>650</v>
      </c>
      <c r="F242" s="25" t="s">
        <v>833</v>
      </c>
      <c r="G242" s="25" t="s">
        <v>726</v>
      </c>
      <c r="H242" s="26" t="s">
        <v>1255</v>
      </c>
      <c r="I242" s="26" t="s">
        <v>1256</v>
      </c>
      <c r="J242" s="27"/>
    </row>
    <row r="243">
      <c r="A243" s="25">
        <v>1.06160119E8</v>
      </c>
      <c r="B243" s="25" t="s">
        <v>1257</v>
      </c>
      <c r="C243" s="26">
        <v>37.0</v>
      </c>
      <c r="D243" s="25" t="s">
        <v>698</v>
      </c>
      <c r="E243" s="25" t="s">
        <v>650</v>
      </c>
      <c r="F243" s="25" t="s">
        <v>1258</v>
      </c>
      <c r="G243" s="25" t="s">
        <v>675</v>
      </c>
      <c r="H243" s="26" t="s">
        <v>1259</v>
      </c>
      <c r="I243" s="26" t="s">
        <v>1260</v>
      </c>
      <c r="J243" s="27"/>
    </row>
    <row r="244">
      <c r="A244" s="25">
        <v>2.03241893E8</v>
      </c>
      <c r="B244" s="25" t="s">
        <v>1261</v>
      </c>
      <c r="C244" s="26">
        <v>0.0</v>
      </c>
      <c r="D244" s="30"/>
      <c r="E244" s="25" t="s">
        <v>661</v>
      </c>
      <c r="F244" s="25" t="s">
        <v>715</v>
      </c>
      <c r="G244" s="25" t="s">
        <v>663</v>
      </c>
      <c r="H244" s="26" t="s">
        <v>1262</v>
      </c>
      <c r="I244" s="26" t="s">
        <v>1263</v>
      </c>
      <c r="J244" s="27"/>
    </row>
    <row r="245">
      <c r="A245" s="25">
        <v>2.09191093E8</v>
      </c>
      <c r="B245" s="25" t="s">
        <v>1264</v>
      </c>
      <c r="C245" s="26">
        <v>49.0</v>
      </c>
      <c r="D245" s="25" t="s">
        <v>649</v>
      </c>
      <c r="E245" s="25" t="s">
        <v>661</v>
      </c>
      <c r="F245" s="25" t="s">
        <v>818</v>
      </c>
      <c r="G245" s="25" t="s">
        <v>675</v>
      </c>
      <c r="H245" s="26" t="s">
        <v>1265</v>
      </c>
      <c r="I245" s="26" t="s">
        <v>1265</v>
      </c>
      <c r="J245" s="27"/>
    </row>
    <row r="246">
      <c r="A246" s="25">
        <v>2.06231788E8</v>
      </c>
      <c r="B246" s="25" t="s">
        <v>1266</v>
      </c>
      <c r="C246" s="26">
        <v>26.0</v>
      </c>
      <c r="D246" s="25" t="s">
        <v>649</v>
      </c>
      <c r="E246" s="25" t="s">
        <v>661</v>
      </c>
      <c r="F246" s="25" t="s">
        <v>1267</v>
      </c>
      <c r="G246" s="25" t="s">
        <v>663</v>
      </c>
      <c r="H246" s="26" t="s">
        <v>1268</v>
      </c>
      <c r="I246" s="26" t="s">
        <v>1269</v>
      </c>
      <c r="J246" s="27"/>
    </row>
    <row r="247">
      <c r="A247" s="25">
        <v>3.06210075E8</v>
      </c>
      <c r="B247" s="25" t="s">
        <v>1270</v>
      </c>
      <c r="C247" s="26">
        <v>21.0</v>
      </c>
      <c r="D247" s="25" t="s">
        <v>649</v>
      </c>
      <c r="E247" s="25" t="s">
        <v>681</v>
      </c>
      <c r="F247" s="25" t="s">
        <v>733</v>
      </c>
      <c r="G247" s="25" t="s">
        <v>652</v>
      </c>
      <c r="H247" s="26" t="s">
        <v>1271</v>
      </c>
      <c r="I247" s="26" t="s">
        <v>1271</v>
      </c>
      <c r="J247" s="27"/>
    </row>
    <row r="248">
      <c r="A248" s="25">
        <v>2.11211539E8</v>
      </c>
      <c r="B248" s="25" t="s">
        <v>1272</v>
      </c>
      <c r="C248" s="26">
        <v>26.0</v>
      </c>
      <c r="D248" s="25" t="s">
        <v>649</v>
      </c>
      <c r="E248" s="25" t="s">
        <v>661</v>
      </c>
      <c r="F248" s="25" t="s">
        <v>1273</v>
      </c>
      <c r="G248" s="25" t="s">
        <v>652</v>
      </c>
      <c r="H248" s="26" t="s">
        <v>1274</v>
      </c>
      <c r="I248" s="26" t="s">
        <v>1275</v>
      </c>
      <c r="J248" s="27"/>
    </row>
    <row r="249">
      <c r="A249" s="25">
        <v>1.04211375E8</v>
      </c>
      <c r="B249" s="25" t="s">
        <v>1276</v>
      </c>
      <c r="C249" s="26">
        <v>37.0</v>
      </c>
      <c r="D249" s="25" t="s">
        <v>649</v>
      </c>
      <c r="E249" s="25" t="s">
        <v>650</v>
      </c>
      <c r="F249" s="25" t="s">
        <v>741</v>
      </c>
      <c r="G249" s="25" t="s">
        <v>675</v>
      </c>
      <c r="H249" s="26" t="s">
        <v>1277</v>
      </c>
      <c r="I249" s="26" t="s">
        <v>1277</v>
      </c>
      <c r="J249" s="28">
        <v>33156.0</v>
      </c>
    </row>
    <row r="250">
      <c r="A250" s="25">
        <v>1.12231867E8</v>
      </c>
      <c r="B250" s="25" t="s">
        <v>1278</v>
      </c>
      <c r="C250" s="26">
        <v>0.0</v>
      </c>
      <c r="D250" s="30"/>
      <c r="E250" s="25" t="s">
        <v>650</v>
      </c>
      <c r="F250" s="25" t="s">
        <v>1159</v>
      </c>
      <c r="G250" s="25" t="s">
        <v>694</v>
      </c>
      <c r="H250" s="30"/>
      <c r="I250" s="30"/>
      <c r="J250" s="27"/>
    </row>
    <row r="251">
      <c r="A251" s="25">
        <v>1.12231861E8</v>
      </c>
      <c r="B251" s="25" t="s">
        <v>1279</v>
      </c>
      <c r="C251" s="26">
        <v>0.0</v>
      </c>
      <c r="D251" s="30"/>
      <c r="E251" s="25" t="s">
        <v>650</v>
      </c>
      <c r="F251" s="25" t="s">
        <v>758</v>
      </c>
      <c r="G251" s="25" t="s">
        <v>663</v>
      </c>
      <c r="H251" s="26" t="s">
        <v>1280</v>
      </c>
      <c r="I251" s="26" t="s">
        <v>1281</v>
      </c>
      <c r="J251" s="27"/>
    </row>
    <row r="252">
      <c r="A252" s="25">
        <v>2.12221713E8</v>
      </c>
      <c r="B252" s="25" t="s">
        <v>1282</v>
      </c>
      <c r="C252" s="26">
        <v>35.0</v>
      </c>
      <c r="D252" s="25" t="s">
        <v>649</v>
      </c>
      <c r="E252" s="25" t="s">
        <v>661</v>
      </c>
      <c r="F252" s="25" t="s">
        <v>794</v>
      </c>
      <c r="G252" s="25" t="s">
        <v>663</v>
      </c>
      <c r="H252" s="26" t="s">
        <v>1283</v>
      </c>
      <c r="I252" s="26" t="s">
        <v>1283</v>
      </c>
      <c r="J252" s="28">
        <v>34499.0</v>
      </c>
    </row>
    <row r="253">
      <c r="A253" s="25">
        <v>2.10221691E8</v>
      </c>
      <c r="B253" s="25" t="s">
        <v>1284</v>
      </c>
      <c r="C253" s="26">
        <v>20.0</v>
      </c>
      <c r="D253" s="25" t="s">
        <v>649</v>
      </c>
      <c r="E253" s="25" t="s">
        <v>661</v>
      </c>
      <c r="F253" s="25" t="s">
        <v>719</v>
      </c>
      <c r="G253" s="25" t="s">
        <v>668</v>
      </c>
      <c r="H253" s="26" t="s">
        <v>1285</v>
      </c>
      <c r="I253" s="26" t="s">
        <v>1286</v>
      </c>
      <c r="J253" s="27"/>
    </row>
    <row r="254">
      <c r="A254" s="25">
        <v>2.0821147E8</v>
      </c>
      <c r="B254" s="25" t="s">
        <v>1284</v>
      </c>
      <c r="C254" s="26">
        <v>52.0</v>
      </c>
      <c r="D254" s="25" t="s">
        <v>649</v>
      </c>
      <c r="E254" s="25" t="s">
        <v>661</v>
      </c>
      <c r="F254" s="25" t="s">
        <v>1287</v>
      </c>
      <c r="G254" s="25" t="s">
        <v>675</v>
      </c>
      <c r="H254" s="26" t="s">
        <v>1288</v>
      </c>
      <c r="I254" s="26" t="s">
        <v>1289</v>
      </c>
      <c r="J254" s="28">
        <v>23454.0</v>
      </c>
    </row>
    <row r="255">
      <c r="A255" s="25">
        <v>1.0823182E8</v>
      </c>
      <c r="B255" s="25" t="s">
        <v>1284</v>
      </c>
      <c r="C255" s="26">
        <v>30.0</v>
      </c>
      <c r="D255" s="25" t="s">
        <v>649</v>
      </c>
      <c r="E255" s="25" t="s">
        <v>650</v>
      </c>
      <c r="F255" s="25" t="s">
        <v>824</v>
      </c>
      <c r="G255" s="25" t="s">
        <v>652</v>
      </c>
      <c r="H255" s="26" t="s">
        <v>1290</v>
      </c>
      <c r="I255" s="26" t="s">
        <v>1290</v>
      </c>
      <c r="J255" s="27"/>
    </row>
    <row r="256">
      <c r="A256" s="25">
        <v>1.08191041E8</v>
      </c>
      <c r="B256" s="25" t="s">
        <v>1284</v>
      </c>
      <c r="C256" s="26">
        <v>37.0</v>
      </c>
      <c r="D256" s="25" t="s">
        <v>649</v>
      </c>
      <c r="E256" s="25" t="s">
        <v>650</v>
      </c>
      <c r="F256" s="25" t="s">
        <v>678</v>
      </c>
      <c r="G256" s="25" t="s">
        <v>663</v>
      </c>
      <c r="H256" s="26" t="s">
        <v>1291</v>
      </c>
      <c r="I256" s="26" t="s">
        <v>1292</v>
      </c>
      <c r="J256" s="28">
        <v>36015.0</v>
      </c>
    </row>
    <row r="257">
      <c r="A257" s="25">
        <v>1.07201166E8</v>
      </c>
      <c r="B257" s="25" t="s">
        <v>1293</v>
      </c>
      <c r="C257" s="26">
        <v>40.0</v>
      </c>
      <c r="D257" s="25" t="s">
        <v>649</v>
      </c>
      <c r="E257" s="25" t="s">
        <v>650</v>
      </c>
      <c r="F257" s="25" t="s">
        <v>1065</v>
      </c>
      <c r="G257" s="25" t="s">
        <v>657</v>
      </c>
      <c r="H257" s="26" t="s">
        <v>1294</v>
      </c>
      <c r="I257" s="26" t="s">
        <v>1294</v>
      </c>
      <c r="J257" s="28">
        <v>32453.0</v>
      </c>
    </row>
    <row r="258">
      <c r="A258" s="25">
        <v>1.08201211E8</v>
      </c>
      <c r="B258" s="25" t="s">
        <v>1295</v>
      </c>
      <c r="C258" s="26">
        <v>59.0</v>
      </c>
      <c r="D258" s="25" t="s">
        <v>649</v>
      </c>
      <c r="E258" s="25" t="s">
        <v>650</v>
      </c>
      <c r="F258" s="25" t="s">
        <v>678</v>
      </c>
      <c r="G258" s="25" t="s">
        <v>663</v>
      </c>
      <c r="H258" s="26" t="s">
        <v>1296</v>
      </c>
      <c r="I258" s="26" t="s">
        <v>1297</v>
      </c>
      <c r="J258" s="27"/>
    </row>
    <row r="259">
      <c r="A259" s="25">
        <v>2.08231825E8</v>
      </c>
      <c r="B259" s="25" t="s">
        <v>1298</v>
      </c>
      <c r="C259" s="26">
        <v>29.0</v>
      </c>
      <c r="D259" s="25" t="s">
        <v>649</v>
      </c>
      <c r="E259" s="25" t="s">
        <v>661</v>
      </c>
      <c r="F259" s="25" t="s">
        <v>743</v>
      </c>
      <c r="G259" s="25" t="s">
        <v>668</v>
      </c>
      <c r="H259" s="26" t="s">
        <v>1299</v>
      </c>
      <c r="I259" s="26" t="s">
        <v>1299</v>
      </c>
      <c r="J259" s="27"/>
    </row>
    <row r="260">
      <c r="A260" s="25">
        <v>2.02211343E8</v>
      </c>
      <c r="B260" s="25" t="s">
        <v>1300</v>
      </c>
      <c r="C260" s="26">
        <v>22.0</v>
      </c>
      <c r="D260" s="25" t="s">
        <v>649</v>
      </c>
      <c r="E260" s="25" t="s">
        <v>661</v>
      </c>
      <c r="F260" s="25" t="s">
        <v>736</v>
      </c>
      <c r="G260" s="25" t="s">
        <v>663</v>
      </c>
      <c r="H260" s="26" t="s">
        <v>1301</v>
      </c>
      <c r="I260" s="26" t="s">
        <v>1302</v>
      </c>
      <c r="J260" s="27"/>
    </row>
    <row r="261">
      <c r="A261" s="30"/>
      <c r="B261" s="25" t="s">
        <v>1300</v>
      </c>
      <c r="C261" s="26">
        <v>0.0</v>
      </c>
      <c r="D261" s="30"/>
      <c r="E261" s="25" t="s">
        <v>650</v>
      </c>
      <c r="F261" s="29" t="b">
        <v>0</v>
      </c>
      <c r="G261" s="29" t="b">
        <v>0</v>
      </c>
      <c r="H261" s="30"/>
      <c r="I261" s="30"/>
      <c r="J261" s="27"/>
    </row>
    <row r="262">
      <c r="A262" s="25">
        <v>1.1223186E8</v>
      </c>
      <c r="B262" s="25" t="s">
        <v>1303</v>
      </c>
      <c r="C262" s="26">
        <v>0.0</v>
      </c>
      <c r="D262" s="30"/>
      <c r="E262" s="25" t="s">
        <v>650</v>
      </c>
      <c r="F262" s="25" t="s">
        <v>758</v>
      </c>
      <c r="G262" s="25" t="s">
        <v>663</v>
      </c>
      <c r="H262" s="26" t="s">
        <v>1304</v>
      </c>
      <c r="I262" s="26" t="s">
        <v>1304</v>
      </c>
      <c r="J262" s="27"/>
    </row>
    <row r="263">
      <c r="A263" s="25">
        <v>3.09220106E8</v>
      </c>
      <c r="B263" s="25" t="s">
        <v>1305</v>
      </c>
      <c r="C263" s="26">
        <v>23.0</v>
      </c>
      <c r="D263" s="25" t="s">
        <v>649</v>
      </c>
      <c r="E263" s="25" t="s">
        <v>681</v>
      </c>
      <c r="F263" s="25" t="s">
        <v>733</v>
      </c>
      <c r="G263" s="25" t="s">
        <v>652</v>
      </c>
      <c r="H263" s="26" t="s">
        <v>1306</v>
      </c>
      <c r="I263" s="26" t="s">
        <v>1306</v>
      </c>
      <c r="J263" s="27"/>
    </row>
    <row r="264">
      <c r="A264" s="25">
        <v>2.03221602E8</v>
      </c>
      <c r="B264" s="25" t="s">
        <v>1307</v>
      </c>
      <c r="C264" s="26">
        <v>40.0</v>
      </c>
      <c r="D264" s="25" t="s">
        <v>649</v>
      </c>
      <c r="E264" s="25" t="s">
        <v>661</v>
      </c>
      <c r="F264" s="25" t="s">
        <v>678</v>
      </c>
      <c r="G264" s="25" t="s">
        <v>663</v>
      </c>
      <c r="H264" s="26" t="s">
        <v>1308</v>
      </c>
      <c r="I264" s="26" t="s">
        <v>1309</v>
      </c>
      <c r="J264" s="27"/>
    </row>
    <row r="265">
      <c r="A265" s="25">
        <v>4.07230005E8</v>
      </c>
      <c r="B265" s="25" t="s">
        <v>1310</v>
      </c>
      <c r="C265" s="26">
        <v>0.0</v>
      </c>
      <c r="D265" s="27"/>
      <c r="E265" s="25" t="s">
        <v>650</v>
      </c>
      <c r="F265" s="25" t="s">
        <v>758</v>
      </c>
      <c r="G265" s="25" t="s">
        <v>663</v>
      </c>
      <c r="H265" s="26" t="s">
        <v>1311</v>
      </c>
      <c r="I265" s="26" t="s">
        <v>1311</v>
      </c>
      <c r="J265" s="27"/>
    </row>
    <row r="266">
      <c r="A266" s="25">
        <v>1.05221626E8</v>
      </c>
      <c r="B266" s="25" t="s">
        <v>1312</v>
      </c>
      <c r="C266" s="26">
        <v>51.0</v>
      </c>
      <c r="D266" s="25" t="s">
        <v>649</v>
      </c>
      <c r="E266" s="25" t="s">
        <v>650</v>
      </c>
      <c r="F266" s="25" t="s">
        <v>794</v>
      </c>
      <c r="G266" s="25" t="s">
        <v>663</v>
      </c>
      <c r="H266" s="26" t="s">
        <v>1313</v>
      </c>
      <c r="I266" s="26" t="s">
        <v>1314</v>
      </c>
      <c r="J266" s="28">
        <v>27885.0</v>
      </c>
    </row>
    <row r="267">
      <c r="A267" s="25">
        <v>2.07231811E8</v>
      </c>
      <c r="B267" s="25" t="s">
        <v>1315</v>
      </c>
      <c r="C267" s="26">
        <v>0.0</v>
      </c>
      <c r="D267" s="30"/>
      <c r="E267" s="25" t="s">
        <v>661</v>
      </c>
      <c r="F267" s="25" t="s">
        <v>719</v>
      </c>
      <c r="G267" s="25" t="s">
        <v>668</v>
      </c>
      <c r="H267" s="26" t="s">
        <v>1316</v>
      </c>
      <c r="I267" s="26" t="s">
        <v>1317</v>
      </c>
      <c r="J267" s="27"/>
    </row>
    <row r="268">
      <c r="A268" s="25">
        <v>1.02190772E8</v>
      </c>
      <c r="B268" s="25" t="s">
        <v>1318</v>
      </c>
      <c r="C268" s="26">
        <v>44.0</v>
      </c>
      <c r="D268" s="25" t="s">
        <v>649</v>
      </c>
      <c r="E268" s="25" t="s">
        <v>650</v>
      </c>
      <c r="F268" s="25" t="s">
        <v>710</v>
      </c>
      <c r="G268" s="25" t="s">
        <v>668</v>
      </c>
      <c r="H268" s="26" t="s">
        <v>1319</v>
      </c>
      <c r="I268" s="26" t="s">
        <v>1320</v>
      </c>
      <c r="J268" s="28">
        <v>27621.0</v>
      </c>
    </row>
    <row r="269">
      <c r="A269" s="25">
        <v>1.02150018E8</v>
      </c>
      <c r="B269" s="25" t="s">
        <v>1321</v>
      </c>
      <c r="C269" s="26">
        <v>34.0</v>
      </c>
      <c r="D269" s="25" t="s">
        <v>698</v>
      </c>
      <c r="E269" s="25" t="s">
        <v>650</v>
      </c>
      <c r="F269" s="25" t="s">
        <v>1224</v>
      </c>
      <c r="G269" s="25" t="s">
        <v>765</v>
      </c>
      <c r="H269" s="26" t="s">
        <v>1322</v>
      </c>
      <c r="I269" s="26" t="s">
        <v>1323</v>
      </c>
      <c r="J269" s="27"/>
    </row>
    <row r="270">
      <c r="A270" s="25">
        <v>1.11211533E8</v>
      </c>
      <c r="B270" s="25" t="s">
        <v>1324</v>
      </c>
      <c r="C270" s="26">
        <v>44.0</v>
      </c>
      <c r="D270" s="25" t="s">
        <v>698</v>
      </c>
      <c r="E270" s="25" t="s">
        <v>650</v>
      </c>
      <c r="F270" s="25" t="s">
        <v>818</v>
      </c>
      <c r="G270" s="25" t="s">
        <v>675</v>
      </c>
      <c r="H270" s="26" t="s">
        <v>1325</v>
      </c>
      <c r="I270" s="26" t="s">
        <v>1325</v>
      </c>
      <c r="J270" s="28">
        <v>29567.0</v>
      </c>
    </row>
    <row r="271">
      <c r="A271" s="25">
        <v>1.09170014E8</v>
      </c>
      <c r="B271" s="25" t="s">
        <v>1326</v>
      </c>
      <c r="C271" s="26">
        <v>0.0</v>
      </c>
      <c r="D271" s="30"/>
      <c r="E271" s="25" t="s">
        <v>650</v>
      </c>
      <c r="F271" s="25" t="s">
        <v>1327</v>
      </c>
      <c r="G271" s="25" t="s">
        <v>694</v>
      </c>
      <c r="H271" s="26" t="s">
        <v>1328</v>
      </c>
      <c r="I271" s="26" t="s">
        <v>1329</v>
      </c>
      <c r="J271" s="27"/>
    </row>
    <row r="272">
      <c r="A272" s="30"/>
      <c r="B272" s="25" t="s">
        <v>1330</v>
      </c>
      <c r="C272" s="26">
        <v>0.0</v>
      </c>
      <c r="D272" s="27"/>
      <c r="E272" s="25" t="s">
        <v>650</v>
      </c>
      <c r="F272" s="29" t="b">
        <v>0</v>
      </c>
      <c r="G272" s="29" t="b">
        <v>0</v>
      </c>
      <c r="H272" s="27"/>
      <c r="I272" s="27"/>
      <c r="J272" s="27"/>
    </row>
    <row r="273">
      <c r="A273" s="25" t="s">
        <v>1331</v>
      </c>
      <c r="B273" s="25" t="s">
        <v>1332</v>
      </c>
      <c r="C273" s="26">
        <v>29.0</v>
      </c>
      <c r="D273" s="25" t="s">
        <v>698</v>
      </c>
      <c r="E273" s="25" t="s">
        <v>661</v>
      </c>
      <c r="F273" s="25" t="s">
        <v>904</v>
      </c>
      <c r="G273" s="25" t="s">
        <v>765</v>
      </c>
      <c r="H273" s="30"/>
      <c r="I273" s="30"/>
      <c r="J273" s="27"/>
    </row>
    <row r="274">
      <c r="A274" s="25">
        <v>2.05241929E8</v>
      </c>
      <c r="B274" s="25" t="s">
        <v>1333</v>
      </c>
      <c r="C274" s="26">
        <v>0.0</v>
      </c>
      <c r="D274" s="30"/>
      <c r="E274" s="25" t="s">
        <v>661</v>
      </c>
      <c r="F274" s="25" t="s">
        <v>864</v>
      </c>
      <c r="G274" s="25" t="s">
        <v>668</v>
      </c>
      <c r="H274" s="27"/>
      <c r="I274" s="27"/>
      <c r="J274" s="27"/>
    </row>
    <row r="275">
      <c r="A275" s="25">
        <v>3.08210092E8</v>
      </c>
      <c r="B275" s="25" t="s">
        <v>1333</v>
      </c>
      <c r="C275" s="26">
        <v>22.0</v>
      </c>
      <c r="D275" s="25" t="s">
        <v>698</v>
      </c>
      <c r="E275" s="25" t="s">
        <v>681</v>
      </c>
      <c r="F275" s="25" t="s">
        <v>667</v>
      </c>
      <c r="G275" s="25" t="s">
        <v>668</v>
      </c>
      <c r="H275" s="26" t="s">
        <v>1334</v>
      </c>
      <c r="I275" s="26" t="s">
        <v>1334</v>
      </c>
      <c r="J275" s="27"/>
    </row>
    <row r="276">
      <c r="A276" s="25">
        <v>3.03210055E8</v>
      </c>
      <c r="B276" s="25" t="s">
        <v>1335</v>
      </c>
      <c r="C276" s="26">
        <v>46.0</v>
      </c>
      <c r="D276" s="25" t="s">
        <v>698</v>
      </c>
      <c r="E276" s="25" t="s">
        <v>681</v>
      </c>
      <c r="F276" s="25" t="s">
        <v>674</v>
      </c>
      <c r="G276" s="25" t="s">
        <v>675</v>
      </c>
      <c r="H276" s="30"/>
      <c r="I276" s="30"/>
      <c r="J276" s="27"/>
    </row>
    <row r="277">
      <c r="A277" s="25">
        <v>1.11160142E8</v>
      </c>
      <c r="B277" s="25" t="s">
        <v>1336</v>
      </c>
      <c r="C277" s="26">
        <v>48.0</v>
      </c>
      <c r="D277" s="25" t="s">
        <v>698</v>
      </c>
      <c r="E277" s="25" t="s">
        <v>650</v>
      </c>
      <c r="F277" s="25" t="s">
        <v>674</v>
      </c>
      <c r="G277" s="25" t="s">
        <v>675</v>
      </c>
      <c r="H277" s="26" t="s">
        <v>1337</v>
      </c>
      <c r="I277" s="26" t="s">
        <v>1338</v>
      </c>
      <c r="J277" s="27"/>
    </row>
    <row r="278">
      <c r="A278" s="25">
        <v>1.10221686E8</v>
      </c>
      <c r="B278" s="25" t="s">
        <v>1339</v>
      </c>
      <c r="C278" s="26">
        <v>20.0</v>
      </c>
      <c r="D278" s="25" t="s">
        <v>698</v>
      </c>
      <c r="E278" s="25" t="s">
        <v>650</v>
      </c>
      <c r="F278" s="25" t="s">
        <v>862</v>
      </c>
      <c r="G278" s="25" t="s">
        <v>668</v>
      </c>
      <c r="H278" s="26" t="s">
        <v>1340</v>
      </c>
      <c r="I278" s="26" t="s">
        <v>1340</v>
      </c>
      <c r="J278" s="27"/>
    </row>
    <row r="279">
      <c r="A279" s="25">
        <v>1.02120144E8</v>
      </c>
      <c r="B279" s="25" t="s">
        <v>1341</v>
      </c>
      <c r="C279" s="26">
        <v>56.0</v>
      </c>
      <c r="D279" s="25" t="s">
        <v>698</v>
      </c>
      <c r="E279" s="25" t="s">
        <v>650</v>
      </c>
      <c r="F279" s="25" t="s">
        <v>1342</v>
      </c>
      <c r="G279" s="25" t="s">
        <v>668</v>
      </c>
      <c r="H279" s="26" t="s">
        <v>1343</v>
      </c>
      <c r="I279" s="26" t="s">
        <v>1344</v>
      </c>
      <c r="J279" s="28">
        <v>28665.0</v>
      </c>
    </row>
    <row r="280">
      <c r="A280" s="25">
        <v>1.11201282E8</v>
      </c>
      <c r="B280" s="25" t="s">
        <v>1345</v>
      </c>
      <c r="C280" s="26">
        <v>39.0</v>
      </c>
      <c r="D280" s="25" t="s">
        <v>649</v>
      </c>
      <c r="E280" s="25" t="s">
        <v>650</v>
      </c>
      <c r="F280" s="25" t="s">
        <v>678</v>
      </c>
      <c r="G280" s="25" t="s">
        <v>663</v>
      </c>
      <c r="H280" s="26" t="s">
        <v>1346</v>
      </c>
      <c r="I280" s="26" t="s">
        <v>1346</v>
      </c>
      <c r="J280" s="28">
        <v>30713.0</v>
      </c>
    </row>
    <row r="281">
      <c r="A281" s="25">
        <v>2.10221696E8</v>
      </c>
      <c r="B281" s="25" t="s">
        <v>1347</v>
      </c>
      <c r="C281" s="26">
        <v>39.0</v>
      </c>
      <c r="D281" s="25" t="s">
        <v>649</v>
      </c>
      <c r="E281" s="25" t="s">
        <v>661</v>
      </c>
      <c r="F281" s="25" t="s">
        <v>715</v>
      </c>
      <c r="G281" s="25" t="s">
        <v>663</v>
      </c>
      <c r="H281" s="26" t="s">
        <v>1348</v>
      </c>
      <c r="I281" s="26" t="s">
        <v>1349</v>
      </c>
      <c r="J281" s="28">
        <v>31603.0</v>
      </c>
    </row>
    <row r="282">
      <c r="A282" s="30"/>
      <c r="B282" s="25" t="s">
        <v>1347</v>
      </c>
      <c r="C282" s="26">
        <v>0.0</v>
      </c>
      <c r="D282" s="30"/>
      <c r="E282" s="25" t="s">
        <v>650</v>
      </c>
      <c r="F282" s="29" t="b">
        <v>0</v>
      </c>
      <c r="G282" s="29" t="b">
        <v>0</v>
      </c>
      <c r="H282" s="30"/>
      <c r="I282" s="30"/>
      <c r="J282" s="27"/>
    </row>
    <row r="283">
      <c r="A283" s="25">
        <v>2.06221654E8</v>
      </c>
      <c r="B283" s="25" t="s">
        <v>1350</v>
      </c>
      <c r="C283" s="26">
        <v>45.0</v>
      </c>
      <c r="D283" s="25" t="s">
        <v>649</v>
      </c>
      <c r="E283" s="25" t="s">
        <v>661</v>
      </c>
      <c r="F283" s="25" t="s">
        <v>678</v>
      </c>
      <c r="G283" s="25" t="s">
        <v>663</v>
      </c>
      <c r="H283" s="26" t="s">
        <v>1351</v>
      </c>
      <c r="I283" s="26" t="s">
        <v>1352</v>
      </c>
      <c r="J283" s="27"/>
    </row>
    <row r="284">
      <c r="A284" s="25">
        <v>1.07190944E8</v>
      </c>
      <c r="B284" s="25" t="s">
        <v>1353</v>
      </c>
      <c r="C284" s="26">
        <v>38.0</v>
      </c>
      <c r="D284" s="25" t="s">
        <v>649</v>
      </c>
      <c r="E284" s="25" t="s">
        <v>650</v>
      </c>
      <c r="F284" s="25" t="s">
        <v>730</v>
      </c>
      <c r="G284" s="25" t="s">
        <v>675</v>
      </c>
      <c r="H284" s="26" t="s">
        <v>1354</v>
      </c>
      <c r="I284" s="26" t="s">
        <v>1355</v>
      </c>
      <c r="J284" s="28">
        <v>33313.0</v>
      </c>
    </row>
    <row r="285">
      <c r="A285" s="25">
        <v>2.07160684E8</v>
      </c>
      <c r="B285" s="25" t="s">
        <v>1356</v>
      </c>
      <c r="C285" s="26">
        <v>38.0</v>
      </c>
      <c r="D285" s="25" t="s">
        <v>649</v>
      </c>
      <c r="E285" s="25" t="s">
        <v>661</v>
      </c>
      <c r="F285" s="25" t="s">
        <v>741</v>
      </c>
      <c r="G285" s="25" t="s">
        <v>675</v>
      </c>
      <c r="H285" s="26" t="s">
        <v>1357</v>
      </c>
      <c r="I285" s="26" t="s">
        <v>1357</v>
      </c>
      <c r="J285" s="27"/>
    </row>
    <row r="286">
      <c r="A286" s="25">
        <v>2.07211453E8</v>
      </c>
      <c r="B286" s="25" t="s">
        <v>1358</v>
      </c>
      <c r="C286" s="26">
        <v>38.0</v>
      </c>
      <c r="D286" s="25" t="s">
        <v>649</v>
      </c>
      <c r="E286" s="25" t="s">
        <v>661</v>
      </c>
      <c r="F286" s="25" t="s">
        <v>772</v>
      </c>
      <c r="G286" s="25" t="s">
        <v>668</v>
      </c>
      <c r="H286" s="26" t="s">
        <v>1359</v>
      </c>
      <c r="I286" s="26" t="s">
        <v>1359</v>
      </c>
      <c r="J286" s="27"/>
    </row>
    <row r="287">
      <c r="A287" s="25">
        <v>2.09201234E8</v>
      </c>
      <c r="B287" s="25" t="s">
        <v>1360</v>
      </c>
      <c r="C287" s="26">
        <v>32.0</v>
      </c>
      <c r="D287" s="25" t="s">
        <v>649</v>
      </c>
      <c r="E287" s="25" t="s">
        <v>661</v>
      </c>
      <c r="F287" s="25" t="s">
        <v>678</v>
      </c>
      <c r="G287" s="25" t="s">
        <v>663</v>
      </c>
      <c r="H287" s="26" t="s">
        <v>1361</v>
      </c>
      <c r="I287" s="26" t="s">
        <v>1362</v>
      </c>
      <c r="J287" s="27"/>
    </row>
    <row r="288">
      <c r="A288" s="25">
        <v>2.0220113E8</v>
      </c>
      <c r="B288" s="25" t="s">
        <v>1363</v>
      </c>
      <c r="C288" s="26">
        <v>53.0</v>
      </c>
      <c r="D288" s="25" t="s">
        <v>649</v>
      </c>
      <c r="E288" s="25" t="s">
        <v>661</v>
      </c>
      <c r="F288" s="25" t="s">
        <v>818</v>
      </c>
      <c r="G288" s="25" t="s">
        <v>675</v>
      </c>
      <c r="H288" s="26" t="s">
        <v>1364</v>
      </c>
      <c r="I288" s="26" t="s">
        <v>1365</v>
      </c>
      <c r="J288" s="27"/>
    </row>
    <row r="289">
      <c r="A289" s="25">
        <v>2.0324189E8</v>
      </c>
      <c r="B289" s="25" t="s">
        <v>1366</v>
      </c>
      <c r="C289" s="26">
        <v>23.0</v>
      </c>
      <c r="D289" s="25" t="s">
        <v>655</v>
      </c>
      <c r="E289" s="25" t="s">
        <v>661</v>
      </c>
      <c r="F289" s="25" t="s">
        <v>733</v>
      </c>
      <c r="G289" s="25" t="s">
        <v>652</v>
      </c>
      <c r="H289" s="30"/>
      <c r="I289" s="30"/>
      <c r="J289" s="27"/>
    </row>
    <row r="290">
      <c r="A290" s="25">
        <v>2.0324189E8</v>
      </c>
      <c r="B290" s="25" t="s">
        <v>1367</v>
      </c>
      <c r="C290" s="26">
        <v>0.0</v>
      </c>
      <c r="D290" s="30"/>
      <c r="E290" s="25" t="s">
        <v>661</v>
      </c>
      <c r="F290" s="25" t="s">
        <v>733</v>
      </c>
      <c r="G290" s="25" t="s">
        <v>652</v>
      </c>
      <c r="H290" s="30"/>
      <c r="I290" s="30"/>
      <c r="J290" s="27"/>
    </row>
    <row r="291">
      <c r="A291" s="25">
        <v>2.05231767E8</v>
      </c>
      <c r="B291" s="25" t="s">
        <v>1368</v>
      </c>
      <c r="C291" s="26">
        <v>0.0</v>
      </c>
      <c r="D291" s="30"/>
      <c r="E291" s="25" t="s">
        <v>661</v>
      </c>
      <c r="F291" s="25" t="s">
        <v>741</v>
      </c>
      <c r="G291" s="29" t="b">
        <v>0</v>
      </c>
      <c r="H291" s="26" t="s">
        <v>1369</v>
      </c>
      <c r="I291" s="26" t="s">
        <v>1370</v>
      </c>
      <c r="J291" s="27"/>
    </row>
    <row r="292">
      <c r="A292" s="25">
        <v>3.03230111E8</v>
      </c>
      <c r="B292" s="25" t="s">
        <v>1371</v>
      </c>
      <c r="C292" s="26">
        <v>20.0</v>
      </c>
      <c r="D292" s="25" t="s">
        <v>698</v>
      </c>
      <c r="E292" s="25" t="s">
        <v>681</v>
      </c>
      <c r="F292" s="25" t="s">
        <v>777</v>
      </c>
      <c r="G292" s="25" t="s">
        <v>726</v>
      </c>
      <c r="H292" s="26" t="s">
        <v>1372</v>
      </c>
      <c r="I292" s="26" t="s">
        <v>1373</v>
      </c>
      <c r="J292" s="27"/>
    </row>
    <row r="293">
      <c r="A293" s="25">
        <v>2.01221579E8</v>
      </c>
      <c r="B293" s="25" t="s">
        <v>1374</v>
      </c>
      <c r="C293" s="26">
        <v>27.0</v>
      </c>
      <c r="D293" s="25" t="s">
        <v>649</v>
      </c>
      <c r="E293" s="25" t="s">
        <v>661</v>
      </c>
      <c r="F293" s="25" t="s">
        <v>1375</v>
      </c>
      <c r="G293" s="25" t="s">
        <v>663</v>
      </c>
      <c r="H293" s="26" t="s">
        <v>1376</v>
      </c>
      <c r="I293" s="26" t="s">
        <v>1377</v>
      </c>
      <c r="J293" s="27"/>
    </row>
    <row r="294">
      <c r="A294" s="25">
        <v>1.09201212E8</v>
      </c>
      <c r="B294" s="25" t="s">
        <v>1378</v>
      </c>
      <c r="C294" s="26">
        <v>31.0</v>
      </c>
      <c r="D294" s="25" t="s">
        <v>655</v>
      </c>
      <c r="E294" s="25" t="s">
        <v>650</v>
      </c>
      <c r="F294" s="25" t="s">
        <v>682</v>
      </c>
      <c r="G294" s="25" t="s">
        <v>683</v>
      </c>
      <c r="H294" s="26" t="s">
        <v>1379</v>
      </c>
      <c r="I294" s="26" t="s">
        <v>1379</v>
      </c>
      <c r="J294" s="27"/>
    </row>
    <row r="295">
      <c r="A295" s="25">
        <v>2.05221633E8</v>
      </c>
      <c r="B295" s="25" t="s">
        <v>1380</v>
      </c>
      <c r="C295" s="26">
        <v>26.0</v>
      </c>
      <c r="D295" s="25" t="s">
        <v>655</v>
      </c>
      <c r="E295" s="25" t="s">
        <v>661</v>
      </c>
      <c r="F295" s="25" t="s">
        <v>864</v>
      </c>
      <c r="G295" s="25" t="s">
        <v>668</v>
      </c>
      <c r="H295" s="26" t="s">
        <v>1381</v>
      </c>
      <c r="I295" s="26" t="s">
        <v>1381</v>
      </c>
      <c r="J295" s="27"/>
    </row>
    <row r="296">
      <c r="A296" s="25">
        <v>2.0623178E8</v>
      </c>
      <c r="B296" s="25" t="s">
        <v>1382</v>
      </c>
      <c r="C296" s="26">
        <v>38.0</v>
      </c>
      <c r="D296" s="25" t="s">
        <v>649</v>
      </c>
      <c r="E296" s="25" t="s">
        <v>661</v>
      </c>
      <c r="F296" s="25" t="s">
        <v>1003</v>
      </c>
      <c r="G296" s="25" t="s">
        <v>726</v>
      </c>
      <c r="H296" s="26" t="s">
        <v>1383</v>
      </c>
      <c r="I296" s="26" t="s">
        <v>1384</v>
      </c>
      <c r="J296" s="28">
        <v>34830.0</v>
      </c>
    </row>
    <row r="297">
      <c r="A297" s="30"/>
      <c r="B297" s="25" t="s">
        <v>1385</v>
      </c>
      <c r="C297" s="26">
        <v>0.0</v>
      </c>
      <c r="D297" s="27"/>
      <c r="E297" s="25" t="s">
        <v>650</v>
      </c>
      <c r="F297" s="29" t="b">
        <v>0</v>
      </c>
      <c r="G297" s="29" t="b">
        <v>0</v>
      </c>
      <c r="H297" s="27"/>
      <c r="I297" s="27"/>
      <c r="J297" s="27"/>
    </row>
    <row r="298">
      <c r="A298" s="25">
        <v>2.02241883E8</v>
      </c>
      <c r="B298" s="25" t="s">
        <v>1386</v>
      </c>
      <c r="C298" s="26">
        <v>0.0</v>
      </c>
      <c r="D298" s="27"/>
      <c r="E298" s="25" t="s">
        <v>661</v>
      </c>
      <c r="F298" s="25" t="s">
        <v>862</v>
      </c>
      <c r="G298" s="25" t="s">
        <v>668</v>
      </c>
      <c r="H298" s="27"/>
      <c r="I298" s="27"/>
      <c r="J298" s="27"/>
    </row>
    <row r="299">
      <c r="A299" s="25">
        <v>2.03241897E8</v>
      </c>
      <c r="B299" s="25" t="s">
        <v>1387</v>
      </c>
      <c r="C299" s="26">
        <v>0.0</v>
      </c>
      <c r="D299" s="30"/>
      <c r="E299" s="25" t="s">
        <v>661</v>
      </c>
      <c r="F299" s="25" t="s">
        <v>719</v>
      </c>
      <c r="G299" s="25" t="s">
        <v>668</v>
      </c>
      <c r="H299" s="30"/>
      <c r="I299" s="30"/>
      <c r="J299" s="27"/>
    </row>
    <row r="300">
      <c r="A300" s="30"/>
      <c r="B300" s="25" t="s">
        <v>1388</v>
      </c>
      <c r="C300" s="26">
        <v>0.0</v>
      </c>
      <c r="D300" s="27"/>
      <c r="E300" s="25" t="s">
        <v>650</v>
      </c>
      <c r="F300" s="29" t="b">
        <v>0</v>
      </c>
      <c r="G300" s="29" t="b">
        <v>0</v>
      </c>
      <c r="H300" s="27"/>
      <c r="I300" s="27"/>
      <c r="J300" s="27"/>
    </row>
    <row r="301">
      <c r="A301" s="25">
        <v>2.03231743E8</v>
      </c>
      <c r="B301" s="25" t="s">
        <v>1389</v>
      </c>
      <c r="C301" s="26">
        <v>26.0</v>
      </c>
      <c r="D301" s="25" t="s">
        <v>698</v>
      </c>
      <c r="E301" s="25" t="s">
        <v>661</v>
      </c>
      <c r="F301" s="25" t="s">
        <v>733</v>
      </c>
      <c r="G301" s="25" t="s">
        <v>652</v>
      </c>
      <c r="H301" s="26" t="s">
        <v>1390</v>
      </c>
      <c r="I301" s="26" t="s">
        <v>1390</v>
      </c>
      <c r="J301" s="27"/>
    </row>
    <row r="302">
      <c r="A302" s="25">
        <v>1.05241928E8</v>
      </c>
      <c r="B302" s="25" t="s">
        <v>1391</v>
      </c>
      <c r="C302" s="26">
        <v>0.0</v>
      </c>
      <c r="D302" s="30"/>
      <c r="E302" s="25" t="s">
        <v>650</v>
      </c>
      <c r="F302" s="25" t="s">
        <v>833</v>
      </c>
      <c r="G302" s="25" t="s">
        <v>726</v>
      </c>
      <c r="H302" s="30"/>
      <c r="I302" s="30"/>
      <c r="J302" s="27"/>
    </row>
    <row r="303">
      <c r="A303" s="25">
        <v>1.10191103E8</v>
      </c>
      <c r="B303" s="25" t="s">
        <v>1392</v>
      </c>
      <c r="C303" s="26">
        <v>26.0</v>
      </c>
      <c r="D303" s="25" t="s">
        <v>649</v>
      </c>
      <c r="E303" s="25" t="s">
        <v>650</v>
      </c>
      <c r="F303" s="25" t="s">
        <v>741</v>
      </c>
      <c r="G303" s="25" t="s">
        <v>675</v>
      </c>
      <c r="H303" s="26" t="s">
        <v>1393</v>
      </c>
      <c r="I303" s="26" t="s">
        <v>1393</v>
      </c>
      <c r="J303" s="27"/>
    </row>
    <row r="304">
      <c r="A304" s="25">
        <v>2.12211546E8</v>
      </c>
      <c r="B304" s="25" t="s">
        <v>1394</v>
      </c>
      <c r="C304" s="26">
        <v>52.0</v>
      </c>
      <c r="D304" s="25" t="s">
        <v>649</v>
      </c>
      <c r="E304" s="25" t="s">
        <v>661</v>
      </c>
      <c r="F304" s="25" t="s">
        <v>678</v>
      </c>
      <c r="G304" s="25" t="s">
        <v>663</v>
      </c>
      <c r="H304" s="26" t="s">
        <v>1395</v>
      </c>
      <c r="I304" s="26" t="s">
        <v>1396</v>
      </c>
      <c r="J304" s="27"/>
    </row>
    <row r="305">
      <c r="A305" s="30"/>
      <c r="B305" s="25" t="s">
        <v>1397</v>
      </c>
      <c r="C305" s="26">
        <v>0.0</v>
      </c>
      <c r="D305" s="30"/>
      <c r="E305" s="25" t="s">
        <v>650</v>
      </c>
      <c r="F305" s="29" t="b">
        <v>0</v>
      </c>
      <c r="G305" s="29" t="b">
        <v>0</v>
      </c>
      <c r="H305" s="30"/>
      <c r="I305" s="30"/>
      <c r="J305" s="27"/>
    </row>
    <row r="306">
      <c r="A306" s="25">
        <v>1.03190805E8</v>
      </c>
      <c r="B306" s="25" t="s">
        <v>1398</v>
      </c>
      <c r="C306" s="26">
        <v>44.0</v>
      </c>
      <c r="D306" s="25" t="s">
        <v>649</v>
      </c>
      <c r="E306" s="25" t="s">
        <v>650</v>
      </c>
      <c r="F306" s="25" t="s">
        <v>674</v>
      </c>
      <c r="G306" s="25" t="s">
        <v>675</v>
      </c>
      <c r="H306" s="27"/>
      <c r="I306" s="27"/>
      <c r="J306" s="27"/>
    </row>
    <row r="307">
      <c r="A307" s="25">
        <v>1.08201173E8</v>
      </c>
      <c r="B307" s="25" t="s">
        <v>1399</v>
      </c>
      <c r="C307" s="26">
        <v>48.0</v>
      </c>
      <c r="D307" s="25" t="s">
        <v>649</v>
      </c>
      <c r="E307" s="25" t="s">
        <v>650</v>
      </c>
      <c r="F307" s="25" t="s">
        <v>678</v>
      </c>
      <c r="G307" s="25" t="s">
        <v>663</v>
      </c>
      <c r="H307" s="26" t="s">
        <v>1400</v>
      </c>
      <c r="I307" s="26" t="s">
        <v>1401</v>
      </c>
      <c r="J307" s="27"/>
    </row>
    <row r="308">
      <c r="A308" s="30"/>
      <c r="B308" s="25" t="s">
        <v>1402</v>
      </c>
      <c r="C308" s="26">
        <v>0.0</v>
      </c>
      <c r="D308" s="30"/>
      <c r="E308" s="25" t="s">
        <v>661</v>
      </c>
      <c r="F308" s="29" t="b">
        <v>0</v>
      </c>
      <c r="G308" s="29" t="b">
        <v>0</v>
      </c>
      <c r="H308" s="30"/>
      <c r="I308" s="30"/>
      <c r="J308" s="27"/>
    </row>
    <row r="309">
      <c r="A309" s="25">
        <v>4.07230006E8</v>
      </c>
      <c r="B309" s="25" t="s">
        <v>1403</v>
      </c>
      <c r="C309" s="26">
        <v>0.0</v>
      </c>
      <c r="D309" s="30"/>
      <c r="E309" s="25" t="s">
        <v>650</v>
      </c>
      <c r="F309" s="25" t="s">
        <v>715</v>
      </c>
      <c r="G309" s="25" t="s">
        <v>663</v>
      </c>
      <c r="H309" s="30"/>
      <c r="I309" s="30"/>
      <c r="J309" s="27"/>
    </row>
    <row r="310">
      <c r="A310" s="25">
        <v>2.11201271E8</v>
      </c>
      <c r="B310" s="25" t="s">
        <v>1404</v>
      </c>
      <c r="C310" s="26">
        <v>38.0</v>
      </c>
      <c r="D310" s="25" t="s">
        <v>649</v>
      </c>
      <c r="E310" s="25" t="s">
        <v>661</v>
      </c>
      <c r="F310" s="25" t="s">
        <v>678</v>
      </c>
      <c r="G310" s="25" t="s">
        <v>663</v>
      </c>
      <c r="H310" s="26" t="s">
        <v>1405</v>
      </c>
      <c r="I310" s="26" t="s">
        <v>1406</v>
      </c>
      <c r="J310" s="27"/>
    </row>
    <row r="311">
      <c r="A311" s="25">
        <v>1.08191056E8</v>
      </c>
      <c r="B311" s="25" t="s">
        <v>1407</v>
      </c>
      <c r="C311" s="26">
        <v>43.0</v>
      </c>
      <c r="D311" s="25" t="s">
        <v>649</v>
      </c>
      <c r="E311" s="25" t="s">
        <v>650</v>
      </c>
      <c r="F311" s="25" t="s">
        <v>678</v>
      </c>
      <c r="G311" s="25" t="s">
        <v>663</v>
      </c>
      <c r="H311" s="26" t="s">
        <v>1408</v>
      </c>
      <c r="I311" s="26" t="s">
        <v>1408</v>
      </c>
      <c r="J311" s="27"/>
    </row>
    <row r="312">
      <c r="A312" s="25">
        <v>3.06200007E8</v>
      </c>
      <c r="B312" s="25" t="s">
        <v>1409</v>
      </c>
      <c r="C312" s="26">
        <v>32.0</v>
      </c>
      <c r="D312" s="25" t="s">
        <v>698</v>
      </c>
      <c r="E312" s="25" t="s">
        <v>681</v>
      </c>
      <c r="F312" s="25" t="s">
        <v>733</v>
      </c>
      <c r="G312" s="25" t="s">
        <v>652</v>
      </c>
      <c r="H312" s="30"/>
      <c r="I312" s="30"/>
      <c r="J312" s="27"/>
    </row>
    <row r="313">
      <c r="A313" s="25">
        <v>2.10231847E8</v>
      </c>
      <c r="B313" s="25" t="s">
        <v>1410</v>
      </c>
      <c r="C313" s="26">
        <v>0.0</v>
      </c>
      <c r="D313" s="30"/>
      <c r="E313" s="25" t="s">
        <v>661</v>
      </c>
      <c r="F313" s="25" t="s">
        <v>777</v>
      </c>
      <c r="G313" s="25" t="s">
        <v>726</v>
      </c>
      <c r="H313" s="26" t="s">
        <v>1411</v>
      </c>
      <c r="I313" s="26" t="s">
        <v>1412</v>
      </c>
      <c r="J313" s="27"/>
    </row>
    <row r="314">
      <c r="A314" s="25">
        <v>2.02221596E8</v>
      </c>
      <c r="B314" s="25" t="s">
        <v>1413</v>
      </c>
      <c r="C314" s="26">
        <v>32.0</v>
      </c>
      <c r="D314" s="25" t="s">
        <v>655</v>
      </c>
      <c r="E314" s="25" t="s">
        <v>661</v>
      </c>
      <c r="F314" s="25" t="s">
        <v>862</v>
      </c>
      <c r="G314" s="25" t="s">
        <v>668</v>
      </c>
      <c r="H314" s="26" t="s">
        <v>1414</v>
      </c>
      <c r="I314" s="26" t="s">
        <v>1414</v>
      </c>
      <c r="J314" s="28">
        <v>34508.0</v>
      </c>
    </row>
    <row r="315">
      <c r="A315" s="25">
        <v>2.06190939E8</v>
      </c>
      <c r="B315" s="25" t="s">
        <v>1415</v>
      </c>
      <c r="C315" s="26">
        <v>44.0</v>
      </c>
      <c r="D315" s="25" t="s">
        <v>649</v>
      </c>
      <c r="E315" s="25" t="s">
        <v>661</v>
      </c>
      <c r="F315" s="25" t="s">
        <v>818</v>
      </c>
      <c r="G315" s="25" t="s">
        <v>675</v>
      </c>
      <c r="H315" s="26" t="s">
        <v>1416</v>
      </c>
      <c r="I315" s="26" t="s">
        <v>1417</v>
      </c>
      <c r="J315" s="27"/>
    </row>
    <row r="316">
      <c r="A316" s="25">
        <v>2.12221706E8</v>
      </c>
      <c r="B316" s="25" t="s">
        <v>1418</v>
      </c>
      <c r="C316" s="26">
        <v>0.0</v>
      </c>
      <c r="D316" s="30"/>
      <c r="E316" s="25" t="s">
        <v>661</v>
      </c>
      <c r="F316" s="25" t="s">
        <v>715</v>
      </c>
      <c r="G316" s="25" t="s">
        <v>663</v>
      </c>
      <c r="H316" s="26" t="s">
        <v>1419</v>
      </c>
      <c r="I316" s="26" t="s">
        <v>1420</v>
      </c>
      <c r="J316" s="27"/>
    </row>
    <row r="317">
      <c r="A317" s="25">
        <v>2.02201133E8</v>
      </c>
      <c r="B317" s="25" t="s">
        <v>1421</v>
      </c>
      <c r="C317" s="26">
        <v>48.0</v>
      </c>
      <c r="D317" s="25" t="s">
        <v>698</v>
      </c>
      <c r="E317" s="25" t="s">
        <v>661</v>
      </c>
      <c r="F317" s="25" t="s">
        <v>1015</v>
      </c>
      <c r="G317" s="25" t="s">
        <v>675</v>
      </c>
      <c r="H317" s="26" t="s">
        <v>1422</v>
      </c>
      <c r="I317" s="26" t="s">
        <v>1422</v>
      </c>
      <c r="J317" s="27"/>
    </row>
    <row r="318">
      <c r="A318" s="25">
        <v>1.12211553E8</v>
      </c>
      <c r="B318" s="25" t="s">
        <v>1423</v>
      </c>
      <c r="C318" s="26">
        <v>49.0</v>
      </c>
      <c r="D318" s="25" t="s">
        <v>698</v>
      </c>
      <c r="E318" s="25" t="s">
        <v>650</v>
      </c>
      <c r="F318" s="25" t="s">
        <v>1015</v>
      </c>
      <c r="G318" s="25" t="s">
        <v>675</v>
      </c>
      <c r="H318" s="26" t="s">
        <v>1424</v>
      </c>
      <c r="I318" s="26" t="s">
        <v>1424</v>
      </c>
      <c r="J318" s="28">
        <v>24067.0</v>
      </c>
    </row>
    <row r="319">
      <c r="A319" s="25">
        <v>1.03231738E8</v>
      </c>
      <c r="B319" s="25" t="s">
        <v>1425</v>
      </c>
      <c r="C319" s="26">
        <v>30.0</v>
      </c>
      <c r="D319" s="25" t="s">
        <v>698</v>
      </c>
      <c r="E319" s="25" t="s">
        <v>650</v>
      </c>
      <c r="F319" s="25" t="s">
        <v>1426</v>
      </c>
      <c r="G319" s="25" t="s">
        <v>726</v>
      </c>
      <c r="H319" s="26" t="s">
        <v>1427</v>
      </c>
      <c r="I319" s="26" t="s">
        <v>1428</v>
      </c>
      <c r="J319" s="27"/>
    </row>
    <row r="320">
      <c r="A320" s="25">
        <v>1.09231837E8</v>
      </c>
      <c r="B320" s="25" t="s">
        <v>1429</v>
      </c>
      <c r="C320" s="26">
        <v>26.0</v>
      </c>
      <c r="D320" s="25" t="s">
        <v>698</v>
      </c>
      <c r="E320" s="25" t="s">
        <v>650</v>
      </c>
      <c r="F320" s="25" t="s">
        <v>758</v>
      </c>
      <c r="G320" s="25" t="s">
        <v>663</v>
      </c>
      <c r="H320" s="26" t="s">
        <v>1430</v>
      </c>
      <c r="I320" s="26" t="s">
        <v>1431</v>
      </c>
      <c r="J320" s="28">
        <v>34839.0</v>
      </c>
    </row>
    <row r="321">
      <c r="A321" s="25">
        <v>3.11200018E8</v>
      </c>
      <c r="B321" s="25" t="s">
        <v>1432</v>
      </c>
      <c r="C321" s="26">
        <v>40.0</v>
      </c>
      <c r="D321" s="25" t="s">
        <v>655</v>
      </c>
      <c r="E321" s="25" t="s">
        <v>681</v>
      </c>
      <c r="F321" s="25" t="s">
        <v>674</v>
      </c>
      <c r="G321" s="25" t="s">
        <v>675</v>
      </c>
      <c r="H321" s="30"/>
      <c r="I321" s="30"/>
      <c r="J321" s="27"/>
    </row>
    <row r="322">
      <c r="A322" s="25">
        <v>2.04231749E8</v>
      </c>
      <c r="B322" s="25" t="s">
        <v>1433</v>
      </c>
      <c r="C322" s="26">
        <v>40.0</v>
      </c>
      <c r="D322" s="25" t="s">
        <v>655</v>
      </c>
      <c r="E322" s="25" t="s">
        <v>661</v>
      </c>
      <c r="F322" s="25" t="s">
        <v>794</v>
      </c>
      <c r="G322" s="25" t="s">
        <v>663</v>
      </c>
      <c r="H322" s="26" t="s">
        <v>1434</v>
      </c>
      <c r="I322" s="26" t="s">
        <v>1434</v>
      </c>
      <c r="J322" s="28">
        <v>31703.0</v>
      </c>
    </row>
    <row r="323">
      <c r="A323" s="25">
        <v>1.12201318E8</v>
      </c>
      <c r="B323" s="25" t="s">
        <v>1435</v>
      </c>
      <c r="C323" s="26">
        <v>48.0</v>
      </c>
      <c r="D323" s="25" t="s">
        <v>649</v>
      </c>
      <c r="E323" s="25" t="s">
        <v>650</v>
      </c>
      <c r="F323" s="25" t="s">
        <v>794</v>
      </c>
      <c r="G323" s="25" t="s">
        <v>663</v>
      </c>
      <c r="H323" s="26" t="s">
        <v>1436</v>
      </c>
      <c r="I323" s="26" t="s">
        <v>1437</v>
      </c>
      <c r="J323" s="27"/>
    </row>
    <row r="324">
      <c r="A324" s="25">
        <v>1.08160013E8</v>
      </c>
      <c r="B324" s="25" t="s">
        <v>1438</v>
      </c>
      <c r="C324" s="26">
        <v>43.0</v>
      </c>
      <c r="D324" s="25" t="s">
        <v>649</v>
      </c>
      <c r="E324" s="25" t="s">
        <v>650</v>
      </c>
      <c r="F324" s="25" t="s">
        <v>730</v>
      </c>
      <c r="G324" s="25" t="s">
        <v>675</v>
      </c>
      <c r="H324" s="26" t="s">
        <v>1439</v>
      </c>
      <c r="I324" s="26" t="s">
        <v>1439</v>
      </c>
      <c r="J324" s="27"/>
    </row>
    <row r="325">
      <c r="A325" s="25">
        <v>2.0219077E8</v>
      </c>
      <c r="B325" s="25" t="s">
        <v>1440</v>
      </c>
      <c r="C325" s="26">
        <v>32.0</v>
      </c>
      <c r="D325" s="25" t="s">
        <v>649</v>
      </c>
      <c r="E325" s="25" t="s">
        <v>661</v>
      </c>
      <c r="F325" s="25" t="s">
        <v>674</v>
      </c>
      <c r="G325" s="25" t="s">
        <v>675</v>
      </c>
      <c r="H325" s="26" t="s">
        <v>1441</v>
      </c>
      <c r="I325" s="26" t="s">
        <v>1441</v>
      </c>
      <c r="J325" s="27"/>
    </row>
    <row r="326">
      <c r="A326" s="25">
        <v>1.04211387E8</v>
      </c>
      <c r="B326" s="25" t="s">
        <v>1442</v>
      </c>
      <c r="C326" s="26">
        <v>42.0</v>
      </c>
      <c r="D326" s="25" t="s">
        <v>649</v>
      </c>
      <c r="E326" s="25" t="s">
        <v>650</v>
      </c>
      <c r="F326" s="25" t="s">
        <v>706</v>
      </c>
      <c r="G326" s="25" t="s">
        <v>668</v>
      </c>
      <c r="H326" s="26" t="s">
        <v>1443</v>
      </c>
      <c r="I326" s="26" t="s">
        <v>1444</v>
      </c>
      <c r="J326" s="27"/>
    </row>
    <row r="327">
      <c r="A327" s="25">
        <v>1.10211507E8</v>
      </c>
      <c r="B327" s="25" t="s">
        <v>1445</v>
      </c>
      <c r="C327" s="26">
        <v>30.0</v>
      </c>
      <c r="D327" s="25" t="s">
        <v>649</v>
      </c>
      <c r="E327" s="25" t="s">
        <v>650</v>
      </c>
      <c r="F327" s="25" t="s">
        <v>781</v>
      </c>
      <c r="G327" s="25" t="s">
        <v>663</v>
      </c>
      <c r="H327" s="26" t="s">
        <v>1446</v>
      </c>
      <c r="I327" s="26" t="s">
        <v>1447</v>
      </c>
      <c r="J327" s="27"/>
    </row>
    <row r="328">
      <c r="A328" s="25">
        <v>2.08231815E8</v>
      </c>
      <c r="B328" s="25" t="s">
        <v>1448</v>
      </c>
      <c r="C328" s="26">
        <v>19.0</v>
      </c>
      <c r="D328" s="25" t="s">
        <v>649</v>
      </c>
      <c r="E328" s="25" t="s">
        <v>661</v>
      </c>
      <c r="F328" s="25" t="s">
        <v>719</v>
      </c>
      <c r="G328" s="25" t="s">
        <v>668</v>
      </c>
      <c r="H328" s="26" t="s">
        <v>1449</v>
      </c>
      <c r="I328" s="26" t="s">
        <v>1449</v>
      </c>
      <c r="J328" s="27"/>
    </row>
    <row r="329">
      <c r="A329" s="30"/>
      <c r="B329" s="25" t="s">
        <v>1450</v>
      </c>
      <c r="C329" s="26">
        <v>0.0</v>
      </c>
      <c r="D329" s="30"/>
      <c r="E329" s="25" t="s">
        <v>650</v>
      </c>
      <c r="F329" s="29" t="b">
        <v>0</v>
      </c>
      <c r="G329" s="29" t="b">
        <v>0</v>
      </c>
      <c r="H329" s="30"/>
      <c r="I329" s="30"/>
      <c r="J329" s="27"/>
    </row>
    <row r="330">
      <c r="A330" s="25">
        <v>2.0524192E8</v>
      </c>
      <c r="B330" s="25" t="s">
        <v>1451</v>
      </c>
      <c r="C330" s="26">
        <v>0.0</v>
      </c>
      <c r="D330" s="30"/>
      <c r="E330" s="25" t="s">
        <v>661</v>
      </c>
      <c r="F330" s="25" t="s">
        <v>719</v>
      </c>
      <c r="G330" s="25" t="s">
        <v>668</v>
      </c>
      <c r="H330" s="30"/>
      <c r="I330" s="30"/>
      <c r="J330" s="27"/>
    </row>
    <row r="331">
      <c r="A331" s="25">
        <v>2.06221645E8</v>
      </c>
      <c r="B331" s="25" t="s">
        <v>1452</v>
      </c>
      <c r="C331" s="26">
        <v>26.0</v>
      </c>
      <c r="D331" s="25" t="s">
        <v>649</v>
      </c>
      <c r="E331" s="25" t="s">
        <v>661</v>
      </c>
      <c r="F331" s="25" t="s">
        <v>1453</v>
      </c>
      <c r="G331" s="25" t="s">
        <v>663</v>
      </c>
      <c r="H331" s="26" t="s">
        <v>1454</v>
      </c>
      <c r="I331" s="26" t="s">
        <v>1455</v>
      </c>
      <c r="J331" s="27"/>
    </row>
    <row r="332">
      <c r="A332" s="25">
        <v>2.12211548E8</v>
      </c>
      <c r="B332" s="25" t="s">
        <v>1456</v>
      </c>
      <c r="C332" s="26">
        <v>34.0</v>
      </c>
      <c r="D332" s="25" t="s">
        <v>649</v>
      </c>
      <c r="E332" s="25" t="s">
        <v>661</v>
      </c>
      <c r="F332" s="25" t="s">
        <v>678</v>
      </c>
      <c r="G332" s="25" t="s">
        <v>663</v>
      </c>
      <c r="H332" s="26" t="s">
        <v>1457</v>
      </c>
      <c r="I332" s="26" t="s">
        <v>1458</v>
      </c>
      <c r="J332" s="27"/>
    </row>
    <row r="333">
      <c r="A333" s="25">
        <v>2.11231852E8</v>
      </c>
      <c r="B333" s="25" t="s">
        <v>1459</v>
      </c>
      <c r="C333" s="26">
        <v>23.0</v>
      </c>
      <c r="D333" s="25" t="s">
        <v>649</v>
      </c>
      <c r="E333" s="25" t="s">
        <v>661</v>
      </c>
      <c r="F333" s="29" t="b">
        <v>0</v>
      </c>
      <c r="G333" s="25" t="s">
        <v>663</v>
      </c>
      <c r="H333" s="26" t="s">
        <v>1460</v>
      </c>
      <c r="I333" s="26" t="s">
        <v>1461</v>
      </c>
      <c r="J333" s="27"/>
    </row>
    <row r="334">
      <c r="A334" s="25">
        <v>2.08231818E8</v>
      </c>
      <c r="B334" s="25" t="s">
        <v>1462</v>
      </c>
      <c r="C334" s="26">
        <v>49.0</v>
      </c>
      <c r="D334" s="25" t="s">
        <v>649</v>
      </c>
      <c r="E334" s="25" t="s">
        <v>661</v>
      </c>
      <c r="F334" s="25" t="s">
        <v>1463</v>
      </c>
      <c r="G334" s="25" t="s">
        <v>1464</v>
      </c>
      <c r="H334" s="26" t="s">
        <v>1465</v>
      </c>
      <c r="I334" s="26" t="s">
        <v>1466</v>
      </c>
      <c r="J334" s="27"/>
    </row>
    <row r="335">
      <c r="A335" s="25">
        <v>2.10170666E8</v>
      </c>
      <c r="B335" s="25" t="s">
        <v>1467</v>
      </c>
      <c r="C335" s="26">
        <v>35.0</v>
      </c>
      <c r="D335" s="25" t="s">
        <v>698</v>
      </c>
      <c r="E335" s="25" t="s">
        <v>661</v>
      </c>
      <c r="F335" s="25" t="s">
        <v>730</v>
      </c>
      <c r="G335" s="25" t="s">
        <v>675</v>
      </c>
      <c r="H335" s="26" t="s">
        <v>1468</v>
      </c>
      <c r="I335" s="26" t="s">
        <v>1469</v>
      </c>
      <c r="J335" s="28">
        <v>33127.0</v>
      </c>
    </row>
    <row r="336">
      <c r="A336" s="25">
        <v>1.10231842E8</v>
      </c>
      <c r="B336" s="25" t="s">
        <v>1470</v>
      </c>
      <c r="C336" s="26">
        <v>42.0</v>
      </c>
      <c r="D336" s="25" t="s">
        <v>649</v>
      </c>
      <c r="E336" s="25" t="s">
        <v>650</v>
      </c>
      <c r="F336" s="25" t="s">
        <v>758</v>
      </c>
      <c r="G336" s="25" t="s">
        <v>663</v>
      </c>
      <c r="H336" s="26" t="s">
        <v>1471</v>
      </c>
      <c r="I336" s="26" t="s">
        <v>1471</v>
      </c>
      <c r="J336" s="28">
        <v>30599.0</v>
      </c>
    </row>
    <row r="337">
      <c r="A337" s="25">
        <v>1.10211511E8</v>
      </c>
      <c r="B337" s="25" t="s">
        <v>1472</v>
      </c>
      <c r="C337" s="26">
        <v>40.0</v>
      </c>
      <c r="D337" s="25" t="s">
        <v>649</v>
      </c>
      <c r="E337" s="25" t="s">
        <v>650</v>
      </c>
      <c r="F337" s="25" t="s">
        <v>678</v>
      </c>
      <c r="G337" s="25" t="s">
        <v>663</v>
      </c>
      <c r="H337" s="26" t="s">
        <v>1473</v>
      </c>
      <c r="I337" s="26" t="s">
        <v>1473</v>
      </c>
      <c r="J337" s="27"/>
    </row>
    <row r="338">
      <c r="A338" s="25">
        <v>2.03241902E8</v>
      </c>
      <c r="B338" s="25" t="s">
        <v>1474</v>
      </c>
      <c r="C338" s="26">
        <v>0.0</v>
      </c>
      <c r="D338" s="30"/>
      <c r="E338" s="25" t="s">
        <v>661</v>
      </c>
      <c r="F338" s="25" t="s">
        <v>719</v>
      </c>
      <c r="G338" s="29" t="b">
        <v>0</v>
      </c>
      <c r="H338" s="30"/>
      <c r="I338" s="30"/>
      <c r="J338" s="27"/>
    </row>
    <row r="339">
      <c r="A339" s="25">
        <v>2.0523177E8</v>
      </c>
      <c r="B339" s="25" t="s">
        <v>1475</v>
      </c>
      <c r="C339" s="26">
        <v>41.0</v>
      </c>
      <c r="D339" s="25" t="s">
        <v>649</v>
      </c>
      <c r="E339" s="25" t="s">
        <v>661</v>
      </c>
      <c r="F339" s="25" t="s">
        <v>818</v>
      </c>
      <c r="G339" s="25" t="s">
        <v>675</v>
      </c>
      <c r="H339" s="26" t="s">
        <v>1476</v>
      </c>
      <c r="I339" s="26" t="s">
        <v>1476</v>
      </c>
      <c r="J339" s="27"/>
    </row>
    <row r="340">
      <c r="A340" s="25">
        <v>2.01221568E8</v>
      </c>
      <c r="B340" s="25" t="s">
        <v>1477</v>
      </c>
      <c r="C340" s="26">
        <v>25.0</v>
      </c>
      <c r="D340" s="25" t="s">
        <v>649</v>
      </c>
      <c r="E340" s="25" t="s">
        <v>661</v>
      </c>
      <c r="F340" s="25" t="s">
        <v>794</v>
      </c>
      <c r="G340" s="25" t="s">
        <v>663</v>
      </c>
      <c r="H340" s="26" t="s">
        <v>1478</v>
      </c>
      <c r="I340" s="26" t="s">
        <v>1478</v>
      </c>
      <c r="J340" s="27"/>
    </row>
    <row r="341">
      <c r="A341" s="25">
        <v>2.05241924E8</v>
      </c>
      <c r="B341" s="25" t="s">
        <v>1479</v>
      </c>
      <c r="C341" s="26">
        <v>29.0</v>
      </c>
      <c r="D341" s="25" t="s">
        <v>649</v>
      </c>
      <c r="E341" s="25" t="s">
        <v>661</v>
      </c>
      <c r="F341" s="25" t="s">
        <v>719</v>
      </c>
      <c r="G341" s="25" t="s">
        <v>668</v>
      </c>
      <c r="H341" s="30"/>
      <c r="I341" s="30"/>
      <c r="J341" s="27"/>
    </row>
    <row r="342">
      <c r="A342" s="25">
        <v>1.10211521E8</v>
      </c>
      <c r="B342" s="25" t="s">
        <v>1480</v>
      </c>
      <c r="C342" s="26">
        <v>24.0</v>
      </c>
      <c r="D342" s="25" t="s">
        <v>649</v>
      </c>
      <c r="E342" s="25" t="s">
        <v>650</v>
      </c>
      <c r="F342" s="25" t="s">
        <v>862</v>
      </c>
      <c r="G342" s="25" t="s">
        <v>668</v>
      </c>
      <c r="H342" s="26" t="s">
        <v>1481</v>
      </c>
      <c r="I342" s="26" t="s">
        <v>1482</v>
      </c>
      <c r="J342" s="27"/>
    </row>
    <row r="343">
      <c r="A343" s="25">
        <v>2.10201263E8</v>
      </c>
      <c r="B343" s="25" t="s">
        <v>1483</v>
      </c>
      <c r="C343" s="26">
        <v>29.0</v>
      </c>
      <c r="D343" s="25" t="s">
        <v>649</v>
      </c>
      <c r="E343" s="25" t="s">
        <v>661</v>
      </c>
      <c r="F343" s="25" t="s">
        <v>715</v>
      </c>
      <c r="G343" s="25" t="s">
        <v>663</v>
      </c>
      <c r="H343" s="26" t="s">
        <v>1484</v>
      </c>
      <c r="I343" s="26" t="s">
        <v>1485</v>
      </c>
      <c r="J343" s="27"/>
    </row>
    <row r="344">
      <c r="A344" s="25">
        <v>1.07190982E8</v>
      </c>
      <c r="B344" s="25" t="s">
        <v>1486</v>
      </c>
      <c r="C344" s="26">
        <v>44.0</v>
      </c>
      <c r="D344" s="25" t="s">
        <v>649</v>
      </c>
      <c r="E344" s="25" t="s">
        <v>650</v>
      </c>
      <c r="F344" s="25" t="s">
        <v>678</v>
      </c>
      <c r="G344" s="25" t="s">
        <v>663</v>
      </c>
      <c r="H344" s="26" t="s">
        <v>1487</v>
      </c>
      <c r="I344" s="26" t="s">
        <v>1487</v>
      </c>
      <c r="J344" s="28">
        <v>29657.0</v>
      </c>
    </row>
    <row r="345">
      <c r="A345" s="25">
        <v>2.04221618E8</v>
      </c>
      <c r="B345" s="25" t="s">
        <v>1486</v>
      </c>
      <c r="C345" s="26">
        <v>43.0</v>
      </c>
      <c r="D345" s="25" t="s">
        <v>649</v>
      </c>
      <c r="E345" s="25" t="s">
        <v>661</v>
      </c>
      <c r="F345" s="25" t="s">
        <v>1015</v>
      </c>
      <c r="G345" s="25" t="s">
        <v>675</v>
      </c>
      <c r="H345" s="26" t="s">
        <v>1488</v>
      </c>
      <c r="I345" s="26" t="s">
        <v>1488</v>
      </c>
      <c r="J345" s="28">
        <v>29768.0</v>
      </c>
    </row>
    <row r="346">
      <c r="A346" s="25">
        <v>1.10180556E8</v>
      </c>
      <c r="B346" s="25" t="s">
        <v>1489</v>
      </c>
      <c r="C346" s="26">
        <v>22.0</v>
      </c>
      <c r="D346" s="25" t="s">
        <v>649</v>
      </c>
      <c r="E346" s="25" t="s">
        <v>650</v>
      </c>
      <c r="F346" s="25" t="s">
        <v>1133</v>
      </c>
      <c r="G346" s="25" t="s">
        <v>668</v>
      </c>
      <c r="H346" s="26" t="s">
        <v>1490</v>
      </c>
      <c r="I346" s="26" t="s">
        <v>1490</v>
      </c>
      <c r="J346" s="27"/>
    </row>
    <row r="347">
      <c r="A347" s="25">
        <v>1.10221687E8</v>
      </c>
      <c r="B347" s="25" t="s">
        <v>1491</v>
      </c>
      <c r="C347" s="26">
        <v>19.0</v>
      </c>
      <c r="D347" s="25" t="s">
        <v>649</v>
      </c>
      <c r="E347" s="25" t="s">
        <v>650</v>
      </c>
      <c r="F347" s="25" t="s">
        <v>862</v>
      </c>
      <c r="G347" s="25" t="s">
        <v>668</v>
      </c>
      <c r="H347" s="26" t="s">
        <v>1492</v>
      </c>
      <c r="I347" s="26" t="s">
        <v>1493</v>
      </c>
      <c r="J347" s="27"/>
    </row>
    <row r="348">
      <c r="A348" s="25">
        <v>4.09230008E8</v>
      </c>
      <c r="B348" s="25" t="s">
        <v>1494</v>
      </c>
      <c r="C348" s="26">
        <v>24.0</v>
      </c>
      <c r="D348" s="25" t="s">
        <v>649</v>
      </c>
      <c r="E348" s="25" t="s">
        <v>650</v>
      </c>
      <c r="F348" s="25" t="s">
        <v>1273</v>
      </c>
      <c r="G348" s="25" t="s">
        <v>652</v>
      </c>
      <c r="H348" s="26" t="s">
        <v>1495</v>
      </c>
      <c r="I348" s="26" t="s">
        <v>1496</v>
      </c>
      <c r="J348" s="27"/>
    </row>
    <row r="349">
      <c r="A349" s="25">
        <v>2.07231809E8</v>
      </c>
      <c r="B349" s="25" t="s">
        <v>1497</v>
      </c>
      <c r="C349" s="26">
        <v>0.0</v>
      </c>
      <c r="D349" s="30"/>
      <c r="E349" s="25" t="s">
        <v>661</v>
      </c>
      <c r="F349" s="25" t="s">
        <v>710</v>
      </c>
      <c r="G349" s="25" t="s">
        <v>668</v>
      </c>
      <c r="H349" s="26" t="s">
        <v>1498</v>
      </c>
      <c r="I349" s="26" t="s">
        <v>1499</v>
      </c>
      <c r="J349" s="27"/>
    </row>
    <row r="350">
      <c r="A350" s="25">
        <v>1.0521141E8</v>
      </c>
      <c r="B350" s="25" t="s">
        <v>1500</v>
      </c>
      <c r="C350" s="26">
        <v>40.0</v>
      </c>
      <c r="D350" s="25" t="s">
        <v>649</v>
      </c>
      <c r="E350" s="25" t="s">
        <v>650</v>
      </c>
      <c r="F350" s="25" t="s">
        <v>818</v>
      </c>
      <c r="G350" s="25" t="s">
        <v>675</v>
      </c>
      <c r="H350" s="26" t="s">
        <v>1501</v>
      </c>
      <c r="I350" s="26" t="s">
        <v>1501</v>
      </c>
      <c r="J350" s="27"/>
    </row>
    <row r="351">
      <c r="A351" s="25">
        <v>2.09221675E8</v>
      </c>
      <c r="B351" s="25" t="s">
        <v>1502</v>
      </c>
      <c r="C351" s="26">
        <v>28.0</v>
      </c>
      <c r="D351" s="25" t="s">
        <v>649</v>
      </c>
      <c r="E351" s="25" t="s">
        <v>661</v>
      </c>
      <c r="F351" s="25" t="s">
        <v>1267</v>
      </c>
      <c r="G351" s="25" t="s">
        <v>663</v>
      </c>
      <c r="H351" s="26" t="s">
        <v>1503</v>
      </c>
      <c r="I351" s="26" t="s">
        <v>1504</v>
      </c>
      <c r="J351" s="27"/>
    </row>
    <row r="352">
      <c r="A352" s="25">
        <v>2.0524193E8</v>
      </c>
      <c r="B352" s="25" t="s">
        <v>1505</v>
      </c>
      <c r="C352" s="26">
        <v>0.0</v>
      </c>
      <c r="D352" s="30"/>
      <c r="E352" s="25" t="s">
        <v>661</v>
      </c>
      <c r="F352" s="25" t="s">
        <v>741</v>
      </c>
      <c r="G352" s="25" t="s">
        <v>675</v>
      </c>
      <c r="H352" s="30"/>
      <c r="I352" s="30"/>
      <c r="J352" s="27"/>
    </row>
    <row r="353">
      <c r="A353" s="25">
        <v>3.01210041E8</v>
      </c>
      <c r="B353" s="25" t="s">
        <v>1505</v>
      </c>
      <c r="C353" s="26">
        <v>34.0</v>
      </c>
      <c r="D353" s="25" t="s">
        <v>649</v>
      </c>
      <c r="E353" s="25" t="s">
        <v>681</v>
      </c>
      <c r="F353" s="25" t="s">
        <v>741</v>
      </c>
      <c r="G353" s="25" t="s">
        <v>675</v>
      </c>
      <c r="H353" s="30"/>
      <c r="I353" s="30"/>
      <c r="J353" s="27"/>
    </row>
    <row r="354">
      <c r="A354" s="25">
        <v>1.06211431E8</v>
      </c>
      <c r="B354" s="25" t="s">
        <v>1506</v>
      </c>
      <c r="C354" s="26">
        <v>21.0</v>
      </c>
      <c r="D354" s="25" t="s">
        <v>649</v>
      </c>
      <c r="E354" s="25" t="s">
        <v>650</v>
      </c>
      <c r="F354" s="25" t="s">
        <v>719</v>
      </c>
      <c r="G354" s="25" t="s">
        <v>668</v>
      </c>
      <c r="H354" s="26" t="s">
        <v>1507</v>
      </c>
      <c r="I354" s="26" t="s">
        <v>1507</v>
      </c>
      <c r="J354" s="27"/>
    </row>
    <row r="355">
      <c r="A355" s="25">
        <v>2.05231772E8</v>
      </c>
      <c r="B355" s="25" t="s">
        <v>1508</v>
      </c>
      <c r="C355" s="26">
        <v>21.0</v>
      </c>
      <c r="D355" s="25" t="s">
        <v>649</v>
      </c>
      <c r="E355" s="25" t="s">
        <v>661</v>
      </c>
      <c r="F355" s="25" t="s">
        <v>733</v>
      </c>
      <c r="G355" s="25" t="s">
        <v>652</v>
      </c>
      <c r="H355" s="26" t="s">
        <v>1509</v>
      </c>
      <c r="I355" s="26" t="s">
        <v>1509</v>
      </c>
      <c r="J355" s="27"/>
    </row>
    <row r="356">
      <c r="A356" s="25">
        <v>1.06211426E8</v>
      </c>
      <c r="B356" s="25" t="s">
        <v>1510</v>
      </c>
      <c r="C356" s="26">
        <v>22.0</v>
      </c>
      <c r="D356" s="25" t="s">
        <v>649</v>
      </c>
      <c r="E356" s="25" t="s">
        <v>650</v>
      </c>
      <c r="F356" s="25" t="s">
        <v>956</v>
      </c>
      <c r="G356" s="25" t="s">
        <v>668</v>
      </c>
      <c r="H356" s="26" t="s">
        <v>1511</v>
      </c>
      <c r="I356" s="26" t="s">
        <v>1512</v>
      </c>
      <c r="J356" s="27"/>
    </row>
    <row r="357">
      <c r="A357" s="25">
        <v>2.09201227E8</v>
      </c>
      <c r="B357" s="25" t="s">
        <v>1513</v>
      </c>
      <c r="C357" s="26">
        <v>41.0</v>
      </c>
      <c r="D357" s="25" t="s">
        <v>649</v>
      </c>
      <c r="E357" s="25" t="s">
        <v>661</v>
      </c>
      <c r="F357" s="25" t="s">
        <v>678</v>
      </c>
      <c r="G357" s="25" t="s">
        <v>663</v>
      </c>
      <c r="H357" s="26" t="s">
        <v>1514</v>
      </c>
      <c r="I357" s="26" t="s">
        <v>1514</v>
      </c>
      <c r="J357" s="28">
        <v>30750.0</v>
      </c>
    </row>
    <row r="358">
      <c r="A358" s="25">
        <v>1.09201237E8</v>
      </c>
      <c r="B358" s="25" t="s">
        <v>1515</v>
      </c>
      <c r="C358" s="26">
        <v>34.0</v>
      </c>
      <c r="D358" s="25" t="s">
        <v>649</v>
      </c>
      <c r="E358" s="25" t="s">
        <v>650</v>
      </c>
      <c r="F358" s="25" t="s">
        <v>864</v>
      </c>
      <c r="G358" s="25" t="s">
        <v>668</v>
      </c>
      <c r="H358" s="26" t="s">
        <v>1516</v>
      </c>
      <c r="I358" s="26" t="s">
        <v>1516</v>
      </c>
      <c r="J358" s="28">
        <v>33133.0</v>
      </c>
    </row>
    <row r="359">
      <c r="A359" s="25">
        <v>1.04190817E8</v>
      </c>
      <c r="B359" s="25" t="s">
        <v>1517</v>
      </c>
      <c r="C359" s="26">
        <v>39.0</v>
      </c>
      <c r="D359" s="25" t="s">
        <v>698</v>
      </c>
      <c r="E359" s="25" t="s">
        <v>650</v>
      </c>
      <c r="F359" s="25" t="s">
        <v>719</v>
      </c>
      <c r="G359" s="25" t="s">
        <v>668</v>
      </c>
      <c r="H359" s="26" t="s">
        <v>1518</v>
      </c>
      <c r="I359" s="26" t="s">
        <v>1519</v>
      </c>
      <c r="J359" s="27"/>
    </row>
    <row r="360">
      <c r="A360" s="25">
        <v>2.03190797E8</v>
      </c>
      <c r="B360" s="25" t="s">
        <v>1520</v>
      </c>
      <c r="C360" s="26">
        <v>34.0</v>
      </c>
      <c r="D360" s="25" t="s">
        <v>649</v>
      </c>
      <c r="E360" s="25" t="s">
        <v>661</v>
      </c>
      <c r="F360" s="25" t="s">
        <v>678</v>
      </c>
      <c r="G360" s="25" t="s">
        <v>663</v>
      </c>
      <c r="H360" s="26" t="s">
        <v>1521</v>
      </c>
      <c r="I360" s="26" t="s">
        <v>1521</v>
      </c>
      <c r="J360" s="28">
        <v>33383.0</v>
      </c>
    </row>
    <row r="361">
      <c r="A361" s="25">
        <v>2.04231751E8</v>
      </c>
      <c r="B361" s="25" t="s">
        <v>1522</v>
      </c>
      <c r="C361" s="26">
        <v>44.0</v>
      </c>
      <c r="D361" s="25" t="s">
        <v>649</v>
      </c>
      <c r="E361" s="25" t="s">
        <v>661</v>
      </c>
      <c r="F361" s="25" t="s">
        <v>794</v>
      </c>
      <c r="G361" s="25" t="s">
        <v>663</v>
      </c>
      <c r="H361" s="26" t="s">
        <v>1523</v>
      </c>
      <c r="I361" s="26" t="s">
        <v>1524</v>
      </c>
      <c r="J361" s="27"/>
    </row>
    <row r="362">
      <c r="A362" s="25">
        <v>1.01199001E8</v>
      </c>
      <c r="B362" s="25" t="s">
        <v>1525</v>
      </c>
      <c r="C362" s="26">
        <v>0.0</v>
      </c>
      <c r="D362" s="27"/>
      <c r="E362" s="25" t="s">
        <v>650</v>
      </c>
      <c r="F362" s="29" t="b">
        <v>0</v>
      </c>
      <c r="G362" s="29" t="b">
        <v>0</v>
      </c>
      <c r="H362" s="27"/>
      <c r="I362" s="27"/>
      <c r="J362" s="27"/>
    </row>
    <row r="363">
      <c r="A363" s="25">
        <v>1.02150004E8</v>
      </c>
      <c r="B363" s="25" t="s">
        <v>1526</v>
      </c>
      <c r="C363" s="26">
        <v>34.0</v>
      </c>
      <c r="D363" s="25" t="s">
        <v>698</v>
      </c>
      <c r="E363" s="25" t="s">
        <v>650</v>
      </c>
      <c r="F363" s="25" t="s">
        <v>1527</v>
      </c>
      <c r="G363" s="25" t="s">
        <v>663</v>
      </c>
      <c r="H363" s="26" t="s">
        <v>1528</v>
      </c>
      <c r="I363" s="26" t="s">
        <v>1528</v>
      </c>
      <c r="J363" s="27"/>
    </row>
    <row r="364">
      <c r="A364" s="25">
        <v>2.0224191E8</v>
      </c>
      <c r="B364" s="25" t="s">
        <v>1529</v>
      </c>
      <c r="C364" s="26">
        <v>0.0</v>
      </c>
      <c r="D364" s="30"/>
      <c r="E364" s="25" t="s">
        <v>661</v>
      </c>
      <c r="F364" s="25" t="s">
        <v>719</v>
      </c>
      <c r="G364" s="25" t="s">
        <v>668</v>
      </c>
      <c r="H364" s="30"/>
      <c r="I364" s="30"/>
      <c r="J364" s="27"/>
    </row>
    <row r="365">
      <c r="A365" s="25">
        <v>1.12191119E8</v>
      </c>
      <c r="B365" s="25" t="s">
        <v>1530</v>
      </c>
      <c r="C365" s="26">
        <v>49.0</v>
      </c>
      <c r="D365" s="25" t="s">
        <v>649</v>
      </c>
      <c r="E365" s="25" t="s">
        <v>650</v>
      </c>
      <c r="F365" s="25" t="s">
        <v>818</v>
      </c>
      <c r="G365" s="25" t="s">
        <v>675</v>
      </c>
      <c r="H365" s="26" t="s">
        <v>1531</v>
      </c>
      <c r="I365" s="26" t="s">
        <v>1531</v>
      </c>
      <c r="J365" s="28">
        <v>27759.0</v>
      </c>
    </row>
    <row r="366">
      <c r="A366" s="25">
        <v>1.06190928E8</v>
      </c>
      <c r="B366" s="25" t="s">
        <v>1532</v>
      </c>
      <c r="C366" s="26">
        <v>44.0</v>
      </c>
      <c r="D366" s="25" t="s">
        <v>698</v>
      </c>
      <c r="E366" s="25" t="s">
        <v>650</v>
      </c>
      <c r="F366" s="25" t="s">
        <v>1533</v>
      </c>
      <c r="G366" s="25" t="s">
        <v>668</v>
      </c>
      <c r="H366" s="26" t="s">
        <v>1534</v>
      </c>
      <c r="I366" s="26" t="s">
        <v>1534</v>
      </c>
      <c r="J366" s="27"/>
    </row>
    <row r="367">
      <c r="A367" s="25">
        <v>1.05190857E8</v>
      </c>
      <c r="B367" s="25" t="s">
        <v>1535</v>
      </c>
      <c r="C367" s="26">
        <v>24.0</v>
      </c>
      <c r="D367" s="25" t="s">
        <v>655</v>
      </c>
      <c r="E367" s="25" t="s">
        <v>650</v>
      </c>
      <c r="F367" s="25" t="s">
        <v>862</v>
      </c>
      <c r="G367" s="25" t="s">
        <v>668</v>
      </c>
      <c r="H367" s="26" t="s">
        <v>1536</v>
      </c>
      <c r="I367" s="26" t="s">
        <v>1536</v>
      </c>
      <c r="J367" s="27"/>
    </row>
    <row r="368">
      <c r="A368" s="25">
        <v>2.06221635E8</v>
      </c>
      <c r="B368" s="25" t="s">
        <v>1537</v>
      </c>
      <c r="C368" s="26">
        <v>29.0</v>
      </c>
      <c r="D368" s="25" t="s">
        <v>649</v>
      </c>
      <c r="E368" s="25" t="s">
        <v>661</v>
      </c>
      <c r="F368" s="25" t="s">
        <v>1133</v>
      </c>
      <c r="G368" s="25" t="s">
        <v>668</v>
      </c>
      <c r="H368" s="26" t="s">
        <v>1538</v>
      </c>
      <c r="I368" s="26" t="s">
        <v>1538</v>
      </c>
      <c r="J368" s="27"/>
    </row>
    <row r="369">
      <c r="A369" s="25">
        <v>1.02201135E8</v>
      </c>
      <c r="B369" s="25" t="s">
        <v>1539</v>
      </c>
      <c r="C369" s="26">
        <v>36.0</v>
      </c>
      <c r="D369" s="25" t="s">
        <v>698</v>
      </c>
      <c r="E369" s="25" t="s">
        <v>650</v>
      </c>
      <c r="F369" s="25" t="s">
        <v>678</v>
      </c>
      <c r="G369" s="25" t="s">
        <v>663</v>
      </c>
      <c r="H369" s="26" t="s">
        <v>1540</v>
      </c>
      <c r="I369" s="26" t="s">
        <v>1541</v>
      </c>
      <c r="J369" s="27"/>
    </row>
    <row r="370">
      <c r="A370" s="25">
        <v>1.06201156E8</v>
      </c>
      <c r="B370" s="25" t="s">
        <v>1542</v>
      </c>
      <c r="C370" s="26">
        <v>56.0</v>
      </c>
      <c r="D370" s="25" t="s">
        <v>698</v>
      </c>
      <c r="E370" s="25" t="s">
        <v>650</v>
      </c>
      <c r="F370" s="25" t="s">
        <v>833</v>
      </c>
      <c r="G370" s="25" t="s">
        <v>726</v>
      </c>
      <c r="H370" s="26" t="s">
        <v>1543</v>
      </c>
      <c r="I370" s="26" t="s">
        <v>1544</v>
      </c>
      <c r="J370" s="27"/>
    </row>
    <row r="371">
      <c r="A371" s="25">
        <v>2.03241901E8</v>
      </c>
      <c r="B371" s="25" t="s">
        <v>1545</v>
      </c>
      <c r="C371" s="26">
        <v>0.0</v>
      </c>
      <c r="D371" s="30"/>
      <c r="E371" s="25" t="s">
        <v>661</v>
      </c>
      <c r="F371" s="25" t="s">
        <v>662</v>
      </c>
      <c r="G371" s="25" t="s">
        <v>663</v>
      </c>
      <c r="H371" s="26" t="s">
        <v>1546</v>
      </c>
      <c r="I371" s="26" t="s">
        <v>1547</v>
      </c>
      <c r="J371" s="27"/>
    </row>
    <row r="372">
      <c r="A372" s="25">
        <v>3.01210045E8</v>
      </c>
      <c r="B372" s="25" t="s">
        <v>1548</v>
      </c>
      <c r="C372" s="26">
        <v>45.0</v>
      </c>
      <c r="D372" s="25" t="s">
        <v>698</v>
      </c>
      <c r="E372" s="25" t="s">
        <v>681</v>
      </c>
      <c r="F372" s="25" t="s">
        <v>1287</v>
      </c>
      <c r="G372" s="25" t="s">
        <v>675</v>
      </c>
      <c r="H372" s="30"/>
      <c r="I372" s="30"/>
      <c r="J372" s="27"/>
    </row>
    <row r="373">
      <c r="A373" s="25">
        <v>1.11201276E8</v>
      </c>
      <c r="B373" s="25" t="s">
        <v>1549</v>
      </c>
      <c r="C373" s="26">
        <v>48.0</v>
      </c>
      <c r="D373" s="25" t="s">
        <v>649</v>
      </c>
      <c r="E373" s="25" t="s">
        <v>650</v>
      </c>
      <c r="F373" s="25" t="s">
        <v>674</v>
      </c>
      <c r="G373" s="25" t="s">
        <v>675</v>
      </c>
      <c r="H373" s="26" t="s">
        <v>1550</v>
      </c>
      <c r="I373" s="26" t="s">
        <v>1550</v>
      </c>
      <c r="J373" s="28">
        <v>28395.0</v>
      </c>
    </row>
    <row r="374">
      <c r="A374" s="25">
        <v>2.10221697E8</v>
      </c>
      <c r="B374" s="25" t="s">
        <v>1551</v>
      </c>
      <c r="C374" s="26">
        <v>20.0</v>
      </c>
      <c r="D374" s="25" t="s">
        <v>649</v>
      </c>
      <c r="E374" s="25" t="s">
        <v>661</v>
      </c>
      <c r="F374" s="25" t="s">
        <v>687</v>
      </c>
      <c r="G374" s="25" t="s">
        <v>675</v>
      </c>
      <c r="H374" s="26" t="s">
        <v>1552</v>
      </c>
      <c r="I374" s="26" t="s">
        <v>1552</v>
      </c>
      <c r="J374" s="27"/>
    </row>
    <row r="375">
      <c r="A375" s="25">
        <v>1.1019109E8</v>
      </c>
      <c r="B375" s="25" t="s">
        <v>1553</v>
      </c>
      <c r="C375" s="26">
        <v>38.0</v>
      </c>
      <c r="D375" s="25" t="s">
        <v>649</v>
      </c>
      <c r="E375" s="25" t="s">
        <v>650</v>
      </c>
      <c r="F375" s="25" t="s">
        <v>678</v>
      </c>
      <c r="G375" s="25" t="s">
        <v>663</v>
      </c>
      <c r="H375" s="26" t="s">
        <v>1554</v>
      </c>
      <c r="I375" s="26" t="s">
        <v>1554</v>
      </c>
      <c r="J375" s="28">
        <v>35131.0</v>
      </c>
    </row>
    <row r="376">
      <c r="A376" s="25">
        <v>1.10211499E8</v>
      </c>
      <c r="B376" s="25" t="s">
        <v>1555</v>
      </c>
      <c r="C376" s="26">
        <v>0.0</v>
      </c>
      <c r="D376" s="25" t="s">
        <v>655</v>
      </c>
      <c r="E376" s="25" t="s">
        <v>650</v>
      </c>
      <c r="F376" s="25" t="s">
        <v>687</v>
      </c>
      <c r="G376" s="25" t="s">
        <v>675</v>
      </c>
      <c r="H376" s="26" t="s">
        <v>1556</v>
      </c>
      <c r="I376" s="26" t="s">
        <v>1556</v>
      </c>
      <c r="J376" s="27"/>
    </row>
    <row r="377">
      <c r="A377" s="25">
        <v>2.02231723E8</v>
      </c>
      <c r="B377" s="25" t="s">
        <v>1557</v>
      </c>
      <c r="C377" s="26">
        <v>26.0</v>
      </c>
      <c r="D377" s="25" t="s">
        <v>655</v>
      </c>
      <c r="E377" s="25" t="s">
        <v>661</v>
      </c>
      <c r="F377" s="25" t="s">
        <v>687</v>
      </c>
      <c r="G377" s="25" t="s">
        <v>675</v>
      </c>
      <c r="H377" s="26" t="s">
        <v>1558</v>
      </c>
      <c r="I377" s="26" t="s">
        <v>1559</v>
      </c>
      <c r="J377" s="27"/>
    </row>
    <row r="378">
      <c r="A378" s="25">
        <v>3.06210074E8</v>
      </c>
      <c r="B378" s="25" t="s">
        <v>1560</v>
      </c>
      <c r="C378" s="26">
        <v>48.0</v>
      </c>
      <c r="D378" s="25" t="s">
        <v>698</v>
      </c>
      <c r="E378" s="25" t="s">
        <v>681</v>
      </c>
      <c r="F378" s="25" t="s">
        <v>821</v>
      </c>
      <c r="G378" s="25" t="s">
        <v>663</v>
      </c>
      <c r="H378" s="30"/>
      <c r="I378" s="30"/>
      <c r="J378" s="27"/>
    </row>
    <row r="379">
      <c r="A379" s="25">
        <v>1.08201209E8</v>
      </c>
      <c r="B379" s="25" t="s">
        <v>1561</v>
      </c>
      <c r="C379" s="26">
        <v>42.0</v>
      </c>
      <c r="D379" s="25" t="s">
        <v>649</v>
      </c>
      <c r="E379" s="25" t="s">
        <v>650</v>
      </c>
      <c r="F379" s="25" t="s">
        <v>678</v>
      </c>
      <c r="G379" s="25" t="s">
        <v>663</v>
      </c>
      <c r="H379" s="26" t="s">
        <v>1562</v>
      </c>
      <c r="I379" s="26" t="s">
        <v>1563</v>
      </c>
      <c r="J379" s="28">
        <v>30463.0</v>
      </c>
    </row>
    <row r="380">
      <c r="A380" s="25">
        <v>2.1020125E8</v>
      </c>
      <c r="B380" s="25" t="s">
        <v>1564</v>
      </c>
      <c r="C380" s="26">
        <v>42.0</v>
      </c>
      <c r="D380" s="25" t="s">
        <v>649</v>
      </c>
      <c r="E380" s="25" t="s">
        <v>661</v>
      </c>
      <c r="F380" s="25" t="s">
        <v>678</v>
      </c>
      <c r="G380" s="25" t="s">
        <v>663</v>
      </c>
      <c r="H380" s="26" t="s">
        <v>1565</v>
      </c>
      <c r="I380" s="26" t="s">
        <v>1566</v>
      </c>
      <c r="J380" s="27"/>
    </row>
    <row r="381">
      <c r="A381" s="25">
        <v>2.02241884E8</v>
      </c>
      <c r="B381" s="25" t="s">
        <v>1567</v>
      </c>
      <c r="C381" s="26">
        <v>0.0</v>
      </c>
      <c r="D381" s="27"/>
      <c r="E381" s="25" t="s">
        <v>661</v>
      </c>
      <c r="F381" s="25" t="s">
        <v>862</v>
      </c>
      <c r="G381" s="25" t="s">
        <v>668</v>
      </c>
      <c r="H381" s="30"/>
      <c r="I381" s="30"/>
      <c r="J381" s="27"/>
    </row>
    <row r="382">
      <c r="A382" s="25">
        <v>1.10201246E8</v>
      </c>
      <c r="B382" s="25" t="s">
        <v>1568</v>
      </c>
      <c r="C382" s="26">
        <v>46.0</v>
      </c>
      <c r="D382" s="25" t="s">
        <v>698</v>
      </c>
      <c r="E382" s="25" t="s">
        <v>650</v>
      </c>
      <c r="F382" s="25" t="s">
        <v>730</v>
      </c>
      <c r="G382" s="25" t="s">
        <v>675</v>
      </c>
      <c r="H382" s="26" t="s">
        <v>1569</v>
      </c>
      <c r="I382" s="26" t="s">
        <v>1570</v>
      </c>
      <c r="J382" s="27"/>
    </row>
    <row r="383">
      <c r="A383" s="25">
        <v>1.0117009E8</v>
      </c>
      <c r="B383" s="25" t="s">
        <v>1571</v>
      </c>
      <c r="C383" s="26">
        <v>0.0</v>
      </c>
      <c r="D383" s="27"/>
      <c r="E383" s="25" t="s">
        <v>650</v>
      </c>
      <c r="F383" s="25" t="s">
        <v>1245</v>
      </c>
      <c r="G383" s="25" t="s">
        <v>668</v>
      </c>
      <c r="H383" s="26" t="s">
        <v>1572</v>
      </c>
      <c r="I383" s="26" t="s">
        <v>1572</v>
      </c>
      <c r="J383" s="27"/>
    </row>
    <row r="384">
      <c r="A384" s="25">
        <v>2.04190819E8</v>
      </c>
      <c r="B384" s="25" t="s">
        <v>1573</v>
      </c>
      <c r="C384" s="26">
        <v>56.0</v>
      </c>
      <c r="D384" s="25" t="s">
        <v>698</v>
      </c>
      <c r="E384" s="25" t="s">
        <v>661</v>
      </c>
      <c r="F384" s="25" t="s">
        <v>670</v>
      </c>
      <c r="G384" s="25" t="s">
        <v>668</v>
      </c>
      <c r="H384" s="26" t="s">
        <v>1574</v>
      </c>
      <c r="I384" s="26" t="s">
        <v>1575</v>
      </c>
      <c r="J384" s="28">
        <v>27643.0</v>
      </c>
    </row>
    <row r="385">
      <c r="A385" s="25">
        <v>1.05241926E8</v>
      </c>
      <c r="B385" s="25" t="s">
        <v>1576</v>
      </c>
      <c r="C385" s="26">
        <v>0.0</v>
      </c>
      <c r="D385" s="30"/>
      <c r="E385" s="25" t="s">
        <v>650</v>
      </c>
      <c r="F385" s="25" t="s">
        <v>833</v>
      </c>
      <c r="G385" s="25" t="s">
        <v>726</v>
      </c>
      <c r="H385" s="30"/>
      <c r="I385" s="30"/>
      <c r="J385" s="27"/>
    </row>
    <row r="386">
      <c r="A386" s="25">
        <v>1.12231863E8</v>
      </c>
      <c r="B386" s="25" t="s">
        <v>1577</v>
      </c>
      <c r="C386" s="26">
        <v>0.0</v>
      </c>
      <c r="D386" s="30"/>
      <c r="E386" s="25" t="s">
        <v>650</v>
      </c>
      <c r="F386" s="25" t="s">
        <v>758</v>
      </c>
      <c r="G386" s="25" t="s">
        <v>663</v>
      </c>
      <c r="H386" s="26" t="s">
        <v>1578</v>
      </c>
      <c r="I386" s="26" t="s">
        <v>1579</v>
      </c>
      <c r="J386" s="28">
        <v>37555.0</v>
      </c>
    </row>
    <row r="387">
      <c r="A387" s="25">
        <v>1.02130003E8</v>
      </c>
      <c r="B387" s="25" t="s">
        <v>1580</v>
      </c>
      <c r="C387" s="26">
        <v>36.0</v>
      </c>
      <c r="D387" s="25" t="s">
        <v>649</v>
      </c>
      <c r="E387" s="25" t="s">
        <v>650</v>
      </c>
      <c r="F387" s="25" t="s">
        <v>1581</v>
      </c>
      <c r="G387" s="25" t="s">
        <v>675</v>
      </c>
      <c r="H387" s="26" t="s">
        <v>1582</v>
      </c>
      <c r="I387" s="26" t="s">
        <v>1582</v>
      </c>
      <c r="J387" s="27"/>
    </row>
    <row r="388">
      <c r="A388" s="25">
        <v>2.0820118E8</v>
      </c>
      <c r="B388" s="25" t="s">
        <v>1583</v>
      </c>
      <c r="C388" s="26">
        <v>43.0</v>
      </c>
      <c r="D388" s="25" t="s">
        <v>649</v>
      </c>
      <c r="E388" s="25" t="s">
        <v>661</v>
      </c>
      <c r="F388" s="25" t="s">
        <v>678</v>
      </c>
      <c r="G388" s="25" t="s">
        <v>663</v>
      </c>
      <c r="H388" s="26" t="s">
        <v>1584</v>
      </c>
      <c r="I388" s="26" t="s">
        <v>1585</v>
      </c>
      <c r="J388" s="27"/>
    </row>
    <row r="389">
      <c r="A389" s="25">
        <v>2.05241923E8</v>
      </c>
      <c r="B389" s="25" t="s">
        <v>1586</v>
      </c>
      <c r="C389" s="26">
        <v>21.0</v>
      </c>
      <c r="D389" s="25" t="s">
        <v>649</v>
      </c>
      <c r="E389" s="25" t="s">
        <v>661</v>
      </c>
      <c r="F389" s="25" t="s">
        <v>710</v>
      </c>
      <c r="G389" s="25" t="s">
        <v>668</v>
      </c>
      <c r="H389" s="30"/>
      <c r="I389" s="30"/>
      <c r="J389" s="27"/>
    </row>
    <row r="390">
      <c r="A390" s="25">
        <v>2.07231808E8</v>
      </c>
      <c r="B390" s="25" t="s">
        <v>1587</v>
      </c>
      <c r="C390" s="26">
        <v>0.0</v>
      </c>
      <c r="D390" s="30"/>
      <c r="E390" s="25" t="s">
        <v>661</v>
      </c>
      <c r="F390" s="25" t="s">
        <v>862</v>
      </c>
      <c r="G390" s="25" t="s">
        <v>668</v>
      </c>
      <c r="H390" s="26" t="s">
        <v>1588</v>
      </c>
      <c r="I390" s="26" t="s">
        <v>1589</v>
      </c>
      <c r="J390" s="27"/>
    </row>
    <row r="391">
      <c r="A391" s="25">
        <v>1.09221674E8</v>
      </c>
      <c r="B391" s="25" t="s">
        <v>1590</v>
      </c>
      <c r="C391" s="26">
        <v>30.0</v>
      </c>
      <c r="D391" s="25" t="s">
        <v>698</v>
      </c>
      <c r="E391" s="25" t="s">
        <v>650</v>
      </c>
      <c r="F391" s="25" t="s">
        <v>841</v>
      </c>
      <c r="G391" s="25" t="s">
        <v>652</v>
      </c>
      <c r="H391" s="26" t="s">
        <v>1591</v>
      </c>
      <c r="I391" s="26" t="s">
        <v>1592</v>
      </c>
      <c r="J391" s="27"/>
    </row>
    <row r="392">
      <c r="A392" s="25">
        <v>1.07211454E8</v>
      </c>
      <c r="B392" s="25" t="s">
        <v>1593</v>
      </c>
      <c r="C392" s="26">
        <v>44.0</v>
      </c>
      <c r="D392" s="25" t="s">
        <v>649</v>
      </c>
      <c r="E392" s="25" t="s">
        <v>650</v>
      </c>
      <c r="F392" s="25" t="s">
        <v>678</v>
      </c>
      <c r="G392" s="25" t="s">
        <v>663</v>
      </c>
      <c r="H392" s="26" t="s">
        <v>1594</v>
      </c>
      <c r="I392" s="26" t="s">
        <v>1595</v>
      </c>
      <c r="J392" s="28">
        <v>32103.0</v>
      </c>
    </row>
    <row r="393">
      <c r="A393" s="25">
        <v>1.03211357E8</v>
      </c>
      <c r="B393" s="25" t="s">
        <v>1596</v>
      </c>
      <c r="C393" s="26">
        <v>34.0</v>
      </c>
      <c r="D393" s="25" t="s">
        <v>649</v>
      </c>
      <c r="E393" s="25" t="s">
        <v>650</v>
      </c>
      <c r="F393" s="25" t="s">
        <v>1597</v>
      </c>
      <c r="G393" s="25" t="s">
        <v>652</v>
      </c>
      <c r="H393" s="26" t="s">
        <v>1598</v>
      </c>
      <c r="I393" s="26" t="s">
        <v>1598</v>
      </c>
      <c r="J393" s="27"/>
    </row>
    <row r="394">
      <c r="A394" s="25">
        <v>2.0923184E8</v>
      </c>
      <c r="B394" s="25" t="s">
        <v>1599</v>
      </c>
      <c r="C394" s="26">
        <v>0.0</v>
      </c>
      <c r="D394" s="30"/>
      <c r="E394" s="25" t="s">
        <v>661</v>
      </c>
      <c r="F394" s="25" t="s">
        <v>758</v>
      </c>
      <c r="G394" s="25" t="s">
        <v>663</v>
      </c>
      <c r="H394" s="26" t="s">
        <v>1600</v>
      </c>
      <c r="I394" s="26" t="s">
        <v>1601</v>
      </c>
      <c r="J394" s="27"/>
    </row>
    <row r="395">
      <c r="A395" s="25">
        <v>2.05241917E8</v>
      </c>
      <c r="B395" s="25" t="s">
        <v>1599</v>
      </c>
      <c r="C395" s="26">
        <v>0.0</v>
      </c>
      <c r="D395" s="30"/>
      <c r="E395" s="25" t="s">
        <v>661</v>
      </c>
      <c r="F395" s="25" t="s">
        <v>862</v>
      </c>
      <c r="G395" s="25" t="s">
        <v>668</v>
      </c>
      <c r="H395" s="30"/>
      <c r="I395" s="30"/>
      <c r="J395" s="27"/>
    </row>
    <row r="396">
      <c r="A396" s="25">
        <v>1.04211377E8</v>
      </c>
      <c r="B396" s="25" t="s">
        <v>1602</v>
      </c>
      <c r="C396" s="26">
        <v>22.0</v>
      </c>
      <c r="D396" s="25" t="s">
        <v>649</v>
      </c>
      <c r="E396" s="25" t="s">
        <v>650</v>
      </c>
      <c r="F396" s="25" t="s">
        <v>719</v>
      </c>
      <c r="G396" s="25" t="s">
        <v>668</v>
      </c>
      <c r="H396" s="26" t="s">
        <v>1603</v>
      </c>
      <c r="I396" s="26" t="s">
        <v>1604</v>
      </c>
      <c r="J396" s="27"/>
    </row>
    <row r="397">
      <c r="A397" s="25">
        <v>1.12191124E8</v>
      </c>
      <c r="B397" s="25" t="s">
        <v>1605</v>
      </c>
      <c r="C397" s="26">
        <v>24.0</v>
      </c>
      <c r="D397" s="25" t="s">
        <v>655</v>
      </c>
      <c r="E397" s="25" t="s">
        <v>650</v>
      </c>
      <c r="F397" s="25" t="s">
        <v>1015</v>
      </c>
      <c r="G397" s="25" t="s">
        <v>675</v>
      </c>
      <c r="H397" s="26" t="s">
        <v>1606</v>
      </c>
      <c r="I397" s="26" t="s">
        <v>1606</v>
      </c>
      <c r="J397" s="27"/>
    </row>
    <row r="398">
      <c r="A398" s="25">
        <v>2.12231873E8</v>
      </c>
      <c r="B398" s="25" t="s">
        <v>1607</v>
      </c>
      <c r="C398" s="26">
        <v>0.0</v>
      </c>
      <c r="D398" s="30"/>
      <c r="E398" s="25" t="s">
        <v>661</v>
      </c>
      <c r="F398" s="25" t="s">
        <v>741</v>
      </c>
      <c r="G398" s="25" t="s">
        <v>675</v>
      </c>
      <c r="H398" s="27"/>
      <c r="I398" s="27"/>
      <c r="J398" s="27"/>
    </row>
    <row r="399">
      <c r="A399" s="25">
        <v>3.06200008E8</v>
      </c>
      <c r="B399" s="25" t="s">
        <v>1608</v>
      </c>
      <c r="C399" s="26">
        <v>22.0</v>
      </c>
      <c r="D399" s="25" t="s">
        <v>649</v>
      </c>
      <c r="E399" s="25" t="s">
        <v>681</v>
      </c>
      <c r="F399" s="25" t="s">
        <v>733</v>
      </c>
      <c r="G399" s="25" t="s">
        <v>652</v>
      </c>
      <c r="H399" s="26" t="s">
        <v>1609</v>
      </c>
      <c r="I399" s="26" t="s">
        <v>1610</v>
      </c>
      <c r="J399" s="27"/>
    </row>
    <row r="400">
      <c r="A400" s="25">
        <v>2.02241887E8</v>
      </c>
      <c r="B400" s="25" t="s">
        <v>1611</v>
      </c>
      <c r="C400" s="26">
        <v>23.0</v>
      </c>
      <c r="D400" s="25" t="s">
        <v>698</v>
      </c>
      <c r="E400" s="25" t="s">
        <v>661</v>
      </c>
      <c r="F400" s="25" t="s">
        <v>667</v>
      </c>
      <c r="G400" s="25" t="s">
        <v>668</v>
      </c>
      <c r="H400" s="30"/>
      <c r="I400" s="30"/>
      <c r="J400" s="27"/>
    </row>
    <row r="401">
      <c r="A401" s="25">
        <v>2.05241916E8</v>
      </c>
      <c r="B401" s="25" t="s">
        <v>1612</v>
      </c>
      <c r="C401" s="26">
        <v>0.0</v>
      </c>
      <c r="D401" s="30"/>
      <c r="E401" s="25" t="s">
        <v>661</v>
      </c>
      <c r="F401" s="25" t="s">
        <v>719</v>
      </c>
      <c r="G401" s="25" t="s">
        <v>668</v>
      </c>
      <c r="H401" s="30"/>
      <c r="I401" s="30"/>
      <c r="J401" s="27"/>
    </row>
    <row r="402">
      <c r="A402" s="25">
        <v>2.05231771E8</v>
      </c>
      <c r="B402" s="25" t="s">
        <v>1613</v>
      </c>
      <c r="C402" s="26">
        <v>23.0</v>
      </c>
      <c r="D402" s="25" t="s">
        <v>649</v>
      </c>
      <c r="E402" s="25" t="s">
        <v>661</v>
      </c>
      <c r="F402" s="25" t="s">
        <v>777</v>
      </c>
      <c r="G402" s="25" t="s">
        <v>726</v>
      </c>
      <c r="H402" s="26" t="s">
        <v>1614</v>
      </c>
      <c r="I402" s="26" t="s">
        <v>1615</v>
      </c>
      <c r="J402" s="27"/>
    </row>
    <row r="403">
      <c r="A403" s="25">
        <v>2.10201254E8</v>
      </c>
      <c r="B403" s="25" t="s">
        <v>1616</v>
      </c>
      <c r="C403" s="26">
        <v>27.0</v>
      </c>
      <c r="D403" s="25" t="s">
        <v>649</v>
      </c>
      <c r="E403" s="25" t="s">
        <v>661</v>
      </c>
      <c r="F403" s="25" t="s">
        <v>678</v>
      </c>
      <c r="G403" s="25" t="s">
        <v>663</v>
      </c>
      <c r="H403" s="26" t="s">
        <v>1617</v>
      </c>
      <c r="I403" s="26" t="s">
        <v>1618</v>
      </c>
      <c r="J403" s="27"/>
    </row>
    <row r="404">
      <c r="A404" s="25">
        <v>1.07211445E8</v>
      </c>
      <c r="B404" s="25" t="s">
        <v>1619</v>
      </c>
      <c r="C404" s="26">
        <v>24.0</v>
      </c>
      <c r="D404" s="25" t="s">
        <v>698</v>
      </c>
      <c r="E404" s="25" t="s">
        <v>650</v>
      </c>
      <c r="F404" s="25" t="s">
        <v>824</v>
      </c>
      <c r="G404" s="25" t="s">
        <v>668</v>
      </c>
      <c r="H404" s="26" t="s">
        <v>1620</v>
      </c>
      <c r="I404" s="26" t="s">
        <v>1621</v>
      </c>
      <c r="J404" s="27"/>
    </row>
    <row r="405">
      <c r="A405" s="25">
        <v>1.07191023E8</v>
      </c>
      <c r="B405" s="25" t="s">
        <v>1622</v>
      </c>
      <c r="C405" s="26">
        <v>34.0</v>
      </c>
      <c r="D405" s="25" t="s">
        <v>649</v>
      </c>
      <c r="E405" s="25" t="s">
        <v>650</v>
      </c>
      <c r="F405" s="25" t="s">
        <v>864</v>
      </c>
      <c r="G405" s="25" t="s">
        <v>668</v>
      </c>
      <c r="H405" s="26" t="s">
        <v>1623</v>
      </c>
      <c r="I405" s="26" t="s">
        <v>1623</v>
      </c>
      <c r="J405" s="27"/>
    </row>
    <row r="406">
      <c r="A406" s="25">
        <v>2.08180635E8</v>
      </c>
      <c r="B406" s="25" t="s">
        <v>1624</v>
      </c>
      <c r="C406" s="26">
        <v>31.0</v>
      </c>
      <c r="D406" s="25" t="s">
        <v>649</v>
      </c>
      <c r="E406" s="25" t="s">
        <v>661</v>
      </c>
      <c r="F406" s="25" t="s">
        <v>1103</v>
      </c>
      <c r="G406" s="25" t="s">
        <v>675</v>
      </c>
      <c r="H406" s="26" t="s">
        <v>1625</v>
      </c>
      <c r="I406" s="26" t="s">
        <v>1625</v>
      </c>
      <c r="J406" s="28">
        <v>31255.0</v>
      </c>
    </row>
    <row r="407">
      <c r="A407" s="25">
        <v>2.07231807E8</v>
      </c>
      <c r="B407" s="25" t="s">
        <v>1626</v>
      </c>
      <c r="C407" s="26">
        <v>0.0</v>
      </c>
      <c r="D407" s="30"/>
      <c r="E407" s="25" t="s">
        <v>661</v>
      </c>
      <c r="F407" s="25" t="s">
        <v>719</v>
      </c>
      <c r="G407" s="25" t="s">
        <v>668</v>
      </c>
      <c r="H407" s="26" t="s">
        <v>1627</v>
      </c>
      <c r="I407" s="26" t="s">
        <v>1627</v>
      </c>
      <c r="J407" s="27"/>
    </row>
    <row r="408">
      <c r="A408" s="25">
        <v>2.04231754E8</v>
      </c>
      <c r="B408" s="25" t="s">
        <v>1628</v>
      </c>
      <c r="C408" s="26">
        <v>26.0</v>
      </c>
      <c r="D408" s="25" t="s">
        <v>649</v>
      </c>
      <c r="E408" s="25" t="s">
        <v>661</v>
      </c>
      <c r="F408" s="25" t="s">
        <v>758</v>
      </c>
      <c r="G408" s="25" t="s">
        <v>663</v>
      </c>
      <c r="H408" s="26" t="s">
        <v>1629</v>
      </c>
      <c r="I408" s="26" t="s">
        <v>1630</v>
      </c>
      <c r="J408" s="27"/>
    </row>
    <row r="409">
      <c r="A409" s="25">
        <v>3.05220103E8</v>
      </c>
      <c r="B409" s="25" t="s">
        <v>1631</v>
      </c>
      <c r="C409" s="26">
        <v>21.0</v>
      </c>
      <c r="D409" s="25" t="s">
        <v>698</v>
      </c>
      <c r="E409" s="25" t="s">
        <v>681</v>
      </c>
      <c r="F409" s="25" t="s">
        <v>833</v>
      </c>
      <c r="G409" s="25" t="s">
        <v>726</v>
      </c>
      <c r="H409" s="26" t="s">
        <v>1632</v>
      </c>
      <c r="I409" s="26" t="s">
        <v>1632</v>
      </c>
      <c r="J409" s="27"/>
    </row>
    <row r="410">
      <c r="A410" s="25">
        <v>2.05211392E8</v>
      </c>
      <c r="B410" s="25" t="s">
        <v>1633</v>
      </c>
      <c r="C410" s="26">
        <v>39.0</v>
      </c>
      <c r="D410" s="25" t="s">
        <v>649</v>
      </c>
      <c r="E410" s="25" t="s">
        <v>661</v>
      </c>
      <c r="F410" s="25" t="s">
        <v>741</v>
      </c>
      <c r="G410" s="25" t="s">
        <v>675</v>
      </c>
      <c r="H410" s="26" t="s">
        <v>1634</v>
      </c>
      <c r="I410" s="26" t="s">
        <v>1634</v>
      </c>
      <c r="J410" s="28">
        <v>31514.0</v>
      </c>
    </row>
    <row r="411">
      <c r="A411" s="25">
        <v>2.05231765E8</v>
      </c>
      <c r="B411" s="25" t="s">
        <v>1635</v>
      </c>
      <c r="C411" s="26">
        <v>33.0</v>
      </c>
      <c r="D411" s="25" t="s">
        <v>698</v>
      </c>
      <c r="E411" s="25" t="s">
        <v>661</v>
      </c>
      <c r="F411" s="25" t="s">
        <v>794</v>
      </c>
      <c r="G411" s="25" t="s">
        <v>663</v>
      </c>
      <c r="H411" s="26" t="s">
        <v>1636</v>
      </c>
      <c r="I411" s="26" t="s">
        <v>1637</v>
      </c>
      <c r="J411" s="27"/>
    </row>
    <row r="412">
      <c r="A412" s="25">
        <v>2.11211535E8</v>
      </c>
      <c r="B412" s="25" t="s">
        <v>1638</v>
      </c>
      <c r="C412" s="26">
        <v>51.0</v>
      </c>
      <c r="D412" s="25" t="s">
        <v>649</v>
      </c>
      <c r="E412" s="25" t="s">
        <v>661</v>
      </c>
      <c r="F412" s="25" t="s">
        <v>818</v>
      </c>
      <c r="G412" s="25" t="s">
        <v>675</v>
      </c>
      <c r="H412" s="26" t="s">
        <v>1639</v>
      </c>
      <c r="I412" s="26" t="s">
        <v>1639</v>
      </c>
      <c r="J412" s="28">
        <v>26436.0</v>
      </c>
    </row>
    <row r="413">
      <c r="A413" s="25">
        <v>1.09191073E8</v>
      </c>
      <c r="B413" s="25" t="s">
        <v>1640</v>
      </c>
      <c r="C413" s="26">
        <v>32.0</v>
      </c>
      <c r="D413" s="25" t="s">
        <v>698</v>
      </c>
      <c r="E413" s="25" t="s">
        <v>650</v>
      </c>
      <c r="F413" s="25" t="s">
        <v>1133</v>
      </c>
      <c r="G413" s="25" t="s">
        <v>668</v>
      </c>
      <c r="H413" s="26" t="s">
        <v>1641</v>
      </c>
      <c r="I413" s="26" t="s">
        <v>1641</v>
      </c>
      <c r="J413" s="27"/>
    </row>
    <row r="414">
      <c r="A414" s="25">
        <v>2.01231716E8</v>
      </c>
      <c r="B414" s="25" t="s">
        <v>1642</v>
      </c>
      <c r="C414" s="26">
        <v>39.0</v>
      </c>
      <c r="D414" s="25" t="s">
        <v>655</v>
      </c>
      <c r="E414" s="25" t="s">
        <v>661</v>
      </c>
      <c r="F414" s="25" t="s">
        <v>1453</v>
      </c>
      <c r="G414" s="25" t="s">
        <v>663</v>
      </c>
      <c r="H414" s="26" t="s">
        <v>1643</v>
      </c>
      <c r="I414" s="26" t="s">
        <v>1644</v>
      </c>
      <c r="J414" s="28">
        <v>33028.0</v>
      </c>
    </row>
    <row r="415">
      <c r="A415" s="25">
        <v>1.09201218E8</v>
      </c>
      <c r="B415" s="25" t="s">
        <v>1645</v>
      </c>
      <c r="C415" s="26">
        <v>23.0</v>
      </c>
      <c r="D415" s="25" t="s">
        <v>649</v>
      </c>
      <c r="E415" s="25" t="s">
        <v>650</v>
      </c>
      <c r="F415" s="25" t="s">
        <v>862</v>
      </c>
      <c r="G415" s="25" t="s">
        <v>668</v>
      </c>
      <c r="H415" s="26" t="s">
        <v>1646</v>
      </c>
      <c r="I415" s="26" t="s">
        <v>1647</v>
      </c>
      <c r="J415" s="27"/>
    </row>
    <row r="416">
      <c r="A416" s="25">
        <v>2.03241892E8</v>
      </c>
      <c r="B416" s="25" t="s">
        <v>1648</v>
      </c>
      <c r="C416" s="26">
        <v>0.0</v>
      </c>
      <c r="D416" s="27"/>
      <c r="E416" s="25" t="s">
        <v>661</v>
      </c>
      <c r="F416" s="25" t="s">
        <v>715</v>
      </c>
      <c r="G416" s="25" t="s">
        <v>663</v>
      </c>
      <c r="H416" s="26" t="s">
        <v>1649</v>
      </c>
      <c r="I416" s="26" t="s">
        <v>1650</v>
      </c>
      <c r="J416" s="27"/>
    </row>
    <row r="417">
      <c r="A417" s="25">
        <v>1.0715001E8</v>
      </c>
      <c r="B417" s="25" t="s">
        <v>1651</v>
      </c>
      <c r="C417" s="26">
        <v>33.0</v>
      </c>
      <c r="D417" s="25" t="s">
        <v>698</v>
      </c>
      <c r="E417" s="25" t="s">
        <v>650</v>
      </c>
      <c r="F417" s="25" t="s">
        <v>1652</v>
      </c>
      <c r="G417" s="25" t="s">
        <v>668</v>
      </c>
      <c r="H417" s="26" t="s">
        <v>1653</v>
      </c>
      <c r="I417" s="26" t="s">
        <v>1653</v>
      </c>
      <c r="J417" s="28">
        <v>32994.0</v>
      </c>
    </row>
    <row r="418">
      <c r="A418" s="25">
        <v>1.12231865E8</v>
      </c>
      <c r="B418" s="25" t="s">
        <v>1654</v>
      </c>
      <c r="C418" s="26">
        <v>0.0</v>
      </c>
      <c r="D418" s="30"/>
      <c r="E418" s="25" t="s">
        <v>650</v>
      </c>
      <c r="F418" s="25" t="s">
        <v>758</v>
      </c>
      <c r="G418" s="25" t="s">
        <v>663</v>
      </c>
      <c r="H418" s="26" t="s">
        <v>1655</v>
      </c>
      <c r="I418" s="26" t="s">
        <v>1656</v>
      </c>
      <c r="J418" s="27"/>
    </row>
    <row r="419">
      <c r="A419" s="25">
        <v>2.02231722E8</v>
      </c>
      <c r="B419" s="25" t="s">
        <v>1657</v>
      </c>
      <c r="C419" s="26">
        <v>36.0</v>
      </c>
      <c r="D419" s="25" t="s">
        <v>649</v>
      </c>
      <c r="E419" s="25" t="s">
        <v>661</v>
      </c>
      <c r="F419" s="25" t="s">
        <v>678</v>
      </c>
      <c r="G419" s="25" t="s">
        <v>663</v>
      </c>
      <c r="H419" s="26" t="s">
        <v>1658</v>
      </c>
      <c r="I419" s="26" t="s">
        <v>1659</v>
      </c>
      <c r="J419" s="28">
        <v>35635.0</v>
      </c>
    </row>
    <row r="420">
      <c r="A420" s="25">
        <v>3.02230108E8</v>
      </c>
      <c r="B420" s="25" t="s">
        <v>1660</v>
      </c>
      <c r="C420" s="26">
        <v>23.0</v>
      </c>
      <c r="D420" s="25" t="s">
        <v>649</v>
      </c>
      <c r="E420" s="25" t="s">
        <v>681</v>
      </c>
      <c r="F420" s="25" t="s">
        <v>777</v>
      </c>
      <c r="G420" s="25" t="s">
        <v>726</v>
      </c>
      <c r="H420" s="26" t="s">
        <v>1661</v>
      </c>
      <c r="I420" s="26" t="s">
        <v>1661</v>
      </c>
      <c r="J420" s="27"/>
    </row>
    <row r="421">
      <c r="A421" s="25">
        <v>2.07231795E8</v>
      </c>
      <c r="B421" s="25" t="s">
        <v>1662</v>
      </c>
      <c r="C421" s="26">
        <v>26.0</v>
      </c>
      <c r="D421" s="25" t="s">
        <v>649</v>
      </c>
      <c r="E421" s="25" t="s">
        <v>661</v>
      </c>
      <c r="F421" s="25" t="s">
        <v>1258</v>
      </c>
      <c r="G421" s="25" t="s">
        <v>675</v>
      </c>
      <c r="H421" s="26" t="s">
        <v>1663</v>
      </c>
      <c r="I421" s="26" t="s">
        <v>1663</v>
      </c>
      <c r="J421" s="28">
        <v>35677.0</v>
      </c>
    </row>
    <row r="422">
      <c r="A422" s="25">
        <v>2.12231871E8</v>
      </c>
      <c r="B422" s="25" t="s">
        <v>1664</v>
      </c>
      <c r="C422" s="26">
        <v>0.0</v>
      </c>
      <c r="D422" s="30"/>
      <c r="E422" s="25" t="s">
        <v>661</v>
      </c>
      <c r="F422" s="25" t="s">
        <v>758</v>
      </c>
      <c r="G422" s="25" t="s">
        <v>663</v>
      </c>
      <c r="H422" s="26" t="s">
        <v>1665</v>
      </c>
      <c r="I422" s="26" t="s">
        <v>1666</v>
      </c>
      <c r="J422" s="27"/>
    </row>
    <row r="423">
      <c r="A423" s="25">
        <v>2.08191035E8</v>
      </c>
      <c r="B423" s="25" t="s">
        <v>1667</v>
      </c>
      <c r="C423" s="26">
        <v>27.0</v>
      </c>
      <c r="D423" s="25" t="s">
        <v>655</v>
      </c>
      <c r="E423" s="25" t="s">
        <v>661</v>
      </c>
      <c r="F423" s="25" t="s">
        <v>741</v>
      </c>
      <c r="G423" s="25" t="s">
        <v>668</v>
      </c>
      <c r="H423" s="26" t="s">
        <v>1668</v>
      </c>
      <c r="I423" s="26" t="s">
        <v>1668</v>
      </c>
      <c r="J423" s="27"/>
    </row>
    <row r="424">
      <c r="A424" s="25">
        <v>2.04231752E8</v>
      </c>
      <c r="B424" s="25" t="s">
        <v>1669</v>
      </c>
      <c r="C424" s="26">
        <v>39.0</v>
      </c>
      <c r="D424" s="25" t="s">
        <v>649</v>
      </c>
      <c r="E424" s="25" t="s">
        <v>661</v>
      </c>
      <c r="F424" s="25" t="s">
        <v>794</v>
      </c>
      <c r="G424" s="25" t="s">
        <v>663</v>
      </c>
      <c r="H424" s="26" t="s">
        <v>1670</v>
      </c>
      <c r="I424" s="26" t="s">
        <v>1671</v>
      </c>
      <c r="J424" s="27"/>
    </row>
    <row r="425">
      <c r="A425" s="25">
        <v>1.09201238E8</v>
      </c>
      <c r="B425" s="25" t="s">
        <v>1672</v>
      </c>
      <c r="C425" s="26">
        <v>0.0</v>
      </c>
      <c r="D425" s="30"/>
      <c r="E425" s="25" t="s">
        <v>650</v>
      </c>
      <c r="F425" s="25" t="s">
        <v>818</v>
      </c>
      <c r="G425" s="25" t="s">
        <v>675</v>
      </c>
      <c r="H425" s="26" t="s">
        <v>1673</v>
      </c>
      <c r="I425" s="26" t="s">
        <v>1673</v>
      </c>
      <c r="J425" s="27"/>
    </row>
    <row r="426">
      <c r="A426" s="25">
        <v>2.08231819E8</v>
      </c>
      <c r="B426" s="25" t="s">
        <v>1674</v>
      </c>
      <c r="C426" s="26">
        <v>19.0</v>
      </c>
      <c r="D426" s="25" t="s">
        <v>698</v>
      </c>
      <c r="E426" s="25" t="s">
        <v>661</v>
      </c>
      <c r="F426" s="25" t="s">
        <v>837</v>
      </c>
      <c r="G426" s="25" t="s">
        <v>726</v>
      </c>
      <c r="H426" s="26" t="s">
        <v>1675</v>
      </c>
      <c r="I426" s="26" t="s">
        <v>1676</v>
      </c>
      <c r="J426" s="27"/>
    </row>
    <row r="427">
      <c r="A427" s="25">
        <v>1.07190977E8</v>
      </c>
      <c r="B427" s="25" t="s">
        <v>1677</v>
      </c>
      <c r="C427" s="26">
        <v>35.0</v>
      </c>
      <c r="D427" s="25" t="s">
        <v>698</v>
      </c>
      <c r="E427" s="25" t="s">
        <v>650</v>
      </c>
      <c r="F427" s="25" t="s">
        <v>667</v>
      </c>
      <c r="G427" s="25" t="s">
        <v>668</v>
      </c>
      <c r="H427" s="26" t="s">
        <v>1678</v>
      </c>
      <c r="I427" s="26" t="s">
        <v>1678</v>
      </c>
      <c r="J427" s="27"/>
    </row>
    <row r="428">
      <c r="A428" s="25">
        <v>1.04211371E8</v>
      </c>
      <c r="B428" s="25" t="s">
        <v>1679</v>
      </c>
      <c r="C428" s="26">
        <v>28.0</v>
      </c>
      <c r="D428" s="25" t="s">
        <v>698</v>
      </c>
      <c r="E428" s="25" t="s">
        <v>650</v>
      </c>
      <c r="F428" s="25" t="s">
        <v>715</v>
      </c>
      <c r="G428" s="25" t="s">
        <v>663</v>
      </c>
      <c r="H428" s="26" t="s">
        <v>1680</v>
      </c>
      <c r="I428" s="26" t="s">
        <v>1681</v>
      </c>
      <c r="J428" s="27"/>
    </row>
    <row r="429">
      <c r="A429" s="25">
        <v>1.05211388E8</v>
      </c>
      <c r="B429" s="25" t="s">
        <v>1682</v>
      </c>
      <c r="C429" s="26">
        <v>46.0</v>
      </c>
      <c r="D429" s="25" t="s">
        <v>649</v>
      </c>
      <c r="E429" s="25" t="s">
        <v>650</v>
      </c>
      <c r="F429" s="25" t="s">
        <v>678</v>
      </c>
      <c r="G429" s="25" t="s">
        <v>663</v>
      </c>
      <c r="H429" s="26" t="s">
        <v>1683</v>
      </c>
      <c r="I429" s="26" t="s">
        <v>1683</v>
      </c>
      <c r="J429" s="27"/>
    </row>
    <row r="430">
      <c r="A430" s="25">
        <v>2.06211416E8</v>
      </c>
      <c r="B430" s="25" t="s">
        <v>1684</v>
      </c>
      <c r="C430" s="26">
        <v>50.0</v>
      </c>
      <c r="D430" s="25" t="s">
        <v>698</v>
      </c>
      <c r="E430" s="25" t="s">
        <v>661</v>
      </c>
      <c r="F430" s="25" t="s">
        <v>674</v>
      </c>
      <c r="G430" s="25" t="s">
        <v>675</v>
      </c>
      <c r="H430" s="26" t="s">
        <v>1685</v>
      </c>
      <c r="I430" s="26" t="s">
        <v>1685</v>
      </c>
      <c r="J430" s="28">
        <v>30600.0</v>
      </c>
    </row>
    <row r="431">
      <c r="A431" s="25">
        <v>2.10211522E8</v>
      </c>
      <c r="B431" s="25" t="s">
        <v>1686</v>
      </c>
      <c r="C431" s="26">
        <v>41.0</v>
      </c>
      <c r="D431" s="25" t="s">
        <v>698</v>
      </c>
      <c r="E431" s="25" t="s">
        <v>661</v>
      </c>
      <c r="F431" s="25" t="s">
        <v>1015</v>
      </c>
      <c r="G431" s="25" t="s">
        <v>675</v>
      </c>
      <c r="H431" s="26" t="s">
        <v>1687</v>
      </c>
      <c r="I431" s="26" t="s">
        <v>1688</v>
      </c>
      <c r="J431" s="27"/>
    </row>
    <row r="432">
      <c r="A432" s="25">
        <v>2.03221599E8</v>
      </c>
      <c r="B432" s="25" t="s">
        <v>1689</v>
      </c>
      <c r="C432" s="26">
        <v>31.0</v>
      </c>
      <c r="D432" s="25" t="s">
        <v>649</v>
      </c>
      <c r="E432" s="25" t="s">
        <v>661</v>
      </c>
      <c r="F432" s="25" t="s">
        <v>972</v>
      </c>
      <c r="G432" s="25" t="s">
        <v>668</v>
      </c>
      <c r="H432" s="26" t="s">
        <v>1690</v>
      </c>
      <c r="I432" s="26" t="s">
        <v>1691</v>
      </c>
      <c r="J432" s="27"/>
    </row>
    <row r="433">
      <c r="A433" s="25">
        <v>1.03170231E8</v>
      </c>
      <c r="B433" s="25" t="s">
        <v>1692</v>
      </c>
      <c r="C433" s="26">
        <v>49.0</v>
      </c>
      <c r="D433" s="25" t="s">
        <v>649</v>
      </c>
      <c r="E433" s="25" t="s">
        <v>650</v>
      </c>
      <c r="F433" s="25" t="s">
        <v>833</v>
      </c>
      <c r="G433" s="25" t="s">
        <v>726</v>
      </c>
      <c r="H433" s="26" t="s">
        <v>1693</v>
      </c>
      <c r="I433" s="26" t="s">
        <v>1694</v>
      </c>
      <c r="J433" s="27"/>
    </row>
    <row r="434">
      <c r="A434" s="25">
        <v>2.03221603E8</v>
      </c>
      <c r="B434" s="25" t="s">
        <v>1695</v>
      </c>
      <c r="C434" s="26">
        <v>26.0</v>
      </c>
      <c r="D434" s="25" t="s">
        <v>698</v>
      </c>
      <c r="E434" s="25" t="s">
        <v>661</v>
      </c>
      <c r="F434" s="25" t="s">
        <v>678</v>
      </c>
      <c r="G434" s="25" t="s">
        <v>663</v>
      </c>
      <c r="H434" s="26" t="s">
        <v>1696</v>
      </c>
      <c r="I434" s="26" t="s">
        <v>1697</v>
      </c>
      <c r="J434" s="27"/>
    </row>
    <row r="435">
      <c r="A435" s="25">
        <v>2.02201131E8</v>
      </c>
      <c r="B435" s="25" t="s">
        <v>1698</v>
      </c>
      <c r="C435" s="26">
        <v>47.0</v>
      </c>
      <c r="D435" s="25" t="s">
        <v>649</v>
      </c>
      <c r="E435" s="25" t="s">
        <v>661</v>
      </c>
      <c r="F435" s="25" t="s">
        <v>818</v>
      </c>
      <c r="G435" s="25" t="s">
        <v>675</v>
      </c>
      <c r="H435" s="26" t="s">
        <v>1699</v>
      </c>
      <c r="I435" s="26" t="s">
        <v>1699</v>
      </c>
      <c r="J435" s="28">
        <v>29316.0</v>
      </c>
    </row>
    <row r="436">
      <c r="A436" s="25">
        <v>2.06231775E8</v>
      </c>
      <c r="B436" s="25" t="s">
        <v>1700</v>
      </c>
      <c r="C436" s="26">
        <v>25.0</v>
      </c>
      <c r="D436" s="25" t="s">
        <v>649</v>
      </c>
      <c r="E436" s="25" t="s">
        <v>661</v>
      </c>
      <c r="F436" s="25" t="s">
        <v>715</v>
      </c>
      <c r="G436" s="25" t="s">
        <v>663</v>
      </c>
      <c r="H436" s="26" t="s">
        <v>1701</v>
      </c>
      <c r="I436" s="26" t="s">
        <v>1702</v>
      </c>
      <c r="J436" s="27"/>
    </row>
    <row r="437">
      <c r="A437" s="25">
        <v>2.03221604E8</v>
      </c>
      <c r="B437" s="25" t="s">
        <v>1703</v>
      </c>
      <c r="C437" s="26">
        <v>46.0</v>
      </c>
      <c r="D437" s="25" t="s">
        <v>649</v>
      </c>
      <c r="E437" s="25" t="s">
        <v>661</v>
      </c>
      <c r="F437" s="25" t="s">
        <v>678</v>
      </c>
      <c r="G437" s="25" t="s">
        <v>663</v>
      </c>
      <c r="H437" s="26" t="s">
        <v>1704</v>
      </c>
      <c r="I437" s="26" t="s">
        <v>1705</v>
      </c>
      <c r="J437" s="28">
        <v>30427.0</v>
      </c>
    </row>
    <row r="438">
      <c r="A438" s="25">
        <v>1.08201192E8</v>
      </c>
      <c r="B438" s="25" t="s">
        <v>1706</v>
      </c>
      <c r="C438" s="26">
        <v>47.0</v>
      </c>
      <c r="D438" s="25" t="s">
        <v>649</v>
      </c>
      <c r="E438" s="25" t="s">
        <v>650</v>
      </c>
      <c r="F438" s="25" t="s">
        <v>678</v>
      </c>
      <c r="G438" s="25" t="s">
        <v>663</v>
      </c>
      <c r="H438" s="26" t="s">
        <v>1707</v>
      </c>
      <c r="I438" s="26" t="s">
        <v>1708</v>
      </c>
      <c r="J438" s="28">
        <v>28183.0</v>
      </c>
    </row>
    <row r="439">
      <c r="A439" s="25">
        <v>1.05241927E8</v>
      </c>
      <c r="B439" s="25" t="s">
        <v>1709</v>
      </c>
      <c r="C439" s="26">
        <v>0.0</v>
      </c>
      <c r="D439" s="30"/>
      <c r="E439" s="25" t="s">
        <v>650</v>
      </c>
      <c r="F439" s="25" t="s">
        <v>833</v>
      </c>
      <c r="G439" s="25" t="s">
        <v>726</v>
      </c>
      <c r="H439" s="27"/>
      <c r="I439" s="27"/>
      <c r="J439" s="27"/>
    </row>
    <row r="440">
      <c r="A440" s="30"/>
      <c r="B440" s="25" t="s">
        <v>1709</v>
      </c>
      <c r="C440" s="26">
        <v>0.0</v>
      </c>
      <c r="D440" s="27"/>
      <c r="E440" s="25" t="s">
        <v>650</v>
      </c>
      <c r="F440" s="29" t="b">
        <v>0</v>
      </c>
      <c r="G440" s="29" t="b">
        <v>0</v>
      </c>
      <c r="H440" s="27"/>
      <c r="I440" s="27"/>
      <c r="J440" s="27"/>
    </row>
    <row r="441">
      <c r="A441" s="25">
        <v>2.03241891E8</v>
      </c>
      <c r="B441" s="25" t="s">
        <v>1710</v>
      </c>
      <c r="C441" s="26">
        <v>46.0</v>
      </c>
      <c r="D441" s="25" t="s">
        <v>649</v>
      </c>
      <c r="E441" s="25" t="s">
        <v>661</v>
      </c>
      <c r="F441" s="25" t="s">
        <v>719</v>
      </c>
      <c r="G441" s="25" t="s">
        <v>668</v>
      </c>
      <c r="H441" s="30"/>
      <c r="I441" s="30"/>
      <c r="J441" s="28">
        <v>29707.0</v>
      </c>
    </row>
    <row r="442">
      <c r="A442" s="25">
        <v>1.01199002E8</v>
      </c>
      <c r="B442" s="25" t="s">
        <v>1711</v>
      </c>
      <c r="C442" s="26">
        <v>0.0</v>
      </c>
      <c r="D442" s="30"/>
      <c r="E442" s="25" t="s">
        <v>650</v>
      </c>
      <c r="F442" s="29" t="b">
        <v>0</v>
      </c>
      <c r="G442" s="29" t="b">
        <v>0</v>
      </c>
      <c r="H442" s="30"/>
      <c r="I442" s="30"/>
      <c r="J442" s="27"/>
    </row>
    <row r="443">
      <c r="A443" s="25">
        <v>1.04211369E8</v>
      </c>
      <c r="B443" s="25" t="s">
        <v>1712</v>
      </c>
      <c r="C443" s="26">
        <v>59.0</v>
      </c>
      <c r="D443" s="25" t="s">
        <v>698</v>
      </c>
      <c r="E443" s="25" t="s">
        <v>650</v>
      </c>
      <c r="F443" s="25" t="s">
        <v>678</v>
      </c>
      <c r="G443" s="25" t="s">
        <v>663</v>
      </c>
      <c r="H443" s="26" t="s">
        <v>1713</v>
      </c>
      <c r="I443" s="26" t="s">
        <v>1713</v>
      </c>
      <c r="J443" s="27"/>
    </row>
    <row r="444">
      <c r="A444" s="25">
        <v>1.1220132E8</v>
      </c>
      <c r="B444" s="25" t="s">
        <v>1714</v>
      </c>
      <c r="C444" s="26">
        <v>43.0</v>
      </c>
      <c r="D444" s="25" t="s">
        <v>649</v>
      </c>
      <c r="E444" s="25" t="s">
        <v>650</v>
      </c>
      <c r="F444" s="25" t="s">
        <v>678</v>
      </c>
      <c r="G444" s="25" t="s">
        <v>663</v>
      </c>
      <c r="H444" s="26" t="s">
        <v>1715</v>
      </c>
      <c r="I444" s="26" t="s">
        <v>1716</v>
      </c>
      <c r="J444" s="27"/>
    </row>
    <row r="445">
      <c r="A445" s="25">
        <v>1.08191062E8</v>
      </c>
      <c r="B445" s="25" t="s">
        <v>1717</v>
      </c>
      <c r="C445" s="26">
        <v>22.0</v>
      </c>
      <c r="D445" s="25" t="s">
        <v>698</v>
      </c>
      <c r="E445" s="25" t="s">
        <v>650</v>
      </c>
      <c r="F445" s="25" t="s">
        <v>743</v>
      </c>
      <c r="G445" s="25" t="s">
        <v>668</v>
      </c>
      <c r="H445" s="26" t="s">
        <v>1718</v>
      </c>
      <c r="I445" s="26" t="s">
        <v>1718</v>
      </c>
      <c r="J445" s="27"/>
    </row>
    <row r="446">
      <c r="A446" s="25">
        <v>2.11221702E8</v>
      </c>
      <c r="B446" s="25" t="s">
        <v>1719</v>
      </c>
      <c r="C446" s="26">
        <v>29.0</v>
      </c>
      <c r="D446" s="25" t="s">
        <v>649</v>
      </c>
      <c r="E446" s="25" t="s">
        <v>661</v>
      </c>
      <c r="F446" s="25" t="s">
        <v>794</v>
      </c>
      <c r="G446" s="25" t="s">
        <v>663</v>
      </c>
      <c r="H446" s="26" t="s">
        <v>1720</v>
      </c>
      <c r="I446" s="26" t="s">
        <v>1721</v>
      </c>
      <c r="J446" s="28">
        <v>35129.0</v>
      </c>
    </row>
    <row r="447">
      <c r="A447" s="25">
        <v>1.02190885E8</v>
      </c>
      <c r="B447" s="25" t="s">
        <v>1722</v>
      </c>
      <c r="C447" s="26">
        <v>53.0</v>
      </c>
      <c r="D447" s="25" t="s">
        <v>649</v>
      </c>
      <c r="E447" s="25" t="s">
        <v>650</v>
      </c>
      <c r="F447" s="25" t="s">
        <v>833</v>
      </c>
      <c r="G447" s="25" t="s">
        <v>726</v>
      </c>
      <c r="H447" s="26" t="s">
        <v>1723</v>
      </c>
      <c r="I447" s="26" t="s">
        <v>1723</v>
      </c>
      <c r="J447" s="27"/>
    </row>
    <row r="448">
      <c r="A448" s="25">
        <v>1.06211437E8</v>
      </c>
      <c r="B448" s="25" t="s">
        <v>1724</v>
      </c>
      <c r="C448" s="26">
        <v>41.0</v>
      </c>
      <c r="D448" s="25" t="s">
        <v>649</v>
      </c>
      <c r="E448" s="25" t="s">
        <v>650</v>
      </c>
      <c r="F448" s="25" t="s">
        <v>818</v>
      </c>
      <c r="G448" s="25" t="s">
        <v>675</v>
      </c>
      <c r="H448" s="26" t="s">
        <v>1725</v>
      </c>
      <c r="I448" s="26" t="s">
        <v>1725</v>
      </c>
      <c r="J448" s="27"/>
    </row>
    <row r="449">
      <c r="A449" s="25">
        <v>4.07230004E8</v>
      </c>
      <c r="B449" s="25" t="s">
        <v>1726</v>
      </c>
      <c r="C449" s="26">
        <v>0.0</v>
      </c>
      <c r="D449" s="30"/>
      <c r="E449" s="25" t="s">
        <v>650</v>
      </c>
      <c r="F449" s="25" t="s">
        <v>1065</v>
      </c>
      <c r="G449" s="25" t="s">
        <v>657</v>
      </c>
      <c r="H449" s="26" t="s">
        <v>1727</v>
      </c>
      <c r="I449" s="26" t="s">
        <v>1728</v>
      </c>
      <c r="J449" s="27"/>
    </row>
    <row r="450">
      <c r="A450" s="25">
        <v>2.08231822E8</v>
      </c>
      <c r="B450" s="25" t="s">
        <v>1729</v>
      </c>
      <c r="C450" s="26">
        <v>27.0</v>
      </c>
      <c r="D450" s="25" t="s">
        <v>698</v>
      </c>
      <c r="E450" s="25" t="s">
        <v>661</v>
      </c>
      <c r="F450" s="25" t="s">
        <v>833</v>
      </c>
      <c r="G450" s="25" t="s">
        <v>726</v>
      </c>
      <c r="H450" s="26" t="s">
        <v>1730</v>
      </c>
      <c r="I450" s="26" t="s">
        <v>1731</v>
      </c>
      <c r="J450" s="27"/>
    </row>
    <row r="451">
      <c r="A451" s="25">
        <v>2.11201268E8</v>
      </c>
      <c r="B451" s="25" t="s">
        <v>1732</v>
      </c>
      <c r="C451" s="26">
        <v>37.0</v>
      </c>
      <c r="D451" s="25" t="s">
        <v>698</v>
      </c>
      <c r="E451" s="25" t="s">
        <v>661</v>
      </c>
      <c r="F451" s="25" t="s">
        <v>678</v>
      </c>
      <c r="G451" s="25" t="s">
        <v>663</v>
      </c>
      <c r="H451" s="26" t="s">
        <v>1733</v>
      </c>
      <c r="I451" s="26" t="s">
        <v>1734</v>
      </c>
      <c r="J451" s="28">
        <v>33532.0</v>
      </c>
    </row>
    <row r="452">
      <c r="A452" s="25">
        <v>1.10231845E8</v>
      </c>
      <c r="B452" s="25" t="s">
        <v>1735</v>
      </c>
      <c r="C452" s="26">
        <v>0.0</v>
      </c>
      <c r="D452" s="30"/>
      <c r="E452" s="25" t="s">
        <v>650</v>
      </c>
      <c r="F452" s="25" t="s">
        <v>758</v>
      </c>
      <c r="G452" s="25" t="s">
        <v>663</v>
      </c>
      <c r="H452" s="26" t="s">
        <v>1736</v>
      </c>
      <c r="I452" s="26" t="s">
        <v>1736</v>
      </c>
      <c r="J452" s="27"/>
    </row>
    <row r="453">
      <c r="A453" s="30"/>
      <c r="B453" s="25" t="s">
        <v>1737</v>
      </c>
      <c r="C453" s="26">
        <v>0.0</v>
      </c>
      <c r="D453" s="30"/>
      <c r="E453" s="25" t="s">
        <v>650</v>
      </c>
      <c r="F453" s="29" t="b">
        <v>0</v>
      </c>
      <c r="G453" s="29" t="b">
        <v>0</v>
      </c>
      <c r="H453" s="30"/>
      <c r="I453" s="30"/>
      <c r="J453" s="27"/>
    </row>
    <row r="454">
      <c r="A454" s="25">
        <v>1.09201224E8</v>
      </c>
      <c r="B454" s="25" t="s">
        <v>1738</v>
      </c>
      <c r="C454" s="26">
        <v>42.0</v>
      </c>
      <c r="D454" s="25" t="s">
        <v>698</v>
      </c>
      <c r="E454" s="25" t="s">
        <v>650</v>
      </c>
      <c r="F454" s="25" t="s">
        <v>1015</v>
      </c>
      <c r="G454" s="25" t="s">
        <v>675</v>
      </c>
      <c r="H454" s="26" t="s">
        <v>1739</v>
      </c>
      <c r="I454" s="26" t="s">
        <v>1740</v>
      </c>
      <c r="J454" s="28">
        <v>31877.0</v>
      </c>
    </row>
    <row r="455">
      <c r="A455" s="25">
        <v>2.06211441E8</v>
      </c>
      <c r="B455" s="25" t="s">
        <v>1741</v>
      </c>
      <c r="C455" s="26">
        <v>28.0</v>
      </c>
      <c r="D455" s="25" t="s">
        <v>698</v>
      </c>
      <c r="E455" s="25" t="s">
        <v>661</v>
      </c>
      <c r="F455" s="25" t="s">
        <v>741</v>
      </c>
      <c r="G455" s="25" t="s">
        <v>675</v>
      </c>
      <c r="H455" s="26" t="s">
        <v>1742</v>
      </c>
      <c r="I455" s="26" t="s">
        <v>1742</v>
      </c>
      <c r="J455" s="27"/>
    </row>
    <row r="456">
      <c r="A456" s="25">
        <v>2.03241904E8</v>
      </c>
      <c r="B456" s="25" t="s">
        <v>1743</v>
      </c>
      <c r="C456" s="26">
        <v>0.0</v>
      </c>
      <c r="D456" s="30"/>
      <c r="E456" s="25" t="s">
        <v>661</v>
      </c>
      <c r="F456" s="25" t="s">
        <v>733</v>
      </c>
      <c r="G456" s="25" t="s">
        <v>652</v>
      </c>
      <c r="H456" s="30"/>
      <c r="I456" s="30"/>
      <c r="J456" s="27"/>
    </row>
    <row r="457">
      <c r="A457" s="25">
        <v>1.0521139E8</v>
      </c>
      <c r="B457" s="25" t="s">
        <v>1744</v>
      </c>
      <c r="C457" s="26">
        <v>29.0</v>
      </c>
      <c r="D457" s="25" t="s">
        <v>655</v>
      </c>
      <c r="E457" s="25" t="s">
        <v>650</v>
      </c>
      <c r="F457" s="25" t="s">
        <v>741</v>
      </c>
      <c r="G457" s="25" t="s">
        <v>675</v>
      </c>
      <c r="H457" s="26" t="s">
        <v>1745</v>
      </c>
      <c r="I457" s="26" t="s">
        <v>1745</v>
      </c>
      <c r="J457" s="27"/>
    </row>
    <row r="458">
      <c r="A458" s="25">
        <v>1.12180618E8</v>
      </c>
      <c r="B458" s="25" t="s">
        <v>1746</v>
      </c>
      <c r="C458" s="26">
        <v>53.0</v>
      </c>
      <c r="D458" s="25" t="s">
        <v>649</v>
      </c>
      <c r="E458" s="25" t="s">
        <v>650</v>
      </c>
      <c r="F458" s="25" t="s">
        <v>818</v>
      </c>
      <c r="G458" s="25" t="s">
        <v>675</v>
      </c>
      <c r="H458" s="26" t="s">
        <v>1747</v>
      </c>
      <c r="I458" s="26" t="s">
        <v>1748</v>
      </c>
      <c r="J458" s="27"/>
    </row>
    <row r="459">
      <c r="A459" s="25">
        <v>2.02231721E8</v>
      </c>
      <c r="B459" s="25" t="s">
        <v>1749</v>
      </c>
      <c r="C459" s="26">
        <v>25.0</v>
      </c>
      <c r="D459" s="25" t="s">
        <v>649</v>
      </c>
      <c r="E459" s="25" t="s">
        <v>661</v>
      </c>
      <c r="F459" s="25" t="s">
        <v>794</v>
      </c>
      <c r="G459" s="25" t="s">
        <v>663</v>
      </c>
      <c r="H459" s="26" t="s">
        <v>1750</v>
      </c>
      <c r="I459" s="26" t="s">
        <v>1750</v>
      </c>
      <c r="J459" s="28">
        <v>34167.0</v>
      </c>
    </row>
    <row r="460">
      <c r="A460" s="25">
        <v>2.07231798E8</v>
      </c>
      <c r="B460" s="25" t="s">
        <v>1751</v>
      </c>
      <c r="C460" s="26">
        <v>0.0</v>
      </c>
      <c r="D460" s="30"/>
      <c r="E460" s="25" t="s">
        <v>661</v>
      </c>
      <c r="F460" s="25" t="s">
        <v>667</v>
      </c>
      <c r="G460" s="25" t="s">
        <v>668</v>
      </c>
      <c r="H460" s="26" t="s">
        <v>1752</v>
      </c>
      <c r="I460" s="26" t="s">
        <v>1752</v>
      </c>
      <c r="J460" s="27"/>
    </row>
    <row r="461">
      <c r="A461" s="25">
        <v>1.08120252E8</v>
      </c>
      <c r="B461" s="25" t="s">
        <v>1753</v>
      </c>
      <c r="C461" s="26">
        <v>54.0</v>
      </c>
      <c r="D461" s="25" t="s">
        <v>698</v>
      </c>
      <c r="E461" s="25" t="s">
        <v>650</v>
      </c>
      <c r="F461" s="25" t="s">
        <v>758</v>
      </c>
      <c r="G461" s="25" t="s">
        <v>663</v>
      </c>
      <c r="H461" s="26" t="s">
        <v>1754</v>
      </c>
      <c r="I461" s="26" t="s">
        <v>1754</v>
      </c>
      <c r="J461" s="27"/>
    </row>
    <row r="462">
      <c r="A462" s="25">
        <v>2.06211433E8</v>
      </c>
      <c r="B462" s="25" t="s">
        <v>1755</v>
      </c>
      <c r="C462" s="26">
        <v>49.0</v>
      </c>
      <c r="D462" s="25" t="s">
        <v>649</v>
      </c>
      <c r="E462" s="25" t="s">
        <v>661</v>
      </c>
      <c r="F462" s="25" t="s">
        <v>674</v>
      </c>
      <c r="G462" s="25" t="s">
        <v>675</v>
      </c>
      <c r="H462" s="26" t="s">
        <v>1756</v>
      </c>
      <c r="I462" s="26" t="s">
        <v>1757</v>
      </c>
      <c r="J462" s="27"/>
    </row>
    <row r="463">
      <c r="A463" s="25">
        <v>1.02180376E8</v>
      </c>
      <c r="B463" s="25" t="s">
        <v>1758</v>
      </c>
      <c r="C463" s="26">
        <v>30.0</v>
      </c>
      <c r="D463" s="25" t="s">
        <v>649</v>
      </c>
      <c r="E463" s="25" t="s">
        <v>650</v>
      </c>
      <c r="F463" s="25" t="s">
        <v>818</v>
      </c>
      <c r="G463" s="25" t="s">
        <v>675</v>
      </c>
      <c r="H463" s="26" t="s">
        <v>1759</v>
      </c>
      <c r="I463" s="26" t="s">
        <v>1759</v>
      </c>
      <c r="J463" s="28">
        <v>34798.0</v>
      </c>
    </row>
    <row r="464">
      <c r="A464" s="25" t="s">
        <v>1760</v>
      </c>
      <c r="B464" s="25" t="s">
        <v>1761</v>
      </c>
      <c r="C464" s="26">
        <v>27.0</v>
      </c>
      <c r="D464" s="25" t="s">
        <v>649</v>
      </c>
      <c r="E464" s="25" t="s">
        <v>681</v>
      </c>
      <c r="F464" s="25" t="s">
        <v>1224</v>
      </c>
      <c r="G464" s="25" t="s">
        <v>765</v>
      </c>
      <c r="H464" s="30"/>
      <c r="I464" s="30"/>
      <c r="J464" s="27"/>
    </row>
    <row r="465">
      <c r="A465" s="25">
        <v>1.11201302E8</v>
      </c>
      <c r="B465" s="25" t="s">
        <v>1762</v>
      </c>
      <c r="C465" s="26">
        <v>30.0</v>
      </c>
      <c r="D465" s="25" t="s">
        <v>698</v>
      </c>
      <c r="E465" s="25" t="s">
        <v>650</v>
      </c>
      <c r="F465" s="25" t="s">
        <v>1597</v>
      </c>
      <c r="G465" s="25" t="s">
        <v>652</v>
      </c>
      <c r="H465" s="26" t="s">
        <v>1763</v>
      </c>
      <c r="I465" s="26" t="s">
        <v>1764</v>
      </c>
      <c r="J465" s="27"/>
    </row>
    <row r="466">
      <c r="A466" s="25">
        <v>2.0719103E8</v>
      </c>
      <c r="B466" s="25" t="s">
        <v>1765</v>
      </c>
      <c r="C466" s="26">
        <v>73.0</v>
      </c>
      <c r="D466" s="25" t="s">
        <v>649</v>
      </c>
      <c r="E466" s="25" t="s">
        <v>661</v>
      </c>
      <c r="F466" s="25" t="s">
        <v>758</v>
      </c>
      <c r="G466" s="25" t="s">
        <v>663</v>
      </c>
      <c r="H466" s="26" t="s">
        <v>1766</v>
      </c>
      <c r="I466" s="26" t="s">
        <v>1767</v>
      </c>
      <c r="J466" s="28">
        <v>28040.0</v>
      </c>
    </row>
    <row r="467">
      <c r="A467" s="25">
        <v>1.03201149E8</v>
      </c>
      <c r="B467" s="25" t="s">
        <v>1768</v>
      </c>
      <c r="C467" s="26">
        <v>0.0</v>
      </c>
      <c r="D467" s="30"/>
      <c r="E467" s="25" t="s">
        <v>650</v>
      </c>
      <c r="F467" s="25" t="s">
        <v>1769</v>
      </c>
      <c r="G467" s="25" t="s">
        <v>668</v>
      </c>
      <c r="H467" s="26" t="s">
        <v>1770</v>
      </c>
      <c r="I467" s="26" t="s">
        <v>1771</v>
      </c>
      <c r="J467" s="27"/>
    </row>
    <row r="468">
      <c r="A468" s="25">
        <v>2.04231748E8</v>
      </c>
      <c r="B468" s="25" t="s">
        <v>1772</v>
      </c>
      <c r="C468" s="26">
        <v>23.0</v>
      </c>
      <c r="D468" s="25" t="s">
        <v>655</v>
      </c>
      <c r="E468" s="25" t="s">
        <v>661</v>
      </c>
      <c r="F468" s="25" t="s">
        <v>824</v>
      </c>
      <c r="G468" s="25" t="s">
        <v>652</v>
      </c>
      <c r="H468" s="26" t="s">
        <v>1773</v>
      </c>
      <c r="I468" s="26" t="s">
        <v>1774</v>
      </c>
      <c r="J468" s="27"/>
    </row>
    <row r="469">
      <c r="A469" s="25">
        <v>2.07231799E8</v>
      </c>
      <c r="B469" s="25" t="s">
        <v>1775</v>
      </c>
      <c r="C469" s="26">
        <v>22.0</v>
      </c>
      <c r="D469" s="25" t="s">
        <v>698</v>
      </c>
      <c r="E469" s="25" t="s">
        <v>661</v>
      </c>
      <c r="F469" s="25" t="s">
        <v>733</v>
      </c>
      <c r="G469" s="25" t="s">
        <v>652</v>
      </c>
      <c r="H469" s="26" t="s">
        <v>1776</v>
      </c>
      <c r="I469" s="26" t="s">
        <v>1776</v>
      </c>
      <c r="J469" s="27"/>
    </row>
    <row r="470">
      <c r="A470" s="25">
        <v>1.09221681E8</v>
      </c>
      <c r="B470" s="25" t="s">
        <v>1777</v>
      </c>
      <c r="C470" s="26">
        <v>24.0</v>
      </c>
      <c r="D470" s="25" t="s">
        <v>698</v>
      </c>
      <c r="E470" s="25" t="s">
        <v>650</v>
      </c>
      <c r="F470" s="25" t="s">
        <v>769</v>
      </c>
      <c r="G470" s="25" t="s">
        <v>726</v>
      </c>
      <c r="H470" s="26" t="s">
        <v>1778</v>
      </c>
      <c r="I470" s="26" t="s">
        <v>1779</v>
      </c>
      <c r="J470" s="27"/>
    </row>
    <row r="471">
      <c r="A471" s="25">
        <v>2.0223173E8</v>
      </c>
      <c r="B471" s="25" t="s">
        <v>1780</v>
      </c>
      <c r="C471" s="26">
        <v>29.0</v>
      </c>
      <c r="D471" s="25" t="s">
        <v>698</v>
      </c>
      <c r="E471" s="25" t="s">
        <v>661</v>
      </c>
      <c r="F471" s="25" t="s">
        <v>674</v>
      </c>
      <c r="G471" s="25" t="s">
        <v>675</v>
      </c>
      <c r="H471" s="26" t="s">
        <v>1781</v>
      </c>
      <c r="I471" s="26" t="s">
        <v>1781</v>
      </c>
      <c r="J471" s="27"/>
    </row>
    <row r="472">
      <c r="A472" s="25">
        <v>4.008219003</v>
      </c>
      <c r="B472" s="25" t="s">
        <v>1782</v>
      </c>
      <c r="C472" s="26">
        <v>0.0</v>
      </c>
      <c r="D472" s="30"/>
      <c r="E472" s="25" t="s">
        <v>661</v>
      </c>
      <c r="F472" s="25" t="s">
        <v>1224</v>
      </c>
      <c r="G472" s="25" t="s">
        <v>765</v>
      </c>
      <c r="H472" s="30"/>
      <c r="I472" s="30"/>
      <c r="J472" s="27"/>
    </row>
    <row r="473">
      <c r="A473" s="25">
        <v>1.06190909E8</v>
      </c>
      <c r="B473" s="25" t="s">
        <v>1783</v>
      </c>
      <c r="C473" s="26">
        <v>0.0</v>
      </c>
      <c r="D473" s="30"/>
      <c r="E473" s="25" t="s">
        <v>650</v>
      </c>
      <c r="F473" s="25" t="s">
        <v>678</v>
      </c>
      <c r="G473" s="25" t="s">
        <v>663</v>
      </c>
      <c r="H473" s="26" t="s">
        <v>1784</v>
      </c>
      <c r="I473" s="26" t="s">
        <v>1785</v>
      </c>
      <c r="J473" s="27"/>
    </row>
    <row r="474">
      <c r="A474" s="25">
        <v>1.08211466E8</v>
      </c>
      <c r="B474" s="25" t="s">
        <v>1786</v>
      </c>
      <c r="C474" s="26">
        <v>1.0</v>
      </c>
      <c r="D474" s="25" t="s">
        <v>649</v>
      </c>
      <c r="E474" s="25" t="s">
        <v>650</v>
      </c>
      <c r="F474" s="25" t="s">
        <v>719</v>
      </c>
      <c r="G474" s="25" t="s">
        <v>668</v>
      </c>
      <c r="H474" s="26" t="s">
        <v>1787</v>
      </c>
      <c r="I474" s="26" t="s">
        <v>1787</v>
      </c>
      <c r="J474" s="27"/>
    </row>
    <row r="475">
      <c r="A475" s="25">
        <v>1.04211379E8</v>
      </c>
      <c r="B475" s="25" t="s">
        <v>1788</v>
      </c>
      <c r="C475" s="26">
        <v>24.0</v>
      </c>
      <c r="D475" s="25" t="s">
        <v>698</v>
      </c>
      <c r="E475" s="25" t="s">
        <v>650</v>
      </c>
      <c r="F475" s="25" t="s">
        <v>678</v>
      </c>
      <c r="G475" s="25" t="s">
        <v>663</v>
      </c>
      <c r="H475" s="26" t="s">
        <v>1789</v>
      </c>
      <c r="I475" s="26" t="s">
        <v>1789</v>
      </c>
      <c r="J475" s="27"/>
    </row>
    <row r="476">
      <c r="A476" s="25">
        <v>1.08201191E8</v>
      </c>
      <c r="B476" s="25" t="s">
        <v>1790</v>
      </c>
      <c r="C476" s="26">
        <v>41.0</v>
      </c>
      <c r="D476" s="25" t="s">
        <v>649</v>
      </c>
      <c r="E476" s="25" t="s">
        <v>650</v>
      </c>
      <c r="F476" s="25" t="s">
        <v>741</v>
      </c>
      <c r="G476" s="25" t="s">
        <v>675</v>
      </c>
      <c r="H476" s="26" t="s">
        <v>1791</v>
      </c>
      <c r="I476" s="26" t="s">
        <v>1791</v>
      </c>
      <c r="J476" s="28">
        <v>28960.0</v>
      </c>
    </row>
    <row r="477">
      <c r="A477" s="25">
        <v>1.02190764E8</v>
      </c>
      <c r="B477" s="25" t="s">
        <v>1792</v>
      </c>
      <c r="C477" s="26">
        <v>33.0</v>
      </c>
      <c r="D477" s="25" t="s">
        <v>649</v>
      </c>
      <c r="E477" s="25" t="s">
        <v>650</v>
      </c>
      <c r="F477" s="25" t="s">
        <v>777</v>
      </c>
      <c r="G477" s="25" t="s">
        <v>726</v>
      </c>
      <c r="H477" s="26" t="s">
        <v>1793</v>
      </c>
      <c r="I477" s="26" t="s">
        <v>1794</v>
      </c>
      <c r="J477" s="27"/>
    </row>
    <row r="478">
      <c r="A478" s="25">
        <v>2.04150699E8</v>
      </c>
      <c r="B478" s="25" t="s">
        <v>1795</v>
      </c>
      <c r="C478" s="26">
        <v>63.0</v>
      </c>
      <c r="D478" s="25" t="s">
        <v>649</v>
      </c>
      <c r="E478" s="25" t="s">
        <v>661</v>
      </c>
      <c r="F478" s="25" t="s">
        <v>1597</v>
      </c>
      <c r="G478" s="25" t="s">
        <v>652</v>
      </c>
      <c r="H478" s="26" t="s">
        <v>1796</v>
      </c>
      <c r="I478" s="26" t="s">
        <v>1797</v>
      </c>
      <c r="J478" s="28">
        <v>26015.0</v>
      </c>
    </row>
    <row r="479">
      <c r="A479" s="25">
        <v>2.01241875E8</v>
      </c>
      <c r="B479" s="25" t="s">
        <v>1798</v>
      </c>
      <c r="C479" s="26">
        <v>22.0</v>
      </c>
      <c r="D479" s="25" t="s">
        <v>649</v>
      </c>
      <c r="E479" s="25" t="s">
        <v>661</v>
      </c>
      <c r="F479" s="25" t="s">
        <v>777</v>
      </c>
      <c r="G479" s="25" t="s">
        <v>726</v>
      </c>
      <c r="H479" s="26" t="s">
        <v>1799</v>
      </c>
      <c r="I479" s="26" t="s">
        <v>1800</v>
      </c>
      <c r="J479" s="27"/>
    </row>
    <row r="480">
      <c r="A480" s="25">
        <v>2.08231827E8</v>
      </c>
      <c r="B480" s="25" t="s">
        <v>1801</v>
      </c>
      <c r="C480" s="26">
        <v>33.0</v>
      </c>
      <c r="D480" s="25" t="s">
        <v>649</v>
      </c>
      <c r="E480" s="25" t="s">
        <v>661</v>
      </c>
      <c r="F480" s="25" t="s">
        <v>741</v>
      </c>
      <c r="G480" s="25" t="s">
        <v>675</v>
      </c>
      <c r="H480" s="26" t="s">
        <v>1802</v>
      </c>
      <c r="I480" s="26" t="s">
        <v>1802</v>
      </c>
      <c r="J480" s="27"/>
    </row>
    <row r="481">
      <c r="A481" s="25">
        <v>2.12211557E8</v>
      </c>
      <c r="B481" s="25" t="s">
        <v>1803</v>
      </c>
      <c r="C481" s="26">
        <v>46.0</v>
      </c>
      <c r="D481" s="25" t="s">
        <v>649</v>
      </c>
      <c r="E481" s="25" t="s">
        <v>661</v>
      </c>
      <c r="F481" s="25" t="s">
        <v>674</v>
      </c>
      <c r="G481" s="25" t="s">
        <v>675</v>
      </c>
      <c r="H481" s="26" t="s">
        <v>1804</v>
      </c>
      <c r="I481" s="26" t="s">
        <v>1804</v>
      </c>
      <c r="J481" s="27"/>
    </row>
    <row r="482">
      <c r="A482" s="25">
        <v>2.08201175E8</v>
      </c>
      <c r="B482" s="25" t="s">
        <v>1805</v>
      </c>
      <c r="C482" s="26">
        <v>48.0</v>
      </c>
      <c r="D482" s="25" t="s">
        <v>649</v>
      </c>
      <c r="E482" s="25" t="s">
        <v>661</v>
      </c>
      <c r="F482" s="25" t="s">
        <v>678</v>
      </c>
      <c r="G482" s="25" t="s">
        <v>663</v>
      </c>
      <c r="H482" s="26" t="s">
        <v>1806</v>
      </c>
      <c r="I482" s="26" t="s">
        <v>1807</v>
      </c>
      <c r="J482" s="28">
        <v>27433.0</v>
      </c>
    </row>
    <row r="483">
      <c r="A483" s="25">
        <v>2.01211333E8</v>
      </c>
      <c r="B483" s="25" t="s">
        <v>1808</v>
      </c>
      <c r="C483" s="26">
        <v>29.0</v>
      </c>
      <c r="D483" s="25" t="s">
        <v>698</v>
      </c>
      <c r="E483" s="25" t="s">
        <v>661</v>
      </c>
      <c r="F483" s="25" t="s">
        <v>741</v>
      </c>
      <c r="G483" s="25" t="s">
        <v>675</v>
      </c>
      <c r="H483" s="26" t="s">
        <v>1809</v>
      </c>
      <c r="I483" s="26" t="s">
        <v>1809</v>
      </c>
      <c r="J483" s="27"/>
    </row>
    <row r="484">
      <c r="A484" s="25">
        <v>1.07211451E8</v>
      </c>
      <c r="B484" s="25" t="s">
        <v>1808</v>
      </c>
      <c r="C484" s="26">
        <v>47.0</v>
      </c>
      <c r="D484" s="25" t="s">
        <v>649</v>
      </c>
      <c r="E484" s="25" t="s">
        <v>650</v>
      </c>
      <c r="F484" s="25" t="s">
        <v>678</v>
      </c>
      <c r="G484" s="25" t="s">
        <v>663</v>
      </c>
      <c r="H484" s="26" t="s">
        <v>1810</v>
      </c>
      <c r="I484" s="26" t="s">
        <v>1811</v>
      </c>
      <c r="J484" s="27"/>
    </row>
    <row r="485">
      <c r="A485" s="25">
        <v>1.08201196E8</v>
      </c>
      <c r="B485" s="25" t="s">
        <v>1812</v>
      </c>
      <c r="C485" s="26">
        <v>60.0</v>
      </c>
      <c r="D485" s="25" t="s">
        <v>649</v>
      </c>
      <c r="E485" s="25" t="s">
        <v>650</v>
      </c>
      <c r="F485" s="25" t="s">
        <v>678</v>
      </c>
      <c r="G485" s="25" t="s">
        <v>663</v>
      </c>
      <c r="H485" s="26" t="s">
        <v>1813</v>
      </c>
      <c r="I485" s="26" t="s">
        <v>1814</v>
      </c>
      <c r="J485" s="27"/>
    </row>
    <row r="486">
      <c r="A486" s="25">
        <v>2.09201235E8</v>
      </c>
      <c r="B486" s="25" t="s">
        <v>1815</v>
      </c>
      <c r="C486" s="26">
        <v>0.0</v>
      </c>
      <c r="D486" s="25" t="s">
        <v>649</v>
      </c>
      <c r="E486" s="25" t="s">
        <v>661</v>
      </c>
      <c r="F486" s="25" t="s">
        <v>1287</v>
      </c>
      <c r="G486" s="25" t="s">
        <v>675</v>
      </c>
      <c r="H486" s="26" t="s">
        <v>1816</v>
      </c>
      <c r="I486" s="26" t="s">
        <v>1816</v>
      </c>
      <c r="J486" s="28">
        <v>27466.0</v>
      </c>
    </row>
    <row r="487">
      <c r="A487" s="25">
        <v>2.11211543E8</v>
      </c>
      <c r="B487" s="25" t="s">
        <v>1817</v>
      </c>
      <c r="C487" s="26">
        <v>28.0</v>
      </c>
      <c r="D487" s="25" t="s">
        <v>698</v>
      </c>
      <c r="E487" s="25" t="s">
        <v>661</v>
      </c>
      <c r="F487" s="25" t="s">
        <v>678</v>
      </c>
      <c r="G487" s="25" t="s">
        <v>663</v>
      </c>
      <c r="H487" s="26" t="s">
        <v>1818</v>
      </c>
      <c r="I487" s="26" t="s">
        <v>1819</v>
      </c>
      <c r="J487" s="28">
        <v>34441.0</v>
      </c>
    </row>
    <row r="488">
      <c r="A488" s="25">
        <v>2.0122158E8</v>
      </c>
      <c r="B488" s="25" t="s">
        <v>1820</v>
      </c>
      <c r="C488" s="26">
        <v>30.0</v>
      </c>
      <c r="D488" s="25" t="s">
        <v>649</v>
      </c>
      <c r="E488" s="25" t="s">
        <v>661</v>
      </c>
      <c r="F488" s="25" t="s">
        <v>678</v>
      </c>
      <c r="G488" s="25" t="s">
        <v>663</v>
      </c>
      <c r="H488" s="26" t="s">
        <v>1821</v>
      </c>
      <c r="I488" s="26" t="s">
        <v>1822</v>
      </c>
      <c r="J488" s="28">
        <v>33154.0</v>
      </c>
    </row>
    <row r="489">
      <c r="A489" s="25">
        <v>2.12211558E8</v>
      </c>
      <c r="B489" s="25" t="s">
        <v>1823</v>
      </c>
      <c r="C489" s="26">
        <v>43.0</v>
      </c>
      <c r="D489" s="25" t="s">
        <v>649</v>
      </c>
      <c r="E489" s="25" t="s">
        <v>661</v>
      </c>
      <c r="F489" s="25" t="s">
        <v>678</v>
      </c>
      <c r="G489" s="25" t="s">
        <v>663</v>
      </c>
      <c r="H489" s="26" t="s">
        <v>1824</v>
      </c>
      <c r="I489" s="26" t="s">
        <v>1825</v>
      </c>
      <c r="J489" s="28">
        <v>30420.0</v>
      </c>
    </row>
    <row r="490">
      <c r="A490" s="25">
        <v>2.05241915E8</v>
      </c>
      <c r="B490" s="25" t="s">
        <v>1826</v>
      </c>
      <c r="C490" s="26">
        <v>0.0</v>
      </c>
      <c r="D490" s="30"/>
      <c r="E490" s="25" t="s">
        <v>661</v>
      </c>
      <c r="F490" s="25" t="s">
        <v>719</v>
      </c>
      <c r="G490" s="25" t="s">
        <v>668</v>
      </c>
      <c r="H490" s="30"/>
      <c r="I490" s="30"/>
      <c r="J490" s="27"/>
    </row>
    <row r="491">
      <c r="A491" s="25">
        <v>2.09211495E8</v>
      </c>
      <c r="B491" s="25" t="s">
        <v>1827</v>
      </c>
      <c r="C491" s="26">
        <v>36.0</v>
      </c>
      <c r="D491" s="25" t="s">
        <v>649</v>
      </c>
      <c r="E491" s="25" t="s">
        <v>661</v>
      </c>
      <c r="F491" s="25" t="s">
        <v>741</v>
      </c>
      <c r="G491" s="25" t="s">
        <v>675</v>
      </c>
      <c r="H491" s="26" t="s">
        <v>1828</v>
      </c>
      <c r="I491" s="26" t="s">
        <v>1828</v>
      </c>
      <c r="J491" s="28">
        <v>31967.0</v>
      </c>
    </row>
    <row r="492">
      <c r="A492" s="25">
        <v>1.08201195E8</v>
      </c>
      <c r="B492" s="25" t="s">
        <v>1829</v>
      </c>
      <c r="C492" s="26">
        <v>32.0</v>
      </c>
      <c r="D492" s="25" t="s">
        <v>649</v>
      </c>
      <c r="E492" s="25" t="s">
        <v>650</v>
      </c>
      <c r="F492" s="25" t="s">
        <v>674</v>
      </c>
      <c r="G492" s="25" t="s">
        <v>675</v>
      </c>
      <c r="H492" s="26" t="s">
        <v>1830</v>
      </c>
      <c r="I492" s="26" t="s">
        <v>1830</v>
      </c>
      <c r="J492" s="28">
        <v>31028.0</v>
      </c>
    </row>
    <row r="493">
      <c r="A493" s="25">
        <v>1.12201307E8</v>
      </c>
      <c r="B493" s="25" t="s">
        <v>1831</v>
      </c>
      <c r="C493" s="26">
        <v>48.0</v>
      </c>
      <c r="D493" s="25" t="s">
        <v>698</v>
      </c>
      <c r="E493" s="25" t="s">
        <v>650</v>
      </c>
      <c r="F493" s="25" t="s">
        <v>1832</v>
      </c>
      <c r="G493" s="25" t="s">
        <v>668</v>
      </c>
      <c r="H493" s="26" t="s">
        <v>1833</v>
      </c>
      <c r="I493" s="26" t="s">
        <v>1833</v>
      </c>
      <c r="J493" s="28">
        <v>29987.0</v>
      </c>
    </row>
    <row r="494">
      <c r="A494" s="25">
        <v>2.06231779E8</v>
      </c>
      <c r="B494" s="25" t="s">
        <v>1834</v>
      </c>
      <c r="C494" s="26">
        <v>21.0</v>
      </c>
      <c r="D494" s="25" t="s">
        <v>649</v>
      </c>
      <c r="E494" s="25" t="s">
        <v>661</v>
      </c>
      <c r="F494" s="25" t="s">
        <v>719</v>
      </c>
      <c r="G494" s="25" t="s">
        <v>668</v>
      </c>
      <c r="H494" s="26" t="s">
        <v>1835</v>
      </c>
      <c r="I494" s="26" t="s">
        <v>1836</v>
      </c>
      <c r="J494" s="27"/>
    </row>
    <row r="495">
      <c r="A495" s="25">
        <v>1.07190949E8</v>
      </c>
      <c r="B495" s="25" t="s">
        <v>1837</v>
      </c>
      <c r="C495" s="26">
        <v>24.0</v>
      </c>
      <c r="D495" s="25" t="s">
        <v>649</v>
      </c>
      <c r="E495" s="25" t="s">
        <v>650</v>
      </c>
      <c r="F495" s="25" t="s">
        <v>715</v>
      </c>
      <c r="G495" s="25" t="s">
        <v>663</v>
      </c>
      <c r="H495" s="26" t="s">
        <v>1838</v>
      </c>
      <c r="I495" s="26" t="s">
        <v>1839</v>
      </c>
      <c r="J495" s="27"/>
    </row>
    <row r="496">
      <c r="A496" s="25">
        <v>1.04211382E8</v>
      </c>
      <c r="B496" s="25" t="s">
        <v>1840</v>
      </c>
      <c r="C496" s="26">
        <v>54.0</v>
      </c>
      <c r="D496" s="25" t="s">
        <v>698</v>
      </c>
      <c r="E496" s="25" t="s">
        <v>650</v>
      </c>
      <c r="F496" s="25" t="s">
        <v>678</v>
      </c>
      <c r="G496" s="25" t="s">
        <v>663</v>
      </c>
      <c r="H496" s="26" t="s">
        <v>1841</v>
      </c>
      <c r="I496" s="26" t="s">
        <v>1842</v>
      </c>
      <c r="J496" s="27"/>
    </row>
    <row r="497">
      <c r="A497" s="25">
        <v>1.05211411E8</v>
      </c>
      <c r="B497" s="25" t="s">
        <v>1843</v>
      </c>
      <c r="C497" s="26">
        <v>25.0</v>
      </c>
      <c r="D497" s="25" t="s">
        <v>698</v>
      </c>
      <c r="E497" s="25" t="s">
        <v>650</v>
      </c>
      <c r="F497" s="25" t="s">
        <v>862</v>
      </c>
      <c r="G497" s="25" t="s">
        <v>668</v>
      </c>
      <c r="H497" s="26" t="s">
        <v>1844</v>
      </c>
      <c r="I497" s="26" t="s">
        <v>1844</v>
      </c>
      <c r="J497" s="27"/>
    </row>
    <row r="498">
      <c r="A498" s="25">
        <v>2.07160685E8</v>
      </c>
      <c r="B498" s="25" t="s">
        <v>1845</v>
      </c>
      <c r="C498" s="26">
        <v>48.0</v>
      </c>
      <c r="D498" s="25" t="s">
        <v>655</v>
      </c>
      <c r="E498" s="25" t="s">
        <v>661</v>
      </c>
      <c r="F498" s="25" t="s">
        <v>674</v>
      </c>
      <c r="G498" s="25" t="s">
        <v>675</v>
      </c>
      <c r="H498" s="26" t="s">
        <v>1846</v>
      </c>
      <c r="I498" s="26" t="s">
        <v>1847</v>
      </c>
      <c r="J498" s="28">
        <v>28775.0</v>
      </c>
    </row>
    <row r="499">
      <c r="A499" s="30"/>
      <c r="B499" s="25" t="s">
        <v>1848</v>
      </c>
      <c r="C499" s="26">
        <v>23.0</v>
      </c>
      <c r="D499" s="25" t="s">
        <v>649</v>
      </c>
      <c r="E499" s="25" t="s">
        <v>650</v>
      </c>
      <c r="F499" s="29" t="b">
        <v>0</v>
      </c>
      <c r="G499" s="29" t="b">
        <v>0</v>
      </c>
      <c r="H499" s="30"/>
      <c r="I499" s="30"/>
      <c r="J499" s="27"/>
    </row>
    <row r="500">
      <c r="A500" s="25">
        <v>2.01221574E8</v>
      </c>
      <c r="B500" s="25" t="s">
        <v>1849</v>
      </c>
      <c r="C500" s="26">
        <v>42.0</v>
      </c>
      <c r="D500" s="25" t="s">
        <v>649</v>
      </c>
      <c r="E500" s="25" t="s">
        <v>661</v>
      </c>
      <c r="F500" s="25" t="s">
        <v>678</v>
      </c>
      <c r="G500" s="25" t="s">
        <v>663</v>
      </c>
      <c r="H500" s="26" t="s">
        <v>1850</v>
      </c>
      <c r="I500" s="26" t="s">
        <v>1850</v>
      </c>
      <c r="J500" s="28">
        <v>30461.0</v>
      </c>
    </row>
    <row r="501">
      <c r="A501" s="25">
        <v>2.06221653E8</v>
      </c>
      <c r="B501" s="25" t="s">
        <v>1851</v>
      </c>
      <c r="C501" s="26">
        <v>41.0</v>
      </c>
      <c r="D501" s="25" t="s">
        <v>698</v>
      </c>
      <c r="E501" s="25" t="s">
        <v>661</v>
      </c>
      <c r="F501" s="25" t="s">
        <v>678</v>
      </c>
      <c r="G501" s="25" t="s">
        <v>663</v>
      </c>
      <c r="H501" s="26" t="s">
        <v>1852</v>
      </c>
      <c r="I501" s="26" t="s">
        <v>1852</v>
      </c>
      <c r="J501" s="28">
        <v>32288.0</v>
      </c>
    </row>
    <row r="502">
      <c r="A502" s="25">
        <v>1.09211493E8</v>
      </c>
      <c r="B502" s="25" t="s">
        <v>1853</v>
      </c>
      <c r="C502" s="26">
        <v>31.0</v>
      </c>
      <c r="D502" s="25" t="s">
        <v>698</v>
      </c>
      <c r="E502" s="25" t="s">
        <v>650</v>
      </c>
      <c r="F502" s="25" t="s">
        <v>719</v>
      </c>
      <c r="G502" s="25" t="s">
        <v>668</v>
      </c>
      <c r="H502" s="26" t="s">
        <v>1854</v>
      </c>
      <c r="I502" s="26" t="s">
        <v>1855</v>
      </c>
      <c r="J502" s="27"/>
    </row>
    <row r="503">
      <c r="A503" s="25">
        <v>1.06160285E8</v>
      </c>
      <c r="B503" s="25" t="s">
        <v>1856</v>
      </c>
      <c r="C503" s="26">
        <v>28.0</v>
      </c>
      <c r="D503" s="25" t="s">
        <v>698</v>
      </c>
      <c r="E503" s="25" t="s">
        <v>650</v>
      </c>
      <c r="F503" s="25" t="s">
        <v>730</v>
      </c>
      <c r="G503" s="25" t="s">
        <v>675</v>
      </c>
      <c r="H503" s="26" t="s">
        <v>1857</v>
      </c>
      <c r="I503" s="26" t="s">
        <v>1858</v>
      </c>
      <c r="J503" s="27"/>
    </row>
    <row r="504">
      <c r="A504" s="25">
        <v>1.11231858E8</v>
      </c>
      <c r="B504" s="25" t="s">
        <v>1859</v>
      </c>
      <c r="C504" s="26">
        <v>0.0</v>
      </c>
      <c r="D504" s="30"/>
      <c r="E504" s="25" t="s">
        <v>650</v>
      </c>
      <c r="F504" s="25" t="s">
        <v>733</v>
      </c>
      <c r="G504" s="25" t="s">
        <v>652</v>
      </c>
      <c r="H504" s="26" t="s">
        <v>1860</v>
      </c>
      <c r="I504" s="26" t="s">
        <v>1860</v>
      </c>
      <c r="J504" s="27"/>
    </row>
    <row r="505">
      <c r="A505" s="25">
        <v>2.11180649E8</v>
      </c>
      <c r="B505" s="25" t="s">
        <v>1861</v>
      </c>
      <c r="C505" s="26">
        <v>30.0</v>
      </c>
      <c r="D505" s="25" t="s">
        <v>649</v>
      </c>
      <c r="E505" s="25" t="s">
        <v>661</v>
      </c>
      <c r="F505" s="25" t="s">
        <v>687</v>
      </c>
      <c r="G505" s="25" t="s">
        <v>675</v>
      </c>
      <c r="H505" s="26" t="s">
        <v>1862</v>
      </c>
      <c r="I505" s="26" t="s">
        <v>1863</v>
      </c>
      <c r="J505" s="27"/>
    </row>
    <row r="506">
      <c r="A506" s="25">
        <v>2.09231833E8</v>
      </c>
      <c r="B506" s="25" t="s">
        <v>1864</v>
      </c>
      <c r="C506" s="26">
        <v>0.0</v>
      </c>
      <c r="D506" s="25" t="s">
        <v>698</v>
      </c>
      <c r="E506" s="25" t="s">
        <v>661</v>
      </c>
      <c r="F506" s="25" t="s">
        <v>715</v>
      </c>
      <c r="G506" s="25" t="s">
        <v>663</v>
      </c>
      <c r="H506" s="26" t="s">
        <v>1865</v>
      </c>
      <c r="I506" s="26" t="s">
        <v>1866</v>
      </c>
      <c r="J506" s="28">
        <v>30929.0</v>
      </c>
    </row>
    <row r="507">
      <c r="A507" s="25">
        <v>2.04190812E8</v>
      </c>
      <c r="B507" s="25" t="s">
        <v>1867</v>
      </c>
      <c r="C507" s="26">
        <v>55.0</v>
      </c>
      <c r="D507" s="25" t="s">
        <v>698</v>
      </c>
      <c r="E507" s="25" t="s">
        <v>661</v>
      </c>
      <c r="F507" s="25" t="s">
        <v>678</v>
      </c>
      <c r="G507" s="25" t="s">
        <v>663</v>
      </c>
      <c r="H507" s="26" t="s">
        <v>1868</v>
      </c>
      <c r="I507" s="26" t="s">
        <v>1868</v>
      </c>
      <c r="J507" s="28">
        <v>25127.0</v>
      </c>
    </row>
    <row r="508">
      <c r="A508" s="25">
        <v>2.10191092E8</v>
      </c>
      <c r="B508" s="25" t="s">
        <v>1869</v>
      </c>
      <c r="C508" s="26">
        <v>26.0</v>
      </c>
      <c r="D508" s="25" t="s">
        <v>698</v>
      </c>
      <c r="E508" s="25" t="s">
        <v>661</v>
      </c>
      <c r="F508" s="25" t="s">
        <v>674</v>
      </c>
      <c r="G508" s="25" t="s">
        <v>675</v>
      </c>
      <c r="H508" s="30"/>
      <c r="I508" s="30"/>
      <c r="J508" s="27"/>
    </row>
    <row r="509">
      <c r="A509" s="30"/>
      <c r="B509" s="25" t="s">
        <v>1870</v>
      </c>
      <c r="C509" s="26">
        <v>0.0</v>
      </c>
      <c r="D509" s="30"/>
      <c r="E509" s="25" t="s">
        <v>650</v>
      </c>
      <c r="F509" s="29" t="b">
        <v>0</v>
      </c>
      <c r="G509" s="29" t="b">
        <v>0</v>
      </c>
      <c r="H509" s="30"/>
      <c r="I509" s="30"/>
      <c r="J509" s="27"/>
    </row>
    <row r="510">
      <c r="A510" s="25">
        <v>2.02221593E8</v>
      </c>
      <c r="B510" s="25" t="s">
        <v>1871</v>
      </c>
      <c r="C510" s="26">
        <v>25.0</v>
      </c>
      <c r="D510" s="25" t="s">
        <v>698</v>
      </c>
      <c r="E510" s="25" t="s">
        <v>661</v>
      </c>
      <c r="F510" s="25" t="s">
        <v>715</v>
      </c>
      <c r="G510" s="25" t="s">
        <v>663</v>
      </c>
      <c r="H510" s="26" t="s">
        <v>1872</v>
      </c>
      <c r="I510" s="26" t="s">
        <v>1873</v>
      </c>
      <c r="J510" s="27"/>
    </row>
    <row r="511">
      <c r="A511" s="25">
        <v>2.10180648E8</v>
      </c>
      <c r="B511" s="25" t="s">
        <v>1874</v>
      </c>
      <c r="C511" s="26">
        <v>23.0</v>
      </c>
      <c r="D511" s="25" t="s">
        <v>698</v>
      </c>
      <c r="E511" s="25" t="s">
        <v>661</v>
      </c>
      <c r="F511" s="25" t="s">
        <v>1875</v>
      </c>
      <c r="G511" s="25" t="s">
        <v>652</v>
      </c>
      <c r="H511" s="26" t="s">
        <v>1876</v>
      </c>
      <c r="I511" s="26" t="s">
        <v>1876</v>
      </c>
      <c r="J511" s="27"/>
    </row>
    <row r="512">
      <c r="A512" s="25">
        <v>1.09191065E8</v>
      </c>
      <c r="B512" s="25" t="s">
        <v>1877</v>
      </c>
      <c r="C512" s="26">
        <v>35.0</v>
      </c>
      <c r="D512" s="25" t="s">
        <v>698</v>
      </c>
      <c r="E512" s="25" t="s">
        <v>650</v>
      </c>
      <c r="F512" s="25" t="s">
        <v>741</v>
      </c>
      <c r="G512" s="25" t="s">
        <v>675</v>
      </c>
      <c r="H512" s="26" t="s">
        <v>1878</v>
      </c>
      <c r="I512" s="26" t="s">
        <v>1878</v>
      </c>
      <c r="J512" s="27"/>
    </row>
    <row r="513">
      <c r="A513" s="25">
        <v>2.12231874E8</v>
      </c>
      <c r="B513" s="25" t="s">
        <v>1879</v>
      </c>
      <c r="C513" s="26">
        <v>45.0</v>
      </c>
      <c r="D513" s="25" t="s">
        <v>649</v>
      </c>
      <c r="E513" s="25" t="s">
        <v>661</v>
      </c>
      <c r="F513" s="25" t="s">
        <v>1065</v>
      </c>
      <c r="G513" s="25" t="s">
        <v>657</v>
      </c>
      <c r="H513" s="26" t="s">
        <v>1880</v>
      </c>
      <c r="I513" s="26" t="s">
        <v>1881</v>
      </c>
      <c r="J513" s="28">
        <v>32162.0</v>
      </c>
    </row>
    <row r="514">
      <c r="A514" s="25">
        <v>3.12200034E8</v>
      </c>
      <c r="B514" s="25" t="s">
        <v>1882</v>
      </c>
      <c r="C514" s="26">
        <v>37.0</v>
      </c>
      <c r="D514" s="25" t="s">
        <v>698</v>
      </c>
      <c r="E514" s="25" t="s">
        <v>681</v>
      </c>
      <c r="F514" s="25" t="s">
        <v>674</v>
      </c>
      <c r="G514" s="25" t="s">
        <v>675</v>
      </c>
      <c r="H514" s="30"/>
      <c r="I514" s="30"/>
      <c r="J514" s="27"/>
    </row>
    <row r="515">
      <c r="A515" s="25">
        <v>2.05241931E8</v>
      </c>
      <c r="B515" s="25" t="s">
        <v>1882</v>
      </c>
      <c r="C515" s="26">
        <v>0.0</v>
      </c>
      <c r="D515" s="30"/>
      <c r="E515" s="25" t="s">
        <v>661</v>
      </c>
      <c r="F515" s="25" t="s">
        <v>674</v>
      </c>
      <c r="G515" s="25" t="s">
        <v>675</v>
      </c>
      <c r="H515" s="30"/>
      <c r="I515" s="30"/>
      <c r="J515" s="27"/>
    </row>
    <row r="516">
      <c r="A516" s="25">
        <v>2.10221685E8</v>
      </c>
      <c r="B516" s="25" t="s">
        <v>1883</v>
      </c>
      <c r="C516" s="26">
        <v>26.0</v>
      </c>
      <c r="D516" s="25" t="s">
        <v>649</v>
      </c>
      <c r="E516" s="25" t="s">
        <v>661</v>
      </c>
      <c r="F516" s="25" t="s">
        <v>1875</v>
      </c>
      <c r="G516" s="25" t="s">
        <v>652</v>
      </c>
      <c r="H516" s="26" t="s">
        <v>1884</v>
      </c>
      <c r="I516" s="26" t="s">
        <v>1885</v>
      </c>
      <c r="J516" s="27"/>
    </row>
    <row r="517">
      <c r="A517" s="25">
        <v>1.0619092E8</v>
      </c>
      <c r="B517" s="25" t="s">
        <v>1886</v>
      </c>
      <c r="C517" s="26">
        <v>29.0</v>
      </c>
      <c r="D517" s="25" t="s">
        <v>649</v>
      </c>
      <c r="E517" s="25" t="s">
        <v>650</v>
      </c>
      <c r="F517" s="25" t="s">
        <v>741</v>
      </c>
      <c r="G517" s="25" t="s">
        <v>675</v>
      </c>
      <c r="H517" s="26" t="s">
        <v>1887</v>
      </c>
      <c r="I517" s="26" t="s">
        <v>1887</v>
      </c>
      <c r="J517" s="28">
        <v>35554.0</v>
      </c>
    </row>
    <row r="518">
      <c r="A518" s="25">
        <v>2.0321135E8</v>
      </c>
      <c r="B518" s="25" t="s">
        <v>1888</v>
      </c>
      <c r="C518" s="26">
        <v>43.0</v>
      </c>
      <c r="D518" s="25" t="s">
        <v>649</v>
      </c>
      <c r="E518" s="25" t="s">
        <v>661</v>
      </c>
      <c r="F518" s="25" t="s">
        <v>741</v>
      </c>
      <c r="G518" s="25" t="s">
        <v>675</v>
      </c>
      <c r="H518" s="26" t="s">
        <v>1889</v>
      </c>
      <c r="I518" s="26" t="s">
        <v>1889</v>
      </c>
      <c r="J518" s="27"/>
    </row>
    <row r="519">
      <c r="A519" s="25">
        <v>2.06231789E8</v>
      </c>
      <c r="B519" s="25" t="s">
        <v>1890</v>
      </c>
      <c r="C519" s="26">
        <v>40.0</v>
      </c>
      <c r="D519" s="25" t="s">
        <v>698</v>
      </c>
      <c r="E519" s="25" t="s">
        <v>661</v>
      </c>
      <c r="F519" s="25" t="s">
        <v>741</v>
      </c>
      <c r="G519" s="25" t="s">
        <v>675</v>
      </c>
      <c r="H519" s="26" t="s">
        <v>1891</v>
      </c>
      <c r="I519" s="26" t="s">
        <v>1892</v>
      </c>
      <c r="J519" s="28">
        <v>31397.0</v>
      </c>
    </row>
    <row r="520">
      <c r="A520" s="25">
        <v>1.11211529E8</v>
      </c>
      <c r="B520" s="25" t="s">
        <v>1893</v>
      </c>
      <c r="C520" s="26">
        <v>38.0</v>
      </c>
      <c r="D520" s="25" t="s">
        <v>649</v>
      </c>
      <c r="E520" s="25" t="s">
        <v>650</v>
      </c>
      <c r="F520" s="25" t="s">
        <v>794</v>
      </c>
      <c r="G520" s="25" t="s">
        <v>663</v>
      </c>
      <c r="H520" s="26" t="s">
        <v>1894</v>
      </c>
      <c r="I520" s="26" t="s">
        <v>1895</v>
      </c>
      <c r="J520" s="28">
        <v>31466.0</v>
      </c>
    </row>
    <row r="521">
      <c r="A521" s="25">
        <v>1.04190916E8</v>
      </c>
      <c r="B521" s="25" t="s">
        <v>1896</v>
      </c>
      <c r="C521" s="26">
        <v>49.0</v>
      </c>
      <c r="D521" s="25" t="s">
        <v>649</v>
      </c>
      <c r="E521" s="25" t="s">
        <v>650</v>
      </c>
      <c r="F521" s="25" t="s">
        <v>706</v>
      </c>
      <c r="G521" s="25" t="s">
        <v>668</v>
      </c>
      <c r="H521" s="26" t="s">
        <v>1897</v>
      </c>
      <c r="I521" s="26" t="s">
        <v>1898</v>
      </c>
      <c r="J521" s="28">
        <v>29407.0</v>
      </c>
    </row>
    <row r="522">
      <c r="A522" s="25">
        <v>1.01211334E8</v>
      </c>
      <c r="B522" s="25" t="s">
        <v>1899</v>
      </c>
      <c r="C522" s="26">
        <v>51.0</v>
      </c>
      <c r="D522" s="25" t="s">
        <v>655</v>
      </c>
      <c r="E522" s="25" t="s">
        <v>650</v>
      </c>
      <c r="F522" s="25" t="s">
        <v>678</v>
      </c>
      <c r="G522" s="25" t="s">
        <v>663</v>
      </c>
      <c r="H522" s="26" t="s">
        <v>1900</v>
      </c>
      <c r="I522" s="26" t="s">
        <v>1901</v>
      </c>
      <c r="J522" s="28">
        <v>27956.0</v>
      </c>
    </row>
    <row r="523">
      <c r="A523" s="25">
        <v>2.05241922E8</v>
      </c>
      <c r="B523" s="25" t="s">
        <v>1902</v>
      </c>
      <c r="C523" s="26">
        <v>0.0</v>
      </c>
      <c r="D523" s="30"/>
      <c r="E523" s="25" t="s">
        <v>661</v>
      </c>
      <c r="F523" s="25" t="s">
        <v>862</v>
      </c>
      <c r="G523" s="25" t="s">
        <v>668</v>
      </c>
      <c r="H523" s="30"/>
      <c r="I523" s="30"/>
      <c r="J523" s="27"/>
    </row>
    <row r="524">
      <c r="A524" s="30"/>
      <c r="B524" s="25" t="s">
        <v>1903</v>
      </c>
      <c r="C524" s="26">
        <v>0.0</v>
      </c>
      <c r="D524" s="30"/>
      <c r="E524" s="25" t="s">
        <v>650</v>
      </c>
      <c r="F524" s="29" t="b">
        <v>0</v>
      </c>
      <c r="G524" s="29" t="b">
        <v>0</v>
      </c>
      <c r="H524" s="30"/>
      <c r="I524" s="30"/>
      <c r="J524" s="27"/>
    </row>
    <row r="525">
      <c r="A525" s="25">
        <v>1.02211345E8</v>
      </c>
      <c r="B525" s="25" t="s">
        <v>1904</v>
      </c>
      <c r="C525" s="26">
        <v>60.0</v>
      </c>
      <c r="D525" s="25" t="s">
        <v>698</v>
      </c>
      <c r="E525" s="25" t="s">
        <v>650</v>
      </c>
      <c r="F525" s="25" t="s">
        <v>833</v>
      </c>
      <c r="G525" s="25" t="s">
        <v>726</v>
      </c>
      <c r="H525" s="26" t="s">
        <v>1905</v>
      </c>
      <c r="I525" s="26" t="s">
        <v>1906</v>
      </c>
      <c r="J525" s="28">
        <v>25569.0</v>
      </c>
    </row>
    <row r="526">
      <c r="A526" s="25">
        <v>1.0920124E8</v>
      </c>
      <c r="B526" s="25" t="s">
        <v>1907</v>
      </c>
      <c r="C526" s="26">
        <v>30.0</v>
      </c>
      <c r="D526" s="25" t="s">
        <v>698</v>
      </c>
      <c r="E526" s="25" t="s">
        <v>650</v>
      </c>
      <c r="F526" s="25" t="s">
        <v>781</v>
      </c>
      <c r="G526" s="25" t="s">
        <v>663</v>
      </c>
      <c r="H526" s="26" t="s">
        <v>1908</v>
      </c>
      <c r="I526" s="26" t="s">
        <v>1909</v>
      </c>
      <c r="J526" s="27"/>
    </row>
    <row r="527">
      <c r="A527" s="25">
        <v>1.05211397E8</v>
      </c>
      <c r="B527" s="25" t="s">
        <v>1910</v>
      </c>
      <c r="C527" s="26">
        <v>35.0</v>
      </c>
      <c r="D527" s="25" t="s">
        <v>698</v>
      </c>
      <c r="E527" s="25" t="s">
        <v>650</v>
      </c>
      <c r="F527" s="25" t="s">
        <v>667</v>
      </c>
      <c r="G527" s="25" t="s">
        <v>668</v>
      </c>
      <c r="H527" s="26" t="s">
        <v>1911</v>
      </c>
      <c r="I527" s="26" t="s">
        <v>1911</v>
      </c>
      <c r="J527" s="28">
        <v>31820.0</v>
      </c>
    </row>
    <row r="528">
      <c r="A528" s="25">
        <v>1.10221688E8</v>
      </c>
      <c r="B528" s="25" t="s">
        <v>1912</v>
      </c>
      <c r="C528" s="26">
        <v>23.0</v>
      </c>
      <c r="D528" s="25" t="s">
        <v>655</v>
      </c>
      <c r="E528" s="25" t="s">
        <v>650</v>
      </c>
      <c r="F528" s="25" t="s">
        <v>862</v>
      </c>
      <c r="G528" s="25" t="s">
        <v>668</v>
      </c>
      <c r="H528" s="26" t="s">
        <v>1913</v>
      </c>
      <c r="I528" s="26" t="s">
        <v>1914</v>
      </c>
      <c r="J528" s="27"/>
    </row>
    <row r="529">
      <c r="A529" s="25">
        <v>2.02221591E8</v>
      </c>
      <c r="B529" s="25" t="s">
        <v>1915</v>
      </c>
      <c r="C529" s="26">
        <v>35.0</v>
      </c>
      <c r="D529" s="25" t="s">
        <v>655</v>
      </c>
      <c r="E529" s="25" t="s">
        <v>661</v>
      </c>
      <c r="F529" s="25" t="s">
        <v>678</v>
      </c>
      <c r="G529" s="25" t="s">
        <v>663</v>
      </c>
      <c r="H529" s="26" t="s">
        <v>1916</v>
      </c>
      <c r="I529" s="26" t="s">
        <v>1917</v>
      </c>
      <c r="J529" s="27"/>
    </row>
    <row r="530">
      <c r="A530" s="25">
        <v>2.06221646E8</v>
      </c>
      <c r="B530" s="25" t="s">
        <v>1918</v>
      </c>
      <c r="C530" s="26">
        <v>42.0</v>
      </c>
      <c r="D530" s="25" t="s">
        <v>698</v>
      </c>
      <c r="E530" s="25" t="s">
        <v>661</v>
      </c>
      <c r="F530" s="25" t="s">
        <v>758</v>
      </c>
      <c r="G530" s="25" t="s">
        <v>663</v>
      </c>
      <c r="H530" s="26" t="s">
        <v>1919</v>
      </c>
      <c r="I530" s="26" t="s">
        <v>1920</v>
      </c>
      <c r="J530" s="28">
        <v>30919.0</v>
      </c>
    </row>
    <row r="531">
      <c r="A531" s="25">
        <v>3.04230113E8</v>
      </c>
      <c r="B531" s="25" t="s">
        <v>1921</v>
      </c>
      <c r="C531" s="26">
        <v>19.0</v>
      </c>
      <c r="D531" s="25" t="s">
        <v>655</v>
      </c>
      <c r="E531" s="25" t="s">
        <v>681</v>
      </c>
      <c r="F531" s="29" t="b">
        <v>0</v>
      </c>
      <c r="G531" s="25" t="s">
        <v>1089</v>
      </c>
      <c r="H531" s="30"/>
      <c r="I531" s="30"/>
      <c r="J531" s="27"/>
    </row>
    <row r="532">
      <c r="A532" s="25">
        <v>2.11221701E8</v>
      </c>
      <c r="B532" s="25" t="s">
        <v>1922</v>
      </c>
      <c r="C532" s="26">
        <v>36.0</v>
      </c>
      <c r="D532" s="25" t="s">
        <v>655</v>
      </c>
      <c r="E532" s="25" t="s">
        <v>661</v>
      </c>
      <c r="F532" s="25" t="s">
        <v>794</v>
      </c>
      <c r="G532" s="25" t="s">
        <v>663</v>
      </c>
      <c r="H532" s="26" t="s">
        <v>1923</v>
      </c>
      <c r="I532" s="26" t="s">
        <v>1923</v>
      </c>
      <c r="J532" s="28">
        <v>35200.0</v>
      </c>
    </row>
    <row r="533">
      <c r="A533" s="25">
        <v>2.07211447E8</v>
      </c>
      <c r="B533" s="25" t="s">
        <v>1924</v>
      </c>
      <c r="C533" s="26">
        <v>28.0</v>
      </c>
      <c r="D533" s="25" t="s">
        <v>698</v>
      </c>
      <c r="E533" s="25" t="s">
        <v>661</v>
      </c>
      <c r="F533" s="25" t="s">
        <v>741</v>
      </c>
      <c r="G533" s="25" t="s">
        <v>675</v>
      </c>
      <c r="H533" s="26" t="s">
        <v>1925</v>
      </c>
      <c r="I533" s="26" t="s">
        <v>1925</v>
      </c>
      <c r="J533" s="27"/>
    </row>
    <row r="534">
      <c r="A534" s="25">
        <v>2.07130696E8</v>
      </c>
      <c r="B534" s="25" t="s">
        <v>1926</v>
      </c>
      <c r="C534" s="26">
        <v>34.0</v>
      </c>
      <c r="D534" s="25" t="s">
        <v>655</v>
      </c>
      <c r="E534" s="25" t="s">
        <v>661</v>
      </c>
      <c r="F534" s="25" t="s">
        <v>818</v>
      </c>
      <c r="G534" s="25" t="s">
        <v>675</v>
      </c>
      <c r="H534" s="26" t="s">
        <v>1927</v>
      </c>
      <c r="I534" s="26" t="s">
        <v>1927</v>
      </c>
      <c r="J534" s="27"/>
    </row>
    <row r="535">
      <c r="A535" s="25">
        <v>3.07200009E8</v>
      </c>
      <c r="B535" s="25" t="s">
        <v>1928</v>
      </c>
      <c r="C535" s="26">
        <v>49.0</v>
      </c>
      <c r="D535" s="25" t="s">
        <v>698</v>
      </c>
      <c r="E535" s="25" t="s">
        <v>681</v>
      </c>
      <c r="F535" s="25" t="s">
        <v>833</v>
      </c>
      <c r="G535" s="25" t="s">
        <v>726</v>
      </c>
      <c r="H535" s="30"/>
      <c r="I535" s="30"/>
      <c r="J535" s="27"/>
    </row>
    <row r="536">
      <c r="A536" s="25">
        <v>1.08160304E8</v>
      </c>
      <c r="B536" s="25" t="s">
        <v>1929</v>
      </c>
      <c r="C536" s="26">
        <v>46.0</v>
      </c>
      <c r="D536" s="25" t="s">
        <v>655</v>
      </c>
      <c r="E536" s="25" t="s">
        <v>650</v>
      </c>
      <c r="F536" s="25" t="s">
        <v>674</v>
      </c>
      <c r="G536" s="25" t="s">
        <v>675</v>
      </c>
      <c r="H536" s="26" t="s">
        <v>1930</v>
      </c>
      <c r="I536" s="26" t="s">
        <v>1930</v>
      </c>
      <c r="J536" s="27"/>
    </row>
    <row r="537">
      <c r="A537" s="25">
        <v>2.06190933E8</v>
      </c>
      <c r="B537" s="25" t="s">
        <v>1931</v>
      </c>
      <c r="C537" s="26">
        <v>59.0</v>
      </c>
      <c r="D537" s="25" t="s">
        <v>649</v>
      </c>
      <c r="E537" s="25" t="s">
        <v>661</v>
      </c>
      <c r="F537" s="25" t="s">
        <v>674</v>
      </c>
      <c r="G537" s="25" t="s">
        <v>675</v>
      </c>
      <c r="H537" s="26" t="s">
        <v>1932</v>
      </c>
      <c r="I537" s="26" t="s">
        <v>1932</v>
      </c>
      <c r="J537" s="28">
        <v>24134.0</v>
      </c>
    </row>
    <row r="538">
      <c r="A538" s="25">
        <v>1.10211502E8</v>
      </c>
      <c r="B538" s="25" t="s">
        <v>1933</v>
      </c>
      <c r="C538" s="26">
        <v>47.0</v>
      </c>
      <c r="D538" s="25" t="s">
        <v>698</v>
      </c>
      <c r="E538" s="25" t="s">
        <v>650</v>
      </c>
      <c r="F538" s="25" t="s">
        <v>833</v>
      </c>
      <c r="G538" s="25" t="s">
        <v>726</v>
      </c>
      <c r="H538" s="26" t="s">
        <v>1934</v>
      </c>
      <c r="I538" s="26" t="s">
        <v>1935</v>
      </c>
      <c r="J538" s="27"/>
    </row>
    <row r="539">
      <c r="A539" s="25">
        <v>2.02231725E8</v>
      </c>
      <c r="B539" s="25" t="s">
        <v>1936</v>
      </c>
      <c r="C539" s="26">
        <v>29.0</v>
      </c>
      <c r="D539" s="25" t="s">
        <v>698</v>
      </c>
      <c r="E539" s="25" t="s">
        <v>661</v>
      </c>
      <c r="F539" s="25" t="s">
        <v>1937</v>
      </c>
      <c r="G539" s="25" t="s">
        <v>668</v>
      </c>
      <c r="H539" s="26" t="s">
        <v>1938</v>
      </c>
      <c r="I539" s="26" t="s">
        <v>1939</v>
      </c>
      <c r="J539" s="27"/>
    </row>
    <row r="540">
      <c r="A540" s="25">
        <v>1.11211526E8</v>
      </c>
      <c r="B540" s="25" t="s">
        <v>1940</v>
      </c>
      <c r="C540" s="26">
        <v>44.0</v>
      </c>
      <c r="D540" s="25" t="s">
        <v>649</v>
      </c>
      <c r="E540" s="25" t="s">
        <v>650</v>
      </c>
      <c r="F540" s="25" t="s">
        <v>821</v>
      </c>
      <c r="G540" s="25" t="s">
        <v>663</v>
      </c>
      <c r="H540" s="26" t="s">
        <v>1941</v>
      </c>
      <c r="I540" s="26" t="s">
        <v>1942</v>
      </c>
      <c r="J540" s="27"/>
    </row>
    <row r="541">
      <c r="A541" s="25">
        <v>2.04241909E8</v>
      </c>
      <c r="B541" s="25" t="s">
        <v>1943</v>
      </c>
      <c r="C541" s="26">
        <v>0.0</v>
      </c>
      <c r="D541" s="30"/>
      <c r="E541" s="25" t="s">
        <v>661</v>
      </c>
      <c r="F541" s="25" t="s">
        <v>715</v>
      </c>
      <c r="G541" s="25" t="s">
        <v>663</v>
      </c>
      <c r="H541" s="30"/>
      <c r="I541" s="30"/>
      <c r="J541" s="27"/>
    </row>
    <row r="542">
      <c r="A542" s="25">
        <v>1.05190838E8</v>
      </c>
      <c r="B542" s="25" t="s">
        <v>1944</v>
      </c>
      <c r="C542" s="26">
        <v>24.0</v>
      </c>
      <c r="D542" s="25" t="s">
        <v>698</v>
      </c>
      <c r="E542" s="25" t="s">
        <v>650</v>
      </c>
      <c r="F542" s="25" t="s">
        <v>1159</v>
      </c>
      <c r="G542" s="25" t="s">
        <v>694</v>
      </c>
      <c r="H542" s="26" t="s">
        <v>1945</v>
      </c>
      <c r="I542" s="26" t="s">
        <v>1946</v>
      </c>
      <c r="J542" s="27"/>
    </row>
    <row r="543">
      <c r="A543" s="25">
        <v>2.02150673E8</v>
      </c>
      <c r="B543" s="25" t="s">
        <v>1947</v>
      </c>
      <c r="C543" s="26">
        <v>30.0</v>
      </c>
      <c r="D543" s="25" t="s">
        <v>698</v>
      </c>
      <c r="E543" s="25" t="s">
        <v>661</v>
      </c>
      <c r="F543" s="25" t="s">
        <v>741</v>
      </c>
      <c r="G543" s="25" t="s">
        <v>675</v>
      </c>
      <c r="H543" s="26" t="s">
        <v>1948</v>
      </c>
      <c r="I543" s="26" t="s">
        <v>1948</v>
      </c>
      <c r="J543" s="28">
        <v>30911.0</v>
      </c>
    </row>
    <row r="544">
      <c r="A544" s="25">
        <v>2.12231869E8</v>
      </c>
      <c r="B544" s="25" t="s">
        <v>1949</v>
      </c>
      <c r="C544" s="26">
        <v>0.0</v>
      </c>
      <c r="D544" s="30"/>
      <c r="E544" s="25" t="s">
        <v>661</v>
      </c>
      <c r="F544" s="25" t="s">
        <v>758</v>
      </c>
      <c r="G544" s="25" t="s">
        <v>663</v>
      </c>
      <c r="H544" s="30"/>
      <c r="I544" s="30"/>
      <c r="J544" s="27"/>
    </row>
    <row r="545">
      <c r="A545" s="25">
        <v>2.07231797E8</v>
      </c>
      <c r="B545" s="25" t="s">
        <v>1950</v>
      </c>
      <c r="C545" s="26">
        <v>22.0</v>
      </c>
      <c r="D545" s="25" t="s">
        <v>698</v>
      </c>
      <c r="E545" s="25" t="s">
        <v>661</v>
      </c>
      <c r="F545" s="25" t="s">
        <v>743</v>
      </c>
      <c r="G545" s="25" t="s">
        <v>668</v>
      </c>
      <c r="H545" s="26" t="s">
        <v>1951</v>
      </c>
      <c r="I545" s="26" t="s">
        <v>1951</v>
      </c>
      <c r="J545" s="27"/>
    </row>
    <row r="546">
      <c r="A546" s="25">
        <v>1.08201194E8</v>
      </c>
      <c r="B546" s="25" t="s">
        <v>1952</v>
      </c>
      <c r="C546" s="26">
        <v>27.0</v>
      </c>
      <c r="D546" s="25" t="s">
        <v>649</v>
      </c>
      <c r="E546" s="25" t="s">
        <v>650</v>
      </c>
      <c r="F546" s="25" t="s">
        <v>1015</v>
      </c>
      <c r="G546" s="25" t="s">
        <v>675</v>
      </c>
      <c r="H546" s="26" t="s">
        <v>1953</v>
      </c>
      <c r="I546" s="26" t="s">
        <v>1953</v>
      </c>
      <c r="J546" s="27"/>
    </row>
    <row r="547">
      <c r="A547" s="27"/>
      <c r="B547" s="25" t="s">
        <v>1954</v>
      </c>
      <c r="C547" s="26">
        <v>0.0</v>
      </c>
      <c r="D547" s="27"/>
      <c r="E547" s="25" t="s">
        <v>661</v>
      </c>
      <c r="F547" s="29" t="b">
        <v>0</v>
      </c>
      <c r="G547" s="29" t="b">
        <v>0</v>
      </c>
      <c r="H547" s="27"/>
      <c r="I547" s="27"/>
      <c r="J547" s="27"/>
    </row>
    <row r="548">
      <c r="A548" s="27"/>
      <c r="B548" s="25" t="s">
        <v>1955</v>
      </c>
      <c r="C548" s="26">
        <v>0.0</v>
      </c>
      <c r="D548" s="27"/>
      <c r="E548" s="25" t="s">
        <v>650</v>
      </c>
      <c r="F548" s="29" t="b">
        <v>0</v>
      </c>
      <c r="G548" s="29" t="b">
        <v>0</v>
      </c>
      <c r="H548" s="27"/>
      <c r="I548" s="27"/>
      <c r="J548" s="27"/>
    </row>
    <row r="549">
      <c r="A549" s="27"/>
      <c r="B549" s="25" t="s">
        <v>1956</v>
      </c>
      <c r="C549" s="26">
        <v>0.0</v>
      </c>
      <c r="D549" s="27"/>
      <c r="E549" s="25" t="s">
        <v>650</v>
      </c>
      <c r="F549" s="29" t="b">
        <v>0</v>
      </c>
      <c r="G549" s="29" t="b">
        <v>0</v>
      </c>
      <c r="H549" s="27"/>
      <c r="I549" s="27"/>
      <c r="J549" s="27"/>
    </row>
    <row r="550">
      <c r="A550" s="27"/>
      <c r="B550" s="25" t="s">
        <v>1957</v>
      </c>
      <c r="C550" s="26">
        <v>0.0</v>
      </c>
      <c r="D550" s="27"/>
      <c r="E550" s="25" t="s">
        <v>650</v>
      </c>
      <c r="F550" s="29" t="b">
        <v>0</v>
      </c>
      <c r="G550" s="29" t="b">
        <v>0</v>
      </c>
      <c r="H550" s="27"/>
      <c r="I550" s="27"/>
      <c r="J550" s="27"/>
    </row>
    <row r="551">
      <c r="A551" s="27"/>
      <c r="B551" s="25" t="s">
        <v>1958</v>
      </c>
      <c r="C551" s="26">
        <v>0.0</v>
      </c>
      <c r="D551" s="27"/>
      <c r="E551" s="25" t="s">
        <v>650</v>
      </c>
      <c r="F551" s="29" t="b">
        <v>0</v>
      </c>
      <c r="G551" s="29" t="b">
        <v>0</v>
      </c>
      <c r="H551" s="27"/>
      <c r="I551" s="27"/>
      <c r="J551" s="27"/>
    </row>
    <row r="552">
      <c r="A552" s="27"/>
      <c r="B552" s="25" t="s">
        <v>1959</v>
      </c>
      <c r="C552" s="26">
        <v>0.0</v>
      </c>
      <c r="D552" s="27"/>
      <c r="E552" s="25" t="s">
        <v>650</v>
      </c>
      <c r="F552" s="29" t="b">
        <v>0</v>
      </c>
      <c r="G552" s="29" t="b">
        <v>0</v>
      </c>
      <c r="H552" s="27"/>
      <c r="I552" s="27"/>
      <c r="J552" s="27"/>
    </row>
    <row r="553">
      <c r="A553" s="27"/>
      <c r="B553" s="25" t="s">
        <v>1960</v>
      </c>
      <c r="C553" s="26">
        <v>0.0</v>
      </c>
      <c r="D553" s="27"/>
      <c r="E553" s="25" t="s">
        <v>650</v>
      </c>
      <c r="F553" s="29" t="b">
        <v>0</v>
      </c>
      <c r="G553" s="29" t="b">
        <v>0</v>
      </c>
      <c r="H553" s="27"/>
      <c r="I553" s="27"/>
      <c r="J553" s="27"/>
    </row>
    <row r="554">
      <c r="A554" s="27"/>
      <c r="B554" s="25" t="s">
        <v>1961</v>
      </c>
      <c r="C554" s="26">
        <v>0.0</v>
      </c>
      <c r="D554" s="27"/>
      <c r="E554" s="25" t="s">
        <v>650</v>
      </c>
      <c r="F554" s="29" t="b">
        <v>0</v>
      </c>
      <c r="G554" s="29" t="b">
        <v>0</v>
      </c>
      <c r="H554" s="27"/>
      <c r="I554" s="27"/>
      <c r="J554" s="27"/>
    </row>
    <row r="555">
      <c r="A555" s="27"/>
      <c r="B555" s="25" t="s">
        <v>1962</v>
      </c>
      <c r="C555" s="26">
        <v>0.0</v>
      </c>
      <c r="D555" s="27"/>
      <c r="E555" s="25" t="s">
        <v>650</v>
      </c>
      <c r="F555" s="29" t="b">
        <v>0</v>
      </c>
      <c r="G555" s="29" t="b">
        <v>0</v>
      </c>
      <c r="H555" s="27"/>
      <c r="I555" s="27"/>
      <c r="J555" s="27"/>
    </row>
    <row r="556">
      <c r="A556" s="27"/>
      <c r="B556" s="25" t="s">
        <v>1963</v>
      </c>
      <c r="C556" s="26">
        <v>0.0</v>
      </c>
      <c r="D556" s="27"/>
      <c r="E556" s="25" t="s">
        <v>650</v>
      </c>
      <c r="F556" s="29" t="b">
        <v>0</v>
      </c>
      <c r="G556" s="29" t="b">
        <v>0</v>
      </c>
      <c r="H556" s="27"/>
      <c r="I556" s="27"/>
      <c r="J556" s="27"/>
    </row>
    <row r="557">
      <c r="A557" s="27"/>
      <c r="B557" s="25" t="s">
        <v>1964</v>
      </c>
      <c r="C557" s="26">
        <v>0.0</v>
      </c>
      <c r="D557" s="27"/>
      <c r="E557" s="25" t="s">
        <v>650</v>
      </c>
      <c r="F557" s="29" t="b">
        <v>0</v>
      </c>
      <c r="G557" s="29" t="b">
        <v>0</v>
      </c>
      <c r="H557" s="27"/>
      <c r="I557" s="27"/>
      <c r="J557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44.0"/>
    <col customWidth="1" min="3" max="3" width="25.75"/>
    <col customWidth="1" min="5" max="5" width="53.75"/>
    <col customWidth="1" min="6" max="6" width="19.88"/>
    <col customWidth="1" min="7" max="7" width="25.75"/>
    <col customWidth="1" min="8" max="10" width="19.88"/>
    <col customWidth="1" min="11" max="11" width="42.63"/>
    <col customWidth="1" min="12" max="26" width="19.88"/>
  </cols>
  <sheetData>
    <row r="1">
      <c r="A1" s="31" t="str">
        <f>IFERROR(__xludf.DUMMYFUNCTION("query('tbl driver 1'!A1:J1000)"),"NIK")</f>
        <v>NIK</v>
      </c>
      <c r="B1" s="31" t="str">
        <f>IFERROR(__xludf.DUMMYFUNCTION("""COMPUTED_VALUE"""),"Employee Name")</f>
        <v>Employee Name</v>
      </c>
      <c r="C1" s="31" t="str">
        <f>IFERROR(__xludf.DUMMYFUNCTION("""COMPUTED_VALUE"""),"Age")</f>
        <v>Age</v>
      </c>
      <c r="D1" s="32" t="str">
        <f>IFERROR(__xludf.DUMMYFUNCTION("""COMPUTED_VALUE"""),"Agama")</f>
        <v>Agama</v>
      </c>
      <c r="E1" s="33" t="str">
        <f>IFERROR(__xludf.DUMMYFUNCTION("""COMPUTED_VALUE"""),"Company")</f>
        <v>Company</v>
      </c>
      <c r="F1" s="31" t="str">
        <f>IFERROR(__xludf.DUMMYFUNCTION("""COMPUTED_VALUE"""),"Job Position")</f>
        <v>Job Position</v>
      </c>
      <c r="G1" s="31" t="str">
        <f>IFERROR(__xludf.DUMMYFUNCTION("""COMPUTED_VALUE"""),"Department")</f>
        <v>Department</v>
      </c>
      <c r="H1" s="31" t="str">
        <f>IFERROR(__xludf.DUMMYFUNCTION("""COMPUTED_VALUE"""),"Check In")</f>
        <v>Check In</v>
      </c>
      <c r="I1" s="31" t="str">
        <f>IFERROR(__xludf.DUMMYFUNCTION("""COMPUTED_VALUE"""),"Check Out")</f>
        <v>Check Out</v>
      </c>
      <c r="J1" s="31" t="str">
        <f>IFERROR(__xludf.DUMMYFUNCTION("""COMPUTED_VALUE"""),"Spouse Birthdate")</f>
        <v>Spouse Birthdate</v>
      </c>
      <c r="K1" s="34" t="s">
        <v>1965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17">
        <f>IFERROR(__xludf.DUMMYFUNCTION("""COMPUTED_VALUE"""),1.07231813E8)</f>
        <v>107231813</v>
      </c>
      <c r="B2" s="18" t="str">
        <f>IFERROR(__xludf.DUMMYFUNCTION("""COMPUTED_VALUE"""),"A FADIL NUGRAHA PRATAMA")</f>
        <v>A FADIL NUGRAHA PRATAMA</v>
      </c>
      <c r="C2" s="18">
        <f>IFERROR(__xludf.DUMMYFUNCTION("""COMPUTED_VALUE"""),24.0)</f>
        <v>24</v>
      </c>
      <c r="D2" s="35" t="str">
        <f>IFERROR(__xludf.DUMMYFUNCTION("""COMPUTED_VALUE"""),"Islam")</f>
        <v>Islam</v>
      </c>
      <c r="E2" s="18" t="str">
        <f>IFERROR(__xludf.DUMMYFUNCTION("""COMPUTED_VALUE"""),"CV. SENTOSA ABADI")</f>
        <v>CV. SENTOSA ABADI</v>
      </c>
      <c r="F2" s="18" t="str">
        <f>IFERROR(__xludf.DUMMYFUNCTION("""COMPUTED_VALUE"""),"JUNIOR MPE")</f>
        <v>JUNIOR MPE</v>
      </c>
      <c r="G2" s="18" t="str">
        <f>IFERROR(__xludf.DUMMYFUNCTION("""COMPUTED_VALUE"""),"MPE")</f>
        <v>MPE</v>
      </c>
      <c r="H2" s="18" t="str">
        <f>IFERROR(__xludf.DUMMYFUNCTION("""COMPUTED_VALUE"""),"2023-11-30 16.14.14")</f>
        <v>2023-11-30 16.14.14</v>
      </c>
      <c r="I2" s="18" t="str">
        <f>IFERROR(__xludf.DUMMYFUNCTION("""COMPUTED_VALUE"""),"2023-11-30 16.14.14")</f>
        <v>2023-11-30 16.14.14</v>
      </c>
      <c r="J2" s="36"/>
      <c r="K2" s="37" t="str">
        <f t="shared" ref="K2:K596" si="1">IFERROR(IF(I2="","",CONCAT(CONCAT(CONCAT("[",A2),"] "),B2)),"")</f>
        <v>[107231813] A FADIL NUGRAHA PRATAMA</v>
      </c>
    </row>
    <row r="3">
      <c r="A3" s="17">
        <f>IFERROR(__xludf.DUMMYFUNCTION("""COMPUTED_VALUE"""),1.07201164E8)</f>
        <v>107201164</v>
      </c>
      <c r="B3" s="18" t="str">
        <f>IFERROR(__xludf.DUMMYFUNCTION("""COMPUTED_VALUE"""),"A.CHRISTI ARI WIBOWO")</f>
        <v>A.CHRISTI ARI WIBOWO</v>
      </c>
      <c r="C3" s="18">
        <f>IFERROR(__xludf.DUMMYFUNCTION("""COMPUTED_VALUE"""),46.0)</f>
        <v>46</v>
      </c>
      <c r="D3" s="35" t="str">
        <f>IFERROR(__xludf.DUMMYFUNCTION("""COMPUTED_VALUE"""),"Kristen Khatolik")</f>
        <v>Kristen Khatolik</v>
      </c>
      <c r="E3" s="18" t="str">
        <f>IFERROR(__xludf.DUMMYFUNCTION("""COMPUTED_VALUE"""),"CV. SENTOSA ABADI")</f>
        <v>CV. SENTOSA ABADI</v>
      </c>
      <c r="F3" s="18" t="str">
        <f>IFERROR(__xludf.DUMMYFUNCTION("""COMPUTED_VALUE"""),"HEAD OF GRADE CONTROL")</f>
        <v>HEAD OF GRADE CONTROL</v>
      </c>
      <c r="G3" s="18" t="str">
        <f>IFERROR(__xludf.DUMMYFUNCTION("""COMPUTED_VALUE"""),"GRADE CONTROL")</f>
        <v>GRADE CONTROL</v>
      </c>
      <c r="H3" s="18" t="str">
        <f>IFERROR(__xludf.DUMMYFUNCTION("""COMPUTED_VALUE"""),"2023-11-30 07.05.30")</f>
        <v>2023-11-30 07.05.30</v>
      </c>
      <c r="I3" s="18" t="str">
        <f>IFERROR(__xludf.DUMMYFUNCTION("""COMPUTED_VALUE"""),"2023-11-30 17.14.10")</f>
        <v>2023-11-30 17.14.10</v>
      </c>
      <c r="J3" s="36">
        <f>IFERROR(__xludf.DUMMYFUNCTION("""COMPUTED_VALUE"""),28339.0)</f>
        <v>28339</v>
      </c>
      <c r="K3" s="37" t="str">
        <f t="shared" si="1"/>
        <v>[107201164] A.CHRISTI ARI WIBOWO</v>
      </c>
    </row>
    <row r="4">
      <c r="A4" s="17">
        <f>IFERROR(__xludf.DUMMYFUNCTION("""COMPUTED_VALUE"""),2.032419E8)</f>
        <v>203241900</v>
      </c>
      <c r="B4" s="18" t="str">
        <f>IFERROR(__xludf.DUMMYFUNCTION("""COMPUTED_VALUE"""),"ABD DJALIL")</f>
        <v>ABD DJALIL</v>
      </c>
      <c r="C4" s="18">
        <f>IFERROR(__xludf.DUMMYFUNCTION("""COMPUTED_VALUE"""),0.0)</f>
        <v>0</v>
      </c>
      <c r="D4" s="35"/>
      <c r="E4" s="18" t="str">
        <f>IFERROR(__xludf.DUMMYFUNCTION("""COMPUTED_VALUE"""),"CV. Adil Prima Perkasa")</f>
        <v>CV. Adil Prima Perkasa</v>
      </c>
      <c r="F4" s="18" t="str">
        <f>IFERROR(__xludf.DUMMYFUNCTION("""COMPUTED_VALUE"""),"DRIVER LT")</f>
        <v>DRIVER LT</v>
      </c>
      <c r="G4" s="18" t="str">
        <f>IFERROR(__xludf.DUMMYFUNCTION("""COMPUTED_VALUE"""),"KENDARAAN &amp; UNIT SUPPORT")</f>
        <v>KENDARAAN &amp; UNIT SUPPORT</v>
      </c>
      <c r="H4" s="18" t="str">
        <f>IFERROR(__xludf.DUMMYFUNCTION("""COMPUTED_VALUE"""),"2024-03-31 07.12.44")</f>
        <v>2024-03-31 07.12.44</v>
      </c>
      <c r="I4" s="18" t="str">
        <f>IFERROR(__xludf.DUMMYFUNCTION("""COMPUTED_VALUE"""),"2024-03-31 19.01.26")</f>
        <v>2024-03-31 19.01.26</v>
      </c>
      <c r="J4" s="36"/>
      <c r="K4" s="37" t="str">
        <f t="shared" si="1"/>
        <v>[203241900] ABD DJALIL</v>
      </c>
    </row>
    <row r="5">
      <c r="A5" s="17">
        <f>IFERROR(__xludf.DUMMYFUNCTION("""COMPUTED_VALUE"""),2.04241906E8)</f>
        <v>204241906</v>
      </c>
      <c r="B5" s="18" t="str">
        <f>IFERROR(__xludf.DUMMYFUNCTION("""COMPUTED_VALUE"""),"ABD HAKIM AZIS")</f>
        <v>ABD HAKIM AZIS</v>
      </c>
      <c r="C5" s="18">
        <f>IFERROR(__xludf.DUMMYFUNCTION("""COMPUTED_VALUE"""),21.0)</f>
        <v>21</v>
      </c>
      <c r="D5" s="35" t="str">
        <f>IFERROR(__xludf.DUMMYFUNCTION("""COMPUTED_VALUE"""),"Islam")</f>
        <v>Islam</v>
      </c>
      <c r="E5" s="18" t="str">
        <f>IFERROR(__xludf.DUMMYFUNCTION("""COMPUTED_VALUE"""),"CV. Adil Prima Perkasa")</f>
        <v>CV. Adil Prima Perkasa</v>
      </c>
      <c r="F5" s="18" t="str">
        <f>IFERROR(__xludf.DUMMYFUNCTION("""COMPUTED_VALUE"""),"HELPER MEKANIK ALAT BERAT")</f>
        <v>HELPER MEKANIK ALAT BERAT</v>
      </c>
      <c r="G5" s="18" t="str">
        <f>IFERROR(__xludf.DUMMYFUNCTION("""COMPUTED_VALUE"""),"WORKSHOP")</f>
        <v>WORKSHOP</v>
      </c>
      <c r="H5" s="18"/>
      <c r="I5" s="18"/>
      <c r="J5" s="36"/>
      <c r="K5" s="37" t="str">
        <f t="shared" si="1"/>
        <v/>
      </c>
    </row>
    <row r="6">
      <c r="A6" s="17">
        <f>IFERROR(__xludf.DUMMYFUNCTION("""COMPUTED_VALUE"""),1.05211389E8)</f>
        <v>105211389</v>
      </c>
      <c r="B6" s="18" t="str">
        <f>IFERROR(__xludf.DUMMYFUNCTION("""COMPUTED_VALUE"""),"ABD. ASIS")</f>
        <v>ABD. ASIS</v>
      </c>
      <c r="C6" s="18">
        <f>IFERROR(__xludf.DUMMYFUNCTION("""COMPUTED_VALUE"""),30.0)</f>
        <v>30</v>
      </c>
      <c r="D6" s="35" t="str">
        <f>IFERROR(__xludf.DUMMYFUNCTION("""COMPUTED_VALUE"""),"Islam")</f>
        <v>Islam</v>
      </c>
      <c r="E6" s="18" t="str">
        <f>IFERROR(__xludf.DUMMYFUNCTION("""COMPUTED_VALUE"""),"CV. SENTOSA ABADI")</f>
        <v>CV. SENTOSA ABADI</v>
      </c>
      <c r="F6" s="18" t="str">
        <f>IFERROR(__xludf.DUMMYFUNCTION("""COMPUTED_VALUE"""),"MEKANIK ALAT BERAT")</f>
        <v>MEKANIK ALAT BERAT</v>
      </c>
      <c r="G6" s="18" t="str">
        <f>IFERROR(__xludf.DUMMYFUNCTION("""COMPUTED_VALUE"""),"WORKSHOP")</f>
        <v>WORKSHOP</v>
      </c>
      <c r="H6" s="18" t="str">
        <f>IFERROR(__xludf.DUMMYFUNCTION("""COMPUTED_VALUE"""),"2023-11-30 06.54.50")</f>
        <v>2023-11-30 06.54.50</v>
      </c>
      <c r="I6" s="18" t="str">
        <f>IFERROR(__xludf.DUMMYFUNCTION("""COMPUTED_VALUE"""),"2023-11-30 20.02.45")</f>
        <v>2023-11-30 20.02.45</v>
      </c>
      <c r="J6" s="36">
        <f>IFERROR(__xludf.DUMMYFUNCTION("""COMPUTED_VALUE"""),36412.0)</f>
        <v>36412</v>
      </c>
      <c r="K6" s="37" t="str">
        <f t="shared" si="1"/>
        <v>[105211389] ABD. ASIS</v>
      </c>
    </row>
    <row r="7">
      <c r="A7" s="17">
        <f>IFERROR(__xludf.DUMMYFUNCTION("""COMPUTED_VALUE"""),2.02201128E8)</f>
        <v>202201128</v>
      </c>
      <c r="B7" s="18" t="str">
        <f>IFERROR(__xludf.DUMMYFUNCTION("""COMPUTED_VALUE"""),"ABD. RIFAI")</f>
        <v>ABD. RIFAI</v>
      </c>
      <c r="C7" s="18">
        <f>IFERROR(__xludf.DUMMYFUNCTION("""COMPUTED_VALUE"""),54.0)</f>
        <v>54</v>
      </c>
      <c r="D7" s="35" t="str">
        <f>IFERROR(__xludf.DUMMYFUNCTION("""COMPUTED_VALUE"""),"Islam")</f>
        <v>Islam</v>
      </c>
      <c r="E7" s="18" t="str">
        <f>IFERROR(__xludf.DUMMYFUNCTION("""COMPUTED_VALUE"""),"CV. Adil Prima Perkasa")</f>
        <v>CV. Adil Prima Perkasa</v>
      </c>
      <c r="F7" s="18" t="str">
        <f>IFERROR(__xludf.DUMMYFUNCTION("""COMPUTED_VALUE"""),"OPERATOR BULLDOZER")</f>
        <v>OPERATOR BULLDOZER</v>
      </c>
      <c r="G7" s="18" t="str">
        <f>IFERROR(__xludf.DUMMYFUNCTION("""COMPUTED_VALUE"""),"PRODUKSI")</f>
        <v>PRODUKSI</v>
      </c>
      <c r="H7" s="18" t="str">
        <f>IFERROR(__xludf.DUMMYFUNCTION("""COMPUTED_VALUE"""),"2023-11-30 05.27.01")</f>
        <v>2023-11-30 05.27.01</v>
      </c>
      <c r="I7" s="18" t="str">
        <f>IFERROR(__xludf.DUMMYFUNCTION("""COMPUTED_VALUE"""),"2023-11-30 05.27.01")</f>
        <v>2023-11-30 05.27.01</v>
      </c>
      <c r="J7" s="36">
        <f>IFERROR(__xludf.DUMMYFUNCTION("""COMPUTED_VALUE"""),26160.0)</f>
        <v>26160</v>
      </c>
      <c r="K7" s="37" t="str">
        <f t="shared" si="1"/>
        <v>[202201128] ABD. RIFAI</v>
      </c>
    </row>
    <row r="8">
      <c r="A8" s="17">
        <f>IFERROR(__xludf.DUMMYFUNCTION("""COMPUTED_VALUE"""),1.09201236E8)</f>
        <v>109201236</v>
      </c>
      <c r="B8" s="18" t="str">
        <f>IFERROR(__xludf.DUMMYFUNCTION("""COMPUTED_VALUE"""),"ABDUL")</f>
        <v>ABDUL</v>
      </c>
      <c r="C8" s="18">
        <f>IFERROR(__xludf.DUMMYFUNCTION("""COMPUTED_VALUE"""),44.0)</f>
        <v>44</v>
      </c>
      <c r="D8" s="35" t="str">
        <f>IFERROR(__xludf.DUMMYFUNCTION("""COMPUTED_VALUE"""),"Islam")</f>
        <v>Islam</v>
      </c>
      <c r="E8" s="18" t="str">
        <f>IFERROR(__xludf.DUMMYFUNCTION("""COMPUTED_VALUE"""),"CV. SENTOSA ABADI")</f>
        <v>CV. SENTOSA ABADI</v>
      </c>
      <c r="F8" s="18" t="str">
        <f>IFERROR(__xludf.DUMMYFUNCTION("""COMPUTED_VALUE"""),"DRIVER DT H700ZY")</f>
        <v>DRIVER DT H700ZY</v>
      </c>
      <c r="G8" s="18" t="str">
        <f>IFERROR(__xludf.DUMMYFUNCTION("""COMPUTED_VALUE"""),"KENDARAAN &amp; UNIT SUPPORT")</f>
        <v>KENDARAAN &amp; UNIT SUPPORT</v>
      </c>
      <c r="H8" s="18" t="str">
        <f>IFERROR(__xludf.DUMMYFUNCTION("""COMPUTED_VALUE"""),"2024-03-30 06.42.23")</f>
        <v>2024-03-30 06.42.23</v>
      </c>
      <c r="I8" s="18" t="str">
        <f>IFERROR(__xludf.DUMMYFUNCTION("""COMPUTED_VALUE"""),"2024-03-30 06.42.23")</f>
        <v>2024-03-30 06.42.23</v>
      </c>
      <c r="J8" s="36">
        <f>IFERROR(__xludf.DUMMYFUNCTION("""COMPUTED_VALUE"""),31567.0)</f>
        <v>31567</v>
      </c>
      <c r="K8" s="37" t="str">
        <f t="shared" si="1"/>
        <v>[109201236] ABDUL</v>
      </c>
    </row>
    <row r="9">
      <c r="A9" s="17">
        <f>IFERROR(__xludf.DUMMYFUNCTION("""COMPUTED_VALUE"""),3.04210058E8)</f>
        <v>304210058</v>
      </c>
      <c r="B9" s="18" t="str">
        <f>IFERROR(__xludf.DUMMYFUNCTION("""COMPUTED_VALUE"""),"ABDUL HALIM")</f>
        <v>ABDUL HALIM</v>
      </c>
      <c r="C9" s="18">
        <f>IFERROR(__xludf.DUMMYFUNCTION("""COMPUTED_VALUE"""),28.0)</f>
        <v>28</v>
      </c>
      <c r="D9" s="35" t="str">
        <f>IFERROR(__xludf.DUMMYFUNCTION("""COMPUTED_VALUE"""),"Islam")</f>
        <v>Islam</v>
      </c>
      <c r="E9" s="18" t="str">
        <f>IFERROR(__xludf.DUMMYFUNCTION("""COMPUTED_VALUE"""),"CV. Monalisa")</f>
        <v>CV. Monalisa</v>
      </c>
      <c r="F9" s="18" t="str">
        <f>IFERROR(__xludf.DUMMYFUNCTION("""COMPUTED_VALUE"""),"SAFETY OFFICER")</f>
        <v>SAFETY OFFICER</v>
      </c>
      <c r="G9" s="18" t="str">
        <f>IFERROR(__xludf.DUMMYFUNCTION("""COMPUTED_VALUE"""),"HSE")</f>
        <v>HSE</v>
      </c>
      <c r="H9" s="18" t="str">
        <f>IFERROR(__xludf.DUMMYFUNCTION("""COMPUTED_VALUE"""),"2024-03-31 07.36.12")</f>
        <v>2024-03-31 07.36.12</v>
      </c>
      <c r="I9" s="18" t="str">
        <f>IFERROR(__xludf.DUMMYFUNCTION("""COMPUTED_VALUE"""),"2024-03-31 17.01.29")</f>
        <v>2024-03-31 17.01.29</v>
      </c>
      <c r="J9" s="36">
        <f>IFERROR(__xludf.DUMMYFUNCTION("""COMPUTED_VALUE"""),35150.0)</f>
        <v>35150</v>
      </c>
      <c r="K9" s="37" t="str">
        <f t="shared" si="1"/>
        <v>[304210058] ABDUL HALIM</v>
      </c>
    </row>
    <row r="10">
      <c r="A10" s="17">
        <f>IFERROR(__xludf.DUMMYFUNCTION("""COMPUTED_VALUE"""),1.1221156E8)</f>
        <v>112211560</v>
      </c>
      <c r="B10" s="18" t="str">
        <f>IFERROR(__xludf.DUMMYFUNCTION("""COMPUTED_VALUE"""),"ABDUL MUTTAQIEN")</f>
        <v>ABDUL MUTTAQIEN</v>
      </c>
      <c r="C10" s="18">
        <f>IFERROR(__xludf.DUMMYFUNCTION("""COMPUTED_VALUE"""),24.0)</f>
        <v>24</v>
      </c>
      <c r="D10" s="35" t="str">
        <f>IFERROR(__xludf.DUMMYFUNCTION("""COMPUTED_VALUE"""),"Islam")</f>
        <v>Islam</v>
      </c>
      <c r="E10" s="18" t="str">
        <f>IFERROR(__xludf.DUMMYFUNCTION("""COMPUTED_VALUE"""),"CV. SENTOSA ABADI")</f>
        <v>CV. SENTOSA ABADI</v>
      </c>
      <c r="F10" s="18" t="str">
        <f>IFERROR(__xludf.DUMMYFUNCTION("""COMPUTED_VALUE"""),"CHECKER PRODUKSI")</f>
        <v>CHECKER PRODUKSI</v>
      </c>
      <c r="G10" s="18" t="str">
        <f>IFERROR(__xludf.DUMMYFUNCTION("""COMPUTED_VALUE"""),"PRODUKSI")</f>
        <v>PRODUKSI</v>
      </c>
      <c r="H10" s="18" t="str">
        <f>IFERROR(__xludf.DUMMYFUNCTION("""COMPUTED_VALUE"""),"2023-11-30 20.37.55")</f>
        <v>2023-11-30 20.37.55</v>
      </c>
      <c r="I10" s="18" t="str">
        <f>IFERROR(__xludf.DUMMYFUNCTION("""COMPUTED_VALUE"""),"2023-11-30 20.37.55")</f>
        <v>2023-11-30 20.37.55</v>
      </c>
      <c r="J10" s="36"/>
      <c r="K10" s="37" t="str">
        <f t="shared" si="1"/>
        <v>[112211560] ABDUL MUTTAQIEN</v>
      </c>
    </row>
    <row r="11">
      <c r="A11" s="17">
        <f>IFERROR(__xludf.DUMMYFUNCTION("""COMPUTED_VALUE"""),2.12211549E8)</f>
        <v>212211549</v>
      </c>
      <c r="B11" s="18" t="str">
        <f>IFERROR(__xludf.DUMMYFUNCTION("""COMPUTED_VALUE"""),"ABDUL RAHMAN")</f>
        <v>ABDUL RAHMAN</v>
      </c>
      <c r="C11" s="18">
        <f>IFERROR(__xludf.DUMMYFUNCTION("""COMPUTED_VALUE"""),44.0)</f>
        <v>44</v>
      </c>
      <c r="D11" s="35" t="str">
        <f>IFERROR(__xludf.DUMMYFUNCTION("""COMPUTED_VALUE"""),"Islam")</f>
        <v>Islam</v>
      </c>
      <c r="E11" s="18" t="str">
        <f>IFERROR(__xludf.DUMMYFUNCTION("""COMPUTED_VALUE"""),"CV. Adil Prima Perkasa")</f>
        <v>CV. Adil Prima Perkasa</v>
      </c>
      <c r="F11" s="18" t="str">
        <f>IFERROR(__xludf.DUMMYFUNCTION("""COMPUTED_VALUE"""),"DRIVER DT H700ZY")</f>
        <v>DRIVER DT H700ZY</v>
      </c>
      <c r="G11" s="18" t="str">
        <f>IFERROR(__xludf.DUMMYFUNCTION("""COMPUTED_VALUE"""),"KENDARAAN &amp; UNIT SUPPORT")</f>
        <v>KENDARAAN &amp; UNIT SUPPORT</v>
      </c>
      <c r="H11" s="18" t="str">
        <f>IFERROR(__xludf.DUMMYFUNCTION("""COMPUTED_VALUE"""),"2024-03-31 06.23.29")</f>
        <v>2024-03-31 06.23.29</v>
      </c>
      <c r="I11" s="18" t="str">
        <f>IFERROR(__xludf.DUMMYFUNCTION("""COMPUTED_VALUE"""),"2024-03-31 15.58.04")</f>
        <v>2024-03-31 15.58.04</v>
      </c>
      <c r="J11" s="36"/>
      <c r="K11" s="37" t="str">
        <f t="shared" si="1"/>
        <v>[212211549] ABDUL RAHMAN</v>
      </c>
    </row>
    <row r="12">
      <c r="A12" s="17">
        <f>IFERROR(__xludf.DUMMYFUNCTION("""COMPUTED_VALUE"""),1.02190897E8)</f>
        <v>102190897</v>
      </c>
      <c r="B12" s="18" t="str">
        <f>IFERROR(__xludf.DUMMYFUNCTION("""COMPUTED_VALUE"""),"ABDUL SAMAT KOROMPOT")</f>
        <v>ABDUL SAMAT KOROMPOT</v>
      </c>
      <c r="C12" s="18">
        <f>IFERROR(__xludf.DUMMYFUNCTION("""COMPUTED_VALUE"""),47.0)</f>
        <v>47</v>
      </c>
      <c r="D12" s="35" t="str">
        <f>IFERROR(__xludf.DUMMYFUNCTION("""COMPUTED_VALUE"""),"Islam")</f>
        <v>Islam</v>
      </c>
      <c r="E12" s="18" t="str">
        <f>IFERROR(__xludf.DUMMYFUNCTION("""COMPUTED_VALUE"""),"CV. SENTOSA ABADI")</f>
        <v>CV. SENTOSA ABADI</v>
      </c>
      <c r="F12" s="18" t="str">
        <f>IFERROR(__xludf.DUMMYFUNCTION("""COMPUTED_VALUE"""),"CREW LOGISTIK")</f>
        <v>CREW LOGISTIK</v>
      </c>
      <c r="G12" s="18" t="str">
        <f>IFERROR(__xludf.DUMMYFUNCTION("""COMPUTED_VALUE"""),"LOGISTIC")</f>
        <v>LOGISTIC</v>
      </c>
      <c r="H12" s="18" t="str">
        <f>IFERROR(__xludf.DUMMYFUNCTION("""COMPUTED_VALUE"""),"2023-11-30 07.04.47")</f>
        <v>2023-11-30 07.04.47</v>
      </c>
      <c r="I12" s="18" t="str">
        <f>IFERROR(__xludf.DUMMYFUNCTION("""COMPUTED_VALUE"""),"2023-11-30 22.00.05")</f>
        <v>2023-11-30 22.00.05</v>
      </c>
      <c r="J12" s="36"/>
      <c r="K12" s="37" t="str">
        <f t="shared" si="1"/>
        <v>[102190897] ABDUL SAMAT KOROMPOT</v>
      </c>
    </row>
    <row r="13">
      <c r="A13" s="17">
        <f>IFERROR(__xludf.DUMMYFUNCTION("""COMPUTED_VALUE"""),1.09201217E8)</f>
        <v>109201217</v>
      </c>
      <c r="B13" s="18" t="str">
        <f>IFERROR(__xludf.DUMMYFUNCTION("""COMPUTED_VALUE"""),"ADE ILHAMZAH SALAM")</f>
        <v>ADE ILHAMZAH SALAM</v>
      </c>
      <c r="C13" s="18">
        <f>IFERROR(__xludf.DUMMYFUNCTION("""COMPUTED_VALUE"""),40.0)</f>
        <v>40</v>
      </c>
      <c r="D13" s="35" t="str">
        <f>IFERROR(__xludf.DUMMYFUNCTION("""COMPUTED_VALUE"""),"Kristen Protestan")</f>
        <v>Kristen Protestan</v>
      </c>
      <c r="E13" s="18" t="str">
        <f>IFERROR(__xludf.DUMMYFUNCTION("""COMPUTED_VALUE"""),"CV. SENTOSA ABADI")</f>
        <v>CV. SENTOSA ABADI</v>
      </c>
      <c r="F13" s="18" t="str">
        <f>IFERROR(__xludf.DUMMYFUNCTION("""COMPUTED_VALUE"""),"ASISTEN FOREMAN PRODUKSI")</f>
        <v>ASISTEN FOREMAN PRODUKSI</v>
      </c>
      <c r="G13" s="18" t="str">
        <f>IFERROR(__xludf.DUMMYFUNCTION("""COMPUTED_VALUE"""),"PRODUKSI")</f>
        <v>PRODUKSI</v>
      </c>
      <c r="H13" s="18" t="str">
        <f>IFERROR(__xludf.DUMMYFUNCTION("""COMPUTED_VALUE"""),"2023-11-30 18.14.06")</f>
        <v>2023-11-30 18.14.06</v>
      </c>
      <c r="I13" s="18" t="str">
        <f>IFERROR(__xludf.DUMMYFUNCTION("""COMPUTED_VALUE"""),"2023-11-30 18.14.06")</f>
        <v>2023-11-30 18.14.06</v>
      </c>
      <c r="J13" s="36">
        <f>IFERROR(__xludf.DUMMYFUNCTION("""COMPUTED_VALUE"""),32708.0)</f>
        <v>32708</v>
      </c>
      <c r="K13" s="37" t="str">
        <f t="shared" si="1"/>
        <v>[109201217] ADE ILHAMZAH SALAM</v>
      </c>
    </row>
    <row r="14">
      <c r="A14" s="17">
        <f>IFERROR(__xludf.DUMMYFUNCTION("""COMPUTED_VALUE"""),2.10201258E8)</f>
        <v>210201258</v>
      </c>
      <c r="B14" s="18" t="str">
        <f>IFERROR(__xludf.DUMMYFUNCTION("""COMPUTED_VALUE"""),"ADHI PRANATA")</f>
        <v>ADHI PRANATA</v>
      </c>
      <c r="C14" s="18">
        <f>IFERROR(__xludf.DUMMYFUNCTION("""COMPUTED_VALUE"""),29.0)</f>
        <v>29</v>
      </c>
      <c r="D14" s="35" t="str">
        <f>IFERROR(__xludf.DUMMYFUNCTION("""COMPUTED_VALUE"""),"Hindu")</f>
        <v>Hindu</v>
      </c>
      <c r="E14" s="18" t="str">
        <f>IFERROR(__xludf.DUMMYFUNCTION("""COMPUTED_VALUE"""),"CV. Adil Prima Perkasa")</f>
        <v>CV. Adil Prima Perkasa</v>
      </c>
      <c r="F14" s="18" t="str">
        <f>IFERROR(__xludf.DUMMYFUNCTION("""COMPUTED_VALUE"""),"OPERATOR BULLDOZER")</f>
        <v>OPERATOR BULLDOZER</v>
      </c>
      <c r="G14" s="18" t="str">
        <f>IFERROR(__xludf.DUMMYFUNCTION("""COMPUTED_VALUE"""),"PRODUKSI")</f>
        <v>PRODUKSI</v>
      </c>
      <c r="H14" s="18" t="str">
        <f>IFERROR(__xludf.DUMMYFUNCTION("""COMPUTED_VALUE"""),"2023-11-30 05.09.12")</f>
        <v>2023-11-30 05.09.12</v>
      </c>
      <c r="I14" s="18" t="str">
        <f>IFERROR(__xludf.DUMMYFUNCTION("""COMPUTED_VALUE"""),"2023-11-30 16.51.46")</f>
        <v>2023-11-30 16.51.46</v>
      </c>
      <c r="J14" s="36"/>
      <c r="K14" s="37" t="str">
        <f t="shared" si="1"/>
        <v>[210201258] ADHI PRANATA</v>
      </c>
    </row>
    <row r="15">
      <c r="A15" s="17">
        <f>IFERROR(__xludf.DUMMYFUNCTION("""COMPUTED_VALUE"""),2.10231841E8)</f>
        <v>210231841</v>
      </c>
      <c r="B15" s="18" t="str">
        <f>IFERROR(__xludf.DUMMYFUNCTION("""COMPUTED_VALUE"""),"ADI PANGREKSO")</f>
        <v>ADI PANGREKSO</v>
      </c>
      <c r="C15" s="18">
        <f>IFERROR(__xludf.DUMMYFUNCTION("""COMPUTED_VALUE"""),51.0)</f>
        <v>51</v>
      </c>
      <c r="D15" s="35" t="str">
        <f>IFERROR(__xludf.DUMMYFUNCTION("""COMPUTED_VALUE"""),"Kristen Protestan")</f>
        <v>Kristen Protestan</v>
      </c>
      <c r="E15" s="18" t="str">
        <f>IFERROR(__xludf.DUMMYFUNCTION("""COMPUTED_VALUE"""),"CV. Adil Prima Perkasa")</f>
        <v>CV. Adil Prima Perkasa</v>
      </c>
      <c r="F15" s="18" t="str">
        <f>IFERROR(__xludf.DUMMYFUNCTION("""COMPUTED_VALUE"""),"MEKANIK")</f>
        <v>MEKANIK</v>
      </c>
      <c r="G15" s="18" t="str">
        <f>IFERROR(__xludf.DUMMYFUNCTION("""COMPUTED_VALUE"""),"WORKSHOP")</f>
        <v>WORKSHOP</v>
      </c>
      <c r="H15" s="18" t="str">
        <f>IFERROR(__xludf.DUMMYFUNCTION("""COMPUTED_VALUE"""),"2023-11-30 06.20.35")</f>
        <v>2023-11-30 06.20.35</v>
      </c>
      <c r="I15" s="18" t="str">
        <f>IFERROR(__xludf.DUMMYFUNCTION("""COMPUTED_VALUE"""),"2023-11-30 17.00.17")</f>
        <v>2023-11-30 17.00.17</v>
      </c>
      <c r="J15" s="36">
        <f>IFERROR(__xludf.DUMMYFUNCTION("""COMPUTED_VALUE"""),29567.0)</f>
        <v>29567</v>
      </c>
      <c r="K15" s="37" t="str">
        <f t="shared" si="1"/>
        <v>[210231841] ADI PANGREKSO</v>
      </c>
    </row>
    <row r="16">
      <c r="A16" s="17">
        <f>IFERROR(__xludf.DUMMYFUNCTION("""COMPUTED_VALUE"""),2.11221703E8)</f>
        <v>211221703</v>
      </c>
      <c r="B16" s="18" t="str">
        <f>IFERROR(__xludf.DUMMYFUNCTION("""COMPUTED_VALUE"""),"ADI PAWATAK")</f>
        <v>ADI PAWATAK</v>
      </c>
      <c r="C16" s="18">
        <f>IFERROR(__xludf.DUMMYFUNCTION("""COMPUTED_VALUE"""),21.0)</f>
        <v>21</v>
      </c>
      <c r="D16" s="35" t="str">
        <f>IFERROR(__xludf.DUMMYFUNCTION("""COMPUTED_VALUE"""),"Islam")</f>
        <v>Islam</v>
      </c>
      <c r="E16" s="18" t="str">
        <f>IFERROR(__xludf.DUMMYFUNCTION("""COMPUTED_VALUE"""),"CV. Adil Prima Perkasa")</f>
        <v>CV. Adil Prima Perkasa</v>
      </c>
      <c r="F16" s="18" t="str">
        <f>IFERROR(__xludf.DUMMYFUNCTION("""COMPUTED_VALUE"""),"HELPER MEKANIK LV")</f>
        <v>HELPER MEKANIK LV</v>
      </c>
      <c r="G16" s="18" t="str">
        <f>IFERROR(__xludf.DUMMYFUNCTION("""COMPUTED_VALUE"""),"WORKSHOP")</f>
        <v>WORKSHOP</v>
      </c>
      <c r="H16" s="18" t="str">
        <f>IFERROR(__xludf.DUMMYFUNCTION("""COMPUTED_VALUE"""),"2023-11-30 06.48.34")</f>
        <v>2023-11-30 06.48.34</v>
      </c>
      <c r="I16" s="18" t="str">
        <f>IFERROR(__xludf.DUMMYFUNCTION("""COMPUTED_VALUE"""),"2023-11-30 16.19.47")</f>
        <v>2023-11-30 16.19.47</v>
      </c>
      <c r="J16" s="36"/>
      <c r="K16" s="37" t="str">
        <f t="shared" si="1"/>
        <v>[211221703] ADI PAWATAK</v>
      </c>
    </row>
    <row r="17">
      <c r="A17" s="17"/>
      <c r="B17" s="18" t="str">
        <f>IFERROR(__xludf.DUMMYFUNCTION("""COMPUTED_VALUE"""),"ADRI")</f>
        <v>ADRI</v>
      </c>
      <c r="C17" s="18">
        <f>IFERROR(__xludf.DUMMYFUNCTION("""COMPUTED_VALUE"""),0.0)</f>
        <v>0</v>
      </c>
      <c r="D17" s="35"/>
      <c r="E17" s="18" t="str">
        <f>IFERROR(__xludf.DUMMYFUNCTION("""COMPUTED_VALUE"""),"CV. SENTOSA ABADI")</f>
        <v>CV. SENTOSA ABADI</v>
      </c>
      <c r="F17" s="18" t="str">
        <f>IFERROR(__xludf.DUMMYFUNCTION("""COMPUTED_VALUE"""),"FALSE")</f>
        <v>FALSE</v>
      </c>
      <c r="G17" s="18" t="str">
        <f>IFERROR(__xludf.DUMMYFUNCTION("""COMPUTED_VALUE"""),"FALSE")</f>
        <v>FALSE</v>
      </c>
      <c r="H17" s="18"/>
      <c r="I17" s="18"/>
      <c r="J17" s="36"/>
      <c r="K17" s="37" t="str">
        <f t="shared" si="1"/>
        <v/>
      </c>
    </row>
    <row r="18">
      <c r="A18" s="17">
        <f>IFERROR(__xludf.DUMMYFUNCTION("""COMPUTED_VALUE"""),1.10211515E8)</f>
        <v>110211515</v>
      </c>
      <c r="B18" s="18" t="str">
        <f>IFERROR(__xludf.DUMMYFUNCTION("""COMPUTED_VALUE"""),"ADRIANUS PATI OPENG")</f>
        <v>ADRIANUS PATI OPENG</v>
      </c>
      <c r="C18" s="18">
        <f>IFERROR(__xludf.DUMMYFUNCTION("""COMPUTED_VALUE"""),34.0)</f>
        <v>34</v>
      </c>
      <c r="D18" s="35" t="str">
        <f>IFERROR(__xludf.DUMMYFUNCTION("""COMPUTED_VALUE"""),"Kristen Protestan")</f>
        <v>Kristen Protestan</v>
      </c>
      <c r="E18" s="18" t="str">
        <f>IFERROR(__xludf.DUMMYFUNCTION("""COMPUTED_VALUE"""),"CV. SENTOSA ABADI")</f>
        <v>CV. SENTOSA ABADI</v>
      </c>
      <c r="F18" s="18" t="str">
        <f>IFERROR(__xludf.DUMMYFUNCTION("""COMPUTED_VALUE"""),"DRIVER LV")</f>
        <v>DRIVER LV</v>
      </c>
      <c r="G18" s="18" t="str">
        <f>IFERROR(__xludf.DUMMYFUNCTION("""COMPUTED_VALUE"""),"KENDARAAN &amp; UNIT SUPPORT")</f>
        <v>KENDARAAN &amp; UNIT SUPPORT</v>
      </c>
      <c r="H18" s="18" t="str">
        <f>IFERROR(__xludf.DUMMYFUNCTION("""COMPUTED_VALUE"""),"2024-03-31 06.34.17")</f>
        <v>2024-03-31 06.34.17</v>
      </c>
      <c r="I18" s="18" t="str">
        <f>IFERROR(__xludf.DUMMYFUNCTION("""COMPUTED_VALUE"""),"2024-03-31 19.57.58")</f>
        <v>2024-03-31 19.57.58</v>
      </c>
      <c r="J18" s="36"/>
      <c r="K18" s="37" t="str">
        <f t="shared" si="1"/>
        <v>[110211515] ADRIANUS PATI OPENG</v>
      </c>
    </row>
    <row r="19">
      <c r="A19" s="17">
        <f>IFERROR(__xludf.DUMMYFUNCTION("""COMPUTED_VALUE"""),1.11211534E8)</f>
        <v>111211534</v>
      </c>
      <c r="B19" s="18" t="str">
        <f>IFERROR(__xludf.DUMMYFUNCTION("""COMPUTED_VALUE"""),"ADRIAWAN")</f>
        <v>ADRIAWAN</v>
      </c>
      <c r="C19" s="18">
        <f>IFERROR(__xludf.DUMMYFUNCTION("""COMPUTED_VALUE"""),24.0)</f>
        <v>24</v>
      </c>
      <c r="D19" s="35" t="str">
        <f>IFERROR(__xludf.DUMMYFUNCTION("""COMPUTED_VALUE"""),"Islam")</f>
        <v>Islam</v>
      </c>
      <c r="E19" s="18" t="str">
        <f>IFERROR(__xludf.DUMMYFUNCTION("""COMPUTED_VALUE"""),"CV. SENTOSA ABADI")</f>
        <v>CV. SENTOSA ABADI</v>
      </c>
      <c r="F19" s="18" t="str">
        <f>IFERROR(__xludf.DUMMYFUNCTION("""COMPUTED_VALUE"""),"HELPER TYRE")</f>
        <v>HELPER TYRE</v>
      </c>
      <c r="G19" s="18" t="str">
        <f>IFERROR(__xludf.DUMMYFUNCTION("""COMPUTED_VALUE"""),"WORKSHOP")</f>
        <v>WORKSHOP</v>
      </c>
      <c r="H19" s="18" t="str">
        <f>IFERROR(__xludf.DUMMYFUNCTION("""COMPUTED_VALUE"""),"2023-11-30 07.07.49")</f>
        <v>2023-11-30 07.07.49</v>
      </c>
      <c r="I19" s="18" t="str">
        <f>IFERROR(__xludf.DUMMYFUNCTION("""COMPUTED_VALUE"""),"2023-11-30 22.30.49")</f>
        <v>2023-11-30 22.30.49</v>
      </c>
      <c r="J19" s="36"/>
      <c r="K19" s="37" t="str">
        <f t="shared" si="1"/>
        <v>[111211534] ADRIAWAN</v>
      </c>
    </row>
    <row r="20">
      <c r="A20" s="17">
        <f>IFERROR(__xludf.DUMMYFUNCTION("""COMPUTED_VALUE"""),1.09211475E8)</f>
        <v>109211475</v>
      </c>
      <c r="B20" s="18" t="str">
        <f>IFERROR(__xludf.DUMMYFUNCTION("""COMPUTED_VALUE"""),"AGRIAWAN")</f>
        <v>AGRIAWAN</v>
      </c>
      <c r="C20" s="18">
        <f>IFERROR(__xludf.DUMMYFUNCTION("""COMPUTED_VALUE"""),22.0)</f>
        <v>22</v>
      </c>
      <c r="D20" s="35" t="str">
        <f>IFERROR(__xludf.DUMMYFUNCTION("""COMPUTED_VALUE"""),"Islam")</f>
        <v>Islam</v>
      </c>
      <c r="E20" s="18" t="str">
        <f>IFERROR(__xludf.DUMMYFUNCTION("""COMPUTED_VALUE"""),"CV. SENTOSA ABADI")</f>
        <v>CV. SENTOSA ABADI</v>
      </c>
      <c r="F20" s="18" t="str">
        <f>IFERROR(__xludf.DUMMYFUNCTION("""COMPUTED_VALUE"""),"HELPER TYRE")</f>
        <v>HELPER TYRE</v>
      </c>
      <c r="G20" s="18" t="str">
        <f>IFERROR(__xludf.DUMMYFUNCTION("""COMPUTED_VALUE"""),"WORKSHOP")</f>
        <v>WORKSHOP</v>
      </c>
      <c r="H20" s="18" t="str">
        <f>IFERROR(__xludf.DUMMYFUNCTION("""COMPUTED_VALUE"""),"2023-11-30 07.19.08")</f>
        <v>2023-11-30 07.19.08</v>
      </c>
      <c r="I20" s="18" t="str">
        <f>IFERROR(__xludf.DUMMYFUNCTION("""COMPUTED_VALUE"""),"2023-11-30 07.19.08")</f>
        <v>2023-11-30 07.19.08</v>
      </c>
      <c r="J20" s="36"/>
      <c r="K20" s="37" t="str">
        <f t="shared" si="1"/>
        <v>[109211475] AGRIAWAN</v>
      </c>
    </row>
    <row r="21">
      <c r="A21" s="17">
        <f>IFERROR(__xludf.DUMMYFUNCTION("""COMPUTED_VALUE"""),1.04211384E8)</f>
        <v>104211384</v>
      </c>
      <c r="B21" s="18" t="str">
        <f>IFERROR(__xludf.DUMMYFUNCTION("""COMPUTED_VALUE"""),"AGUNG YOGA PRATAMA")</f>
        <v>AGUNG YOGA PRATAMA</v>
      </c>
      <c r="C21" s="18">
        <f>IFERROR(__xludf.DUMMYFUNCTION("""COMPUTED_VALUE"""),27.0)</f>
        <v>27</v>
      </c>
      <c r="D21" s="35" t="str">
        <f>IFERROR(__xludf.DUMMYFUNCTION("""COMPUTED_VALUE"""),"Islam")</f>
        <v>Islam</v>
      </c>
      <c r="E21" s="18" t="str">
        <f>IFERROR(__xludf.DUMMYFUNCTION("""COMPUTED_VALUE"""),"CV. SENTOSA ABADI")</f>
        <v>CV. SENTOSA ABADI</v>
      </c>
      <c r="F21" s="18" t="str">
        <f>IFERROR(__xludf.DUMMYFUNCTION("""COMPUTED_VALUE"""),"STAFF HRD")</f>
        <v>STAFF HRD</v>
      </c>
      <c r="G21" s="18" t="str">
        <f>IFERROR(__xludf.DUMMYFUNCTION("""COMPUTED_VALUE"""),"HRD &amp; GA")</f>
        <v>HRD &amp; GA</v>
      </c>
      <c r="H21" s="18" t="str">
        <f>IFERROR(__xludf.DUMMYFUNCTION("""COMPUTED_VALUE"""),"2024-03-31 07.25.38")</f>
        <v>2024-03-31 07.25.38</v>
      </c>
      <c r="I21" s="18" t="str">
        <f>IFERROR(__xludf.DUMMYFUNCTION("""COMPUTED_VALUE"""),"2024-03-31 16.37.09")</f>
        <v>2024-03-31 16.37.09</v>
      </c>
      <c r="J21" s="36"/>
      <c r="K21" s="37" t="str">
        <f t="shared" si="1"/>
        <v>[104211384] AGUNG YOGA PRATAMA</v>
      </c>
    </row>
    <row r="22">
      <c r="A22" s="17">
        <f>IFERROR(__xludf.DUMMYFUNCTION("""COMPUTED_VALUE"""),2.04150633E8)</f>
        <v>204150633</v>
      </c>
      <c r="B22" s="18" t="str">
        <f>IFERROR(__xludf.DUMMYFUNCTION("""COMPUTED_VALUE"""),"AGUS AMIRUDDIN")</f>
        <v>AGUS AMIRUDDIN</v>
      </c>
      <c r="C22" s="18">
        <f>IFERROR(__xludf.DUMMYFUNCTION("""COMPUTED_VALUE"""),52.0)</f>
        <v>52</v>
      </c>
      <c r="D22" s="35" t="str">
        <f>IFERROR(__xludf.DUMMYFUNCTION("""COMPUTED_VALUE"""),"Islam")</f>
        <v>Islam</v>
      </c>
      <c r="E22" s="18" t="str">
        <f>IFERROR(__xludf.DUMMYFUNCTION("""COMPUTED_VALUE"""),"CV. Adil Prima Perkasa")</f>
        <v>CV. Adil Prima Perkasa</v>
      </c>
      <c r="F22" s="18" t="str">
        <f>IFERROR(__xludf.DUMMYFUNCTION("""COMPUTED_VALUE"""),"FOREMAN PRODUKSI")</f>
        <v>FOREMAN PRODUKSI</v>
      </c>
      <c r="G22" s="18" t="str">
        <f>IFERROR(__xludf.DUMMYFUNCTION("""COMPUTED_VALUE"""),"PRODUKSI")</f>
        <v>PRODUKSI</v>
      </c>
      <c r="H22" s="18" t="str">
        <f>IFERROR(__xludf.DUMMYFUNCTION("""COMPUTED_VALUE"""),"2023-11-30 19.47.51")</f>
        <v>2023-11-30 19.47.51</v>
      </c>
      <c r="I22" s="18" t="str">
        <f>IFERROR(__xludf.DUMMYFUNCTION("""COMPUTED_VALUE"""),"2023-11-30 19.47.51")</f>
        <v>2023-11-30 19.47.51</v>
      </c>
      <c r="J22" s="36"/>
      <c r="K22" s="37" t="str">
        <f t="shared" si="1"/>
        <v>[204150633] AGUS AMIRUDDIN</v>
      </c>
    </row>
    <row r="23">
      <c r="A23" s="17">
        <f>IFERROR(__xludf.DUMMYFUNCTION("""COMPUTED_VALUE"""),2.0923183E8)</f>
        <v>209231830</v>
      </c>
      <c r="B23" s="18" t="str">
        <f>IFERROR(__xludf.DUMMYFUNCTION("""COMPUTED_VALUE"""),"AGUS HIDAYATULLAH")</f>
        <v>AGUS HIDAYATULLAH</v>
      </c>
      <c r="C23" s="18">
        <f>IFERROR(__xludf.DUMMYFUNCTION("""COMPUTED_VALUE"""),33.0)</f>
        <v>33</v>
      </c>
      <c r="D23" s="35" t="str">
        <f>IFERROR(__xludf.DUMMYFUNCTION("""COMPUTED_VALUE"""),"Islam")</f>
        <v>Islam</v>
      </c>
      <c r="E23" s="18" t="str">
        <f>IFERROR(__xludf.DUMMYFUNCTION("""COMPUTED_VALUE"""),"CV. Adil Prima Perkasa")</f>
        <v>CV. Adil Prima Perkasa</v>
      </c>
      <c r="F23" s="18" t="str">
        <f>IFERROR(__xludf.DUMMYFUNCTION("""COMPUTED_VALUE"""),"CREW SURVEY")</f>
        <v>CREW SURVEY</v>
      </c>
      <c r="G23" s="18" t="str">
        <f>IFERROR(__xludf.DUMMYFUNCTION("""COMPUTED_VALUE"""),"MPE")</f>
        <v>MPE</v>
      </c>
      <c r="H23" s="18" t="str">
        <f>IFERROR(__xludf.DUMMYFUNCTION("""COMPUTED_VALUE"""),"2023-11-30 19.54.00")</f>
        <v>2023-11-30 19.54.00</v>
      </c>
      <c r="I23" s="18" t="str">
        <f>IFERROR(__xludf.DUMMYFUNCTION("""COMPUTED_VALUE"""),"2023-11-30 19.54.00")</f>
        <v>2023-11-30 19.54.00</v>
      </c>
      <c r="J23" s="36"/>
      <c r="K23" s="37" t="str">
        <f t="shared" si="1"/>
        <v>[209231830] AGUS HIDAYATULLAH</v>
      </c>
    </row>
    <row r="24">
      <c r="A24" s="17">
        <f>IFERROR(__xludf.DUMMYFUNCTION("""COMPUTED_VALUE"""),1.02190759E8)</f>
        <v>102190759</v>
      </c>
      <c r="B24" s="18" t="str">
        <f>IFERROR(__xludf.DUMMYFUNCTION("""COMPUTED_VALUE"""),"AGUS MULYADI")</f>
        <v>AGUS MULYADI</v>
      </c>
      <c r="C24" s="18">
        <f>IFERROR(__xludf.DUMMYFUNCTION("""COMPUTED_VALUE"""),31.0)</f>
        <v>31</v>
      </c>
      <c r="D24" s="35" t="str">
        <f>IFERROR(__xludf.DUMMYFUNCTION("""COMPUTED_VALUE"""),"Islam")</f>
        <v>Islam</v>
      </c>
      <c r="E24" s="18" t="str">
        <f>IFERROR(__xludf.DUMMYFUNCTION("""COMPUTED_VALUE"""),"CV. SENTOSA ABADI")</f>
        <v>CV. SENTOSA ABADI</v>
      </c>
      <c r="F24" s="18" t="str">
        <f>IFERROR(__xludf.DUMMYFUNCTION("""COMPUTED_VALUE"""),"CHECKER KENDARAAN")</f>
        <v>CHECKER KENDARAAN</v>
      </c>
      <c r="G24" s="18" t="str">
        <f>IFERROR(__xludf.DUMMYFUNCTION("""COMPUTED_VALUE"""),"KENDARAAN &amp; UNIT SUPPORT")</f>
        <v>KENDARAAN &amp; UNIT SUPPORT</v>
      </c>
      <c r="H24" s="18" t="str">
        <f>IFERROR(__xludf.DUMMYFUNCTION("""COMPUTED_VALUE"""),"2023-11-30 06.55.31")</f>
        <v>2023-11-30 06.55.31</v>
      </c>
      <c r="I24" s="18" t="str">
        <f>IFERROR(__xludf.DUMMYFUNCTION("""COMPUTED_VALUE"""),"2023-11-30 18.07.13")</f>
        <v>2023-11-30 18.07.13</v>
      </c>
      <c r="J24" s="36">
        <f>IFERROR(__xludf.DUMMYFUNCTION("""COMPUTED_VALUE"""),34858.0)</f>
        <v>34858</v>
      </c>
      <c r="K24" s="37" t="str">
        <f t="shared" si="1"/>
        <v>[102190759] AGUS MULYADI</v>
      </c>
    </row>
    <row r="25">
      <c r="A25" s="17">
        <f>IFERROR(__xludf.DUMMYFUNCTION("""COMPUTED_VALUE"""),2.04241907E8)</f>
        <v>204241907</v>
      </c>
      <c r="B25" s="18" t="str">
        <f>IFERROR(__xludf.DUMMYFUNCTION("""COMPUTED_VALUE"""),"AGUSMAN")</f>
        <v>AGUSMAN</v>
      </c>
      <c r="C25" s="18">
        <f>IFERROR(__xludf.DUMMYFUNCTION("""COMPUTED_VALUE"""),0.0)</f>
        <v>0</v>
      </c>
      <c r="D25" s="35" t="str">
        <f>IFERROR(__xludf.DUMMYFUNCTION("""COMPUTED_VALUE"""),"Islam")</f>
        <v>Islam</v>
      </c>
      <c r="E25" s="18" t="str">
        <f>IFERROR(__xludf.DUMMYFUNCTION("""COMPUTED_VALUE"""),"CV. Adil Prima Perkasa")</f>
        <v>CV. Adil Prima Perkasa</v>
      </c>
      <c r="F25" s="18" t="str">
        <f>IFERROR(__xludf.DUMMYFUNCTION("""COMPUTED_VALUE"""),"HELPER MEKANIK ALAT BERAT")</f>
        <v>HELPER MEKANIK ALAT BERAT</v>
      </c>
      <c r="G25" s="18" t="str">
        <f>IFERROR(__xludf.DUMMYFUNCTION("""COMPUTED_VALUE"""),"WORKSHOP")</f>
        <v>WORKSHOP</v>
      </c>
      <c r="H25" s="18"/>
      <c r="I25" s="18"/>
      <c r="J25" s="36"/>
      <c r="K25" s="37" t="str">
        <f t="shared" si="1"/>
        <v/>
      </c>
    </row>
    <row r="26">
      <c r="A26" s="17">
        <f>IFERROR(__xludf.DUMMYFUNCTION("""COMPUTED_VALUE"""),2.02190768E8)</f>
        <v>202190768</v>
      </c>
      <c r="B26" s="18" t="str">
        <f>IFERROR(__xludf.DUMMYFUNCTION("""COMPUTED_VALUE"""),"AGUSTINUS WIRIANA")</f>
        <v>AGUSTINUS WIRIANA</v>
      </c>
      <c r="C26" s="18">
        <f>IFERROR(__xludf.DUMMYFUNCTION("""COMPUTED_VALUE"""),24.0)</f>
        <v>24</v>
      </c>
      <c r="D26" s="35" t="str">
        <f>IFERROR(__xludf.DUMMYFUNCTION("""COMPUTED_VALUE"""),"Kristen Khatolik")</f>
        <v>Kristen Khatolik</v>
      </c>
      <c r="E26" s="18" t="str">
        <f>IFERROR(__xludf.DUMMYFUNCTION("""COMPUTED_VALUE"""),"CV. Adil Prima Perkasa")</f>
        <v>CV. Adil Prima Perkasa</v>
      </c>
      <c r="F26" s="18" t="str">
        <f>IFERROR(__xludf.DUMMYFUNCTION("""COMPUTED_VALUE"""),"OPERATOR EXCAVATOR")</f>
        <v>OPERATOR EXCAVATOR</v>
      </c>
      <c r="G26" s="18" t="str">
        <f>IFERROR(__xludf.DUMMYFUNCTION("""COMPUTED_VALUE"""),"PRODUKSI")</f>
        <v>PRODUKSI</v>
      </c>
      <c r="H26" s="18"/>
      <c r="I26" s="18"/>
      <c r="J26" s="36"/>
      <c r="K26" s="37" t="str">
        <f t="shared" si="1"/>
        <v/>
      </c>
    </row>
    <row r="27">
      <c r="A27" s="17">
        <f>IFERROR(__xludf.DUMMYFUNCTION("""COMPUTED_VALUE"""),1.04211363E8)</f>
        <v>104211363</v>
      </c>
      <c r="B27" s="18" t="str">
        <f>IFERROR(__xludf.DUMMYFUNCTION("""COMPUTED_VALUE"""),"AHIRABIN TENGE")</f>
        <v>AHIRABIN TENGE</v>
      </c>
      <c r="C27" s="18">
        <f>IFERROR(__xludf.DUMMYFUNCTION("""COMPUTED_VALUE"""),51.0)</f>
        <v>51</v>
      </c>
      <c r="D27" s="35" t="str">
        <f>IFERROR(__xludf.DUMMYFUNCTION("""COMPUTED_VALUE"""),"Islam")</f>
        <v>Islam</v>
      </c>
      <c r="E27" s="18" t="str">
        <f>IFERROR(__xludf.DUMMYFUNCTION("""COMPUTED_VALUE"""),"CV. SENTOSA ABADI")</f>
        <v>CV. SENTOSA ABADI</v>
      </c>
      <c r="F27" s="18" t="str">
        <f>IFERROR(__xludf.DUMMYFUNCTION("""COMPUTED_VALUE"""),"HELPER MECHANIC DT OTR")</f>
        <v>HELPER MECHANIC DT OTR</v>
      </c>
      <c r="G27" s="18" t="str">
        <f>IFERROR(__xludf.DUMMYFUNCTION("""COMPUTED_VALUE"""),"WORKSHOP")</f>
        <v>WORKSHOP</v>
      </c>
      <c r="H27" s="18" t="str">
        <f>IFERROR(__xludf.DUMMYFUNCTION("""COMPUTED_VALUE"""),"2023-11-30 06.33.13")</f>
        <v>2023-11-30 06.33.13</v>
      </c>
      <c r="I27" s="18" t="str">
        <f>IFERROR(__xludf.DUMMYFUNCTION("""COMPUTED_VALUE"""),"2023-11-30 18.14.59")</f>
        <v>2023-11-30 18.14.59</v>
      </c>
      <c r="J27" s="36">
        <f>IFERROR(__xludf.DUMMYFUNCTION("""COMPUTED_VALUE"""),30272.0)</f>
        <v>30272</v>
      </c>
      <c r="K27" s="37" t="str">
        <f t="shared" si="1"/>
        <v>[104211363] AHIRABIN TENGE</v>
      </c>
    </row>
    <row r="28">
      <c r="A28" s="17">
        <f>IFERROR(__xludf.DUMMYFUNCTION("""COMPUTED_VALUE"""),2.11211538E8)</f>
        <v>211211538</v>
      </c>
      <c r="B28" s="18" t="str">
        <f>IFERROR(__xludf.DUMMYFUNCTION("""COMPUTED_VALUE"""),"AHMAD ALFIAN LUBIS")</f>
        <v>AHMAD ALFIAN LUBIS</v>
      </c>
      <c r="C28" s="18">
        <f>IFERROR(__xludf.DUMMYFUNCTION("""COMPUTED_VALUE"""),29.0)</f>
        <v>29</v>
      </c>
      <c r="D28" s="35" t="str">
        <f>IFERROR(__xludf.DUMMYFUNCTION("""COMPUTED_VALUE"""),"Islam")</f>
        <v>Islam</v>
      </c>
      <c r="E28" s="18" t="str">
        <f>IFERROR(__xludf.DUMMYFUNCTION("""COMPUTED_VALUE"""),"CV. Adil Prima Perkasa")</f>
        <v>CV. Adil Prima Perkasa</v>
      </c>
      <c r="F28" s="18" t="str">
        <f>IFERROR(__xludf.DUMMYFUNCTION("""COMPUTED_VALUE"""),"HELPER MEKANIK ALAT BERAT")</f>
        <v>HELPER MEKANIK ALAT BERAT</v>
      </c>
      <c r="G28" s="18" t="str">
        <f>IFERROR(__xludf.DUMMYFUNCTION("""COMPUTED_VALUE"""),"WORKSHOP")</f>
        <v>WORKSHOP</v>
      </c>
      <c r="H28" s="18" t="str">
        <f>IFERROR(__xludf.DUMMYFUNCTION("""COMPUTED_VALUE"""),"2023-11-30 06.41.10")</f>
        <v>2023-11-30 06.41.10</v>
      </c>
      <c r="I28" s="18" t="str">
        <f>IFERROR(__xludf.DUMMYFUNCTION("""COMPUTED_VALUE"""),"2023-11-30 19.01.19")</f>
        <v>2023-11-30 19.01.19</v>
      </c>
      <c r="J28" s="36"/>
      <c r="K28" s="37" t="str">
        <f t="shared" si="1"/>
        <v>[211211538] AHMAD ALFIAN LUBIS</v>
      </c>
    </row>
    <row r="29">
      <c r="A29" s="17">
        <f>IFERROR(__xludf.DUMMYFUNCTION("""COMPUTED_VALUE"""),1.02150022E8)</f>
        <v>102150022</v>
      </c>
      <c r="B29" s="18" t="str">
        <f>IFERROR(__xludf.DUMMYFUNCTION("""COMPUTED_VALUE"""),"AHMAD SERANG")</f>
        <v>AHMAD SERANG</v>
      </c>
      <c r="C29" s="18">
        <f>IFERROR(__xludf.DUMMYFUNCTION("""COMPUTED_VALUE"""),36.0)</f>
        <v>36</v>
      </c>
      <c r="D29" s="35" t="str">
        <f>IFERROR(__xludf.DUMMYFUNCTION("""COMPUTED_VALUE"""),"Islam")</f>
        <v>Islam</v>
      </c>
      <c r="E29" s="18" t="str">
        <f>IFERROR(__xludf.DUMMYFUNCTION("""COMPUTED_VALUE"""),"CV. SENTOSA ABADI")</f>
        <v>CV. SENTOSA ABADI</v>
      </c>
      <c r="F29" s="18" t="str">
        <f>IFERROR(__xludf.DUMMYFUNCTION("""COMPUTED_VALUE"""),"OPERATOR EXCAVATOR")</f>
        <v>OPERATOR EXCAVATOR</v>
      </c>
      <c r="G29" s="18" t="str">
        <f>IFERROR(__xludf.DUMMYFUNCTION("""COMPUTED_VALUE"""),"PRODUKSI")</f>
        <v>PRODUKSI</v>
      </c>
      <c r="H29" s="18" t="str">
        <f>IFERROR(__xludf.DUMMYFUNCTION("""COMPUTED_VALUE"""),"2023-11-18 05.25.47")</f>
        <v>2023-11-18 05.25.47</v>
      </c>
      <c r="I29" s="18" t="str">
        <f>IFERROR(__xludf.DUMMYFUNCTION("""COMPUTED_VALUE"""),"2023-11-18 05.25.47")</f>
        <v>2023-11-18 05.25.47</v>
      </c>
      <c r="J29" s="36">
        <f>IFERROR(__xludf.DUMMYFUNCTION("""COMPUTED_VALUE"""),34060.0)</f>
        <v>34060</v>
      </c>
      <c r="K29" s="37" t="str">
        <f t="shared" si="1"/>
        <v>[102150022] AHMAD SERANG</v>
      </c>
    </row>
    <row r="30">
      <c r="A30" s="17">
        <f>IFERROR(__xludf.DUMMYFUNCTION("""COMPUTED_VALUE"""),2.11211542E8)</f>
        <v>211211542</v>
      </c>
      <c r="B30" s="18" t="str">
        <f>IFERROR(__xludf.DUMMYFUNCTION("""COMPUTED_VALUE"""),"AIDIL L. SARANANI")</f>
        <v>AIDIL L. SARANANI</v>
      </c>
      <c r="C30" s="18">
        <f>IFERROR(__xludf.DUMMYFUNCTION("""COMPUTED_VALUE"""),41.0)</f>
        <v>41</v>
      </c>
      <c r="D30" s="35" t="str">
        <f>IFERROR(__xludf.DUMMYFUNCTION("""COMPUTED_VALUE"""),"Islam")</f>
        <v>Islam</v>
      </c>
      <c r="E30" s="18" t="str">
        <f>IFERROR(__xludf.DUMMYFUNCTION("""COMPUTED_VALUE"""),"CV. Adil Prima Perkasa")</f>
        <v>CV. Adil Prima Perkasa</v>
      </c>
      <c r="F30" s="18" t="str">
        <f>IFERROR(__xludf.DUMMYFUNCTION("""COMPUTED_VALUE"""),"DRIVER DT H700ZY")</f>
        <v>DRIVER DT H700ZY</v>
      </c>
      <c r="G30" s="18" t="str">
        <f>IFERROR(__xludf.DUMMYFUNCTION("""COMPUTED_VALUE"""),"KENDARAAN &amp; UNIT SUPPORT")</f>
        <v>KENDARAAN &amp; UNIT SUPPORT</v>
      </c>
      <c r="H30" s="18" t="str">
        <f>IFERROR(__xludf.DUMMYFUNCTION("""COMPUTED_VALUE"""),"2024-03-31 06.12.22")</f>
        <v>2024-03-31 06.12.22</v>
      </c>
      <c r="I30" s="18" t="str">
        <f>IFERROR(__xludf.DUMMYFUNCTION("""COMPUTED_VALUE"""),"2024-03-31 15.58.09")</f>
        <v>2024-03-31 15.58.09</v>
      </c>
      <c r="J30" s="36">
        <f>IFERROR(__xludf.DUMMYFUNCTION("""COMPUTED_VALUE"""),30380.0)</f>
        <v>30380</v>
      </c>
      <c r="K30" s="37" t="str">
        <f t="shared" si="1"/>
        <v>[211211542] AIDIL L. SARANANI</v>
      </c>
    </row>
    <row r="31">
      <c r="A31" s="17">
        <f>IFERROR(__xludf.DUMMYFUNCTION("""COMPUTED_VALUE"""),1.101911E8)</f>
        <v>110191100</v>
      </c>
      <c r="B31" s="18" t="str">
        <f>IFERROR(__xludf.DUMMYFUNCTION("""COMPUTED_VALUE"""),"AKMAL")</f>
        <v>AKMAL</v>
      </c>
      <c r="C31" s="18">
        <f>IFERROR(__xludf.DUMMYFUNCTION("""COMPUTED_VALUE"""),41.0)</f>
        <v>41</v>
      </c>
      <c r="D31" s="35" t="str">
        <f>IFERROR(__xludf.DUMMYFUNCTION("""COMPUTED_VALUE"""),"Islam")</f>
        <v>Islam</v>
      </c>
      <c r="E31" s="18" t="str">
        <f>IFERROR(__xludf.DUMMYFUNCTION("""COMPUTED_VALUE"""),"CV. SENTOSA ABADI")</f>
        <v>CV. SENTOSA ABADI</v>
      </c>
      <c r="F31" s="18" t="str">
        <f>IFERROR(__xludf.DUMMYFUNCTION("""COMPUTED_VALUE"""),"DRIVER DT H700ZY")</f>
        <v>DRIVER DT H700ZY</v>
      </c>
      <c r="G31" s="18" t="str">
        <f>IFERROR(__xludf.DUMMYFUNCTION("""COMPUTED_VALUE"""),"KENDARAAN &amp; UNIT SUPPORT")</f>
        <v>KENDARAAN &amp; UNIT SUPPORT</v>
      </c>
      <c r="H31" s="18" t="str">
        <f>IFERROR(__xludf.DUMMYFUNCTION("""COMPUTED_VALUE"""),"2024-03-28 05.42.01")</f>
        <v>2024-03-28 05.42.01</v>
      </c>
      <c r="I31" s="18" t="str">
        <f>IFERROR(__xludf.DUMMYFUNCTION("""COMPUTED_VALUE"""),"2024-03-28 05.42.01")</f>
        <v>2024-03-28 05.42.01</v>
      </c>
      <c r="J31" s="36">
        <f>IFERROR(__xludf.DUMMYFUNCTION("""COMPUTED_VALUE"""),30744.0)</f>
        <v>30744</v>
      </c>
      <c r="K31" s="37" t="str">
        <f t="shared" si="1"/>
        <v>[110191100] AKMAL</v>
      </c>
    </row>
    <row r="32">
      <c r="A32" s="17">
        <f>IFERROR(__xludf.DUMMYFUNCTION("""COMPUTED_VALUE"""),2.05241933E8)</f>
        <v>205241933</v>
      </c>
      <c r="B32" s="18" t="str">
        <f>IFERROR(__xludf.DUMMYFUNCTION("""COMPUTED_VALUE"""),"AKMAL ENHAS")</f>
        <v>AKMAL ENHAS</v>
      </c>
      <c r="C32" s="18">
        <f>IFERROR(__xludf.DUMMYFUNCTION("""COMPUTED_VALUE"""),0.0)</f>
        <v>0</v>
      </c>
      <c r="D32" s="35"/>
      <c r="E32" s="18" t="str">
        <f>IFERROR(__xludf.DUMMYFUNCTION("""COMPUTED_VALUE"""),"CV. Adil Prima Perkasa")</f>
        <v>CV. Adil Prima Perkasa</v>
      </c>
      <c r="F32" s="18" t="str">
        <f>IFERROR(__xludf.DUMMYFUNCTION("""COMPUTED_VALUE"""),"DRIVER LV")</f>
        <v>DRIVER LV</v>
      </c>
      <c r="G32" s="18" t="str">
        <f>IFERROR(__xludf.DUMMYFUNCTION("""COMPUTED_VALUE"""),"KENDARAAN &amp; UNIT SUPPORT")</f>
        <v>KENDARAAN &amp; UNIT SUPPORT</v>
      </c>
      <c r="H32" s="18"/>
      <c r="I32" s="18"/>
      <c r="J32" s="36"/>
      <c r="K32" s="37" t="str">
        <f t="shared" si="1"/>
        <v/>
      </c>
    </row>
    <row r="33">
      <c r="A33" s="17">
        <f>IFERROR(__xludf.DUMMYFUNCTION("""COMPUTED_VALUE"""),1.12231862E8)</f>
        <v>112231862</v>
      </c>
      <c r="B33" s="18" t="str">
        <f>IFERROR(__xludf.DUMMYFUNCTION("""COMPUTED_VALUE"""),"ALAM")</f>
        <v>ALAM</v>
      </c>
      <c r="C33" s="18">
        <f>IFERROR(__xludf.DUMMYFUNCTION("""COMPUTED_VALUE"""),0.0)</f>
        <v>0</v>
      </c>
      <c r="D33" s="35"/>
      <c r="E33" s="18" t="str">
        <f>IFERROR(__xludf.DUMMYFUNCTION("""COMPUTED_VALUE"""),"CV. SENTOSA ABADI")</f>
        <v>CV. SENTOSA ABADI</v>
      </c>
      <c r="F33" s="18" t="str">
        <f>IFERROR(__xludf.DUMMYFUNCTION("""COMPUTED_VALUE"""),"DRIVER DT H500")</f>
        <v>DRIVER DT H500</v>
      </c>
      <c r="G33" s="18" t="str">
        <f>IFERROR(__xludf.DUMMYFUNCTION("""COMPUTED_VALUE"""),"KENDARAAN &amp; UNIT SUPPORT")</f>
        <v>KENDARAAN &amp; UNIT SUPPORT</v>
      </c>
      <c r="H33" s="18" t="str">
        <f>IFERROR(__xludf.DUMMYFUNCTION("""COMPUTED_VALUE"""),"2024-03-31 06.38.52")</f>
        <v>2024-03-31 06.38.52</v>
      </c>
      <c r="I33" s="18" t="str">
        <f>IFERROR(__xludf.DUMMYFUNCTION("""COMPUTED_VALUE"""),"2024-03-31 16.43.22")</f>
        <v>2024-03-31 16.43.22</v>
      </c>
      <c r="J33" s="36"/>
      <c r="K33" s="37" t="str">
        <f t="shared" si="1"/>
        <v>[112231862] ALAM</v>
      </c>
    </row>
    <row r="34">
      <c r="A34" s="17">
        <f>IFERROR(__xludf.DUMMYFUNCTION("""COMPUTED_VALUE"""),2.03221605E8)</f>
        <v>203221605</v>
      </c>
      <c r="B34" s="18" t="str">
        <f>IFERROR(__xludf.DUMMYFUNCTION("""COMPUTED_VALUE"""),"ALBERT PALABURU")</f>
        <v>ALBERT PALABURU</v>
      </c>
      <c r="C34" s="18">
        <f>IFERROR(__xludf.DUMMYFUNCTION("""COMPUTED_VALUE"""),46.0)</f>
        <v>46</v>
      </c>
      <c r="D34" s="35" t="str">
        <f>IFERROR(__xludf.DUMMYFUNCTION("""COMPUTED_VALUE"""),"Kristen Khatolik")</f>
        <v>Kristen Khatolik</v>
      </c>
      <c r="E34" s="18" t="str">
        <f>IFERROR(__xludf.DUMMYFUNCTION("""COMPUTED_VALUE"""),"CV. Adil Prima Perkasa")</f>
        <v>CV. Adil Prima Perkasa</v>
      </c>
      <c r="F34" s="18" t="str">
        <f>IFERROR(__xludf.DUMMYFUNCTION("""COMPUTED_VALUE"""),"DRIVER DT H700ZY")</f>
        <v>DRIVER DT H700ZY</v>
      </c>
      <c r="G34" s="18" t="str">
        <f>IFERROR(__xludf.DUMMYFUNCTION("""COMPUTED_VALUE"""),"KENDARAAN &amp; UNIT SUPPORT")</f>
        <v>KENDARAAN &amp; UNIT SUPPORT</v>
      </c>
      <c r="H34" s="18" t="str">
        <f>IFERROR(__xludf.DUMMYFUNCTION("""COMPUTED_VALUE"""),"2024-03-31 06.47.51")</f>
        <v>2024-03-31 06.47.51</v>
      </c>
      <c r="I34" s="18" t="str">
        <f>IFERROR(__xludf.DUMMYFUNCTION("""COMPUTED_VALUE"""),"2024-03-31 17.59.02")</f>
        <v>2024-03-31 17.59.02</v>
      </c>
      <c r="J34" s="36">
        <f>IFERROR(__xludf.DUMMYFUNCTION("""COMPUTED_VALUE"""),29983.0)</f>
        <v>29983</v>
      </c>
      <c r="K34" s="37" t="str">
        <f t="shared" si="1"/>
        <v>[203221605] ALBERT PALABURU</v>
      </c>
    </row>
    <row r="35">
      <c r="A35" s="17"/>
      <c r="B35" s="18" t="str">
        <f>IFERROR(__xludf.DUMMYFUNCTION("""COMPUTED_VALUE"""),"ALBERTUS KAPONG")</f>
        <v>ALBERTUS KAPONG</v>
      </c>
      <c r="C35" s="18">
        <f>IFERROR(__xludf.DUMMYFUNCTION("""COMPUTED_VALUE"""),0.0)</f>
        <v>0</v>
      </c>
      <c r="D35" s="35"/>
      <c r="E35" s="18" t="str">
        <f>IFERROR(__xludf.DUMMYFUNCTION("""COMPUTED_VALUE"""),"CV. Adil Prima Perkasa")</f>
        <v>CV. Adil Prima Perkasa</v>
      </c>
      <c r="F35" s="18" t="str">
        <f>IFERROR(__xludf.DUMMYFUNCTION("""COMPUTED_VALUE"""),"FALSE")</f>
        <v>FALSE</v>
      </c>
      <c r="G35" s="18" t="str">
        <f>IFERROR(__xludf.DUMMYFUNCTION("""COMPUTED_VALUE"""),"FINANCE")</f>
        <v>FINANCE</v>
      </c>
      <c r="H35" s="18"/>
      <c r="I35" s="18"/>
      <c r="J35" s="36"/>
      <c r="K35" s="37" t="str">
        <f t="shared" si="1"/>
        <v/>
      </c>
    </row>
    <row r="36">
      <c r="A36" s="17">
        <f>IFERROR(__xludf.DUMMYFUNCTION("""COMPUTED_VALUE"""),2.03241894E8)</f>
        <v>203241894</v>
      </c>
      <c r="B36" s="18" t="str">
        <f>IFERROR(__xludf.DUMMYFUNCTION("""COMPUTED_VALUE"""),"ALDY JIBRIEL PANE")</f>
        <v>ALDY JIBRIEL PANE</v>
      </c>
      <c r="C36" s="18">
        <f>IFERROR(__xludf.DUMMYFUNCTION("""COMPUTED_VALUE"""),0.0)</f>
        <v>0</v>
      </c>
      <c r="D36" s="35"/>
      <c r="E36" s="18" t="str">
        <f>IFERROR(__xludf.DUMMYFUNCTION("""COMPUTED_VALUE"""),"CV. Adil Prima Perkasa")</f>
        <v>CV. Adil Prima Perkasa</v>
      </c>
      <c r="F36" s="18" t="str">
        <f>IFERROR(__xludf.DUMMYFUNCTION("""COMPUTED_VALUE"""),"CREW SURVEY")</f>
        <v>CREW SURVEY</v>
      </c>
      <c r="G36" s="18" t="str">
        <f>IFERROR(__xludf.DUMMYFUNCTION("""COMPUTED_VALUE"""),"MPE")</f>
        <v>MPE</v>
      </c>
      <c r="H36" s="18" t="str">
        <f>IFERROR(__xludf.DUMMYFUNCTION("""COMPUTED_VALUE"""),"2024-03-31 07.15.27")</f>
        <v>2024-03-31 07.15.27</v>
      </c>
      <c r="I36" s="18" t="str">
        <f>IFERROR(__xludf.DUMMYFUNCTION("""COMPUTED_VALUE"""),"2024-03-31 07.15.27")</f>
        <v>2024-03-31 07.15.27</v>
      </c>
      <c r="J36" s="36"/>
      <c r="K36" s="37" t="str">
        <f t="shared" si="1"/>
        <v>[203241894] ALDY JIBRIEL PANE</v>
      </c>
    </row>
    <row r="37">
      <c r="A37" s="17">
        <f>IFERROR(__xludf.DUMMYFUNCTION("""COMPUTED_VALUE"""),2.02221583E8)</f>
        <v>202221583</v>
      </c>
      <c r="B37" s="18" t="str">
        <f>IFERROR(__xludf.DUMMYFUNCTION("""COMPUTED_VALUE"""),"ALFI SAHRIN")</f>
        <v>ALFI SAHRIN</v>
      </c>
      <c r="C37" s="18">
        <f>IFERROR(__xludf.DUMMYFUNCTION("""COMPUTED_VALUE"""),21.0)</f>
        <v>21</v>
      </c>
      <c r="D37" s="35" t="str">
        <f>IFERROR(__xludf.DUMMYFUNCTION("""COMPUTED_VALUE"""),"Islam")</f>
        <v>Islam</v>
      </c>
      <c r="E37" s="18" t="str">
        <f>IFERROR(__xludf.DUMMYFUNCTION("""COMPUTED_VALUE"""),"CV. Adil Prima Perkasa")</f>
        <v>CV. Adil Prima Perkasa</v>
      </c>
      <c r="F37" s="18" t="str">
        <f>IFERROR(__xludf.DUMMYFUNCTION("""COMPUTED_VALUE"""),"BAGIAN UMUM")</f>
        <v>BAGIAN UMUM</v>
      </c>
      <c r="G37" s="18" t="str">
        <f>IFERROR(__xludf.DUMMYFUNCTION("""COMPUTED_VALUE"""),"HRD &amp; GA")</f>
        <v>HRD &amp; GA</v>
      </c>
      <c r="H37" s="18" t="str">
        <f>IFERROR(__xludf.DUMMYFUNCTION("""COMPUTED_VALUE"""),"2024-03-31 19.20.17")</f>
        <v>2024-03-31 19.20.17</v>
      </c>
      <c r="I37" s="18" t="str">
        <f>IFERROR(__xludf.DUMMYFUNCTION("""COMPUTED_VALUE"""),"2024-03-31 19.20.17")</f>
        <v>2024-03-31 19.20.17</v>
      </c>
      <c r="J37" s="36"/>
      <c r="K37" s="37" t="str">
        <f t="shared" si="1"/>
        <v>[202221583] ALFI SAHRIN</v>
      </c>
    </row>
    <row r="38">
      <c r="A38" s="17">
        <f>IFERROR(__xludf.DUMMYFUNCTION("""COMPUTED_VALUE"""),2.07211444E8)</f>
        <v>207211444</v>
      </c>
      <c r="B38" s="18" t="str">
        <f>IFERROR(__xludf.DUMMYFUNCTION("""COMPUTED_VALUE"""),"ALFRENDI LEONARD TANGGI")</f>
        <v>ALFRENDI LEONARD TANGGI</v>
      </c>
      <c r="C38" s="18">
        <f>IFERROR(__xludf.DUMMYFUNCTION("""COMPUTED_VALUE"""),24.0)</f>
        <v>24</v>
      </c>
      <c r="D38" s="35" t="str">
        <f>IFERROR(__xludf.DUMMYFUNCTION("""COMPUTED_VALUE"""),"Kristen Protestan")</f>
        <v>Kristen Protestan</v>
      </c>
      <c r="E38" s="18" t="str">
        <f>IFERROR(__xludf.DUMMYFUNCTION("""COMPUTED_VALUE"""),"CV. Adil Prima Perkasa")</f>
        <v>CV. Adil Prima Perkasa</v>
      </c>
      <c r="F38" s="18" t="str">
        <f>IFERROR(__xludf.DUMMYFUNCTION("""COMPUTED_VALUE"""),"WASHING MAN")</f>
        <v>WASHING MAN</v>
      </c>
      <c r="G38" s="18" t="str">
        <f>IFERROR(__xludf.DUMMYFUNCTION("""COMPUTED_VALUE"""),"WORKSHOP")</f>
        <v>WORKSHOP</v>
      </c>
      <c r="H38" s="18" t="str">
        <f>IFERROR(__xludf.DUMMYFUNCTION("""COMPUTED_VALUE"""),"2023-11-30 19.22.36")</f>
        <v>2023-11-30 19.22.36</v>
      </c>
      <c r="I38" s="18" t="str">
        <f>IFERROR(__xludf.DUMMYFUNCTION("""COMPUTED_VALUE"""),"2023-11-30 22.02.22")</f>
        <v>2023-11-30 22.02.22</v>
      </c>
      <c r="J38" s="36"/>
      <c r="K38" s="37" t="str">
        <f t="shared" si="1"/>
        <v>[207211444] ALFRENDI LEONARD TANGGI</v>
      </c>
    </row>
    <row r="39">
      <c r="A39" s="17">
        <f>IFERROR(__xludf.DUMMYFUNCTION("""COMPUTED_VALUE"""),2.06189004E8)</f>
        <v>206189004</v>
      </c>
      <c r="B39" s="18" t="str">
        <f>IFERROR(__xludf.DUMMYFUNCTION("""COMPUTED_VALUE"""),"ALFRETH ALVIAN TIAKI")</f>
        <v>ALFRETH ALVIAN TIAKI</v>
      </c>
      <c r="C39" s="18">
        <f>IFERROR(__xludf.DUMMYFUNCTION("""COMPUTED_VALUE"""),0.0)</f>
        <v>0</v>
      </c>
      <c r="D39" s="35"/>
      <c r="E39" s="18" t="str">
        <f>IFERROR(__xludf.DUMMYFUNCTION("""COMPUTED_VALUE"""),"CV. Adil Prima Perkasa")</f>
        <v>CV. Adil Prima Perkasa</v>
      </c>
      <c r="F39" s="18" t="str">
        <f>IFERROR(__xludf.DUMMYFUNCTION("""COMPUTED_VALUE"""),"FALSE")</f>
        <v>FALSE</v>
      </c>
      <c r="G39" s="18" t="str">
        <f>IFERROR(__xludf.DUMMYFUNCTION("""COMPUTED_VALUE"""),"FINANCE")</f>
        <v>FINANCE</v>
      </c>
      <c r="H39" s="18"/>
      <c r="I39" s="18"/>
      <c r="J39" s="36"/>
      <c r="K39" s="37" t="str">
        <f t="shared" si="1"/>
        <v/>
      </c>
    </row>
    <row r="40">
      <c r="A40" s="17">
        <f>IFERROR(__xludf.DUMMYFUNCTION("""COMPUTED_VALUE"""),2.06231773E8)</f>
        <v>206231773</v>
      </c>
      <c r="B40" s="18" t="str">
        <f>IFERROR(__xludf.DUMMYFUNCTION("""COMPUTED_VALUE"""),"ALI SADAR")</f>
        <v>ALI SADAR</v>
      </c>
      <c r="C40" s="18">
        <f>IFERROR(__xludf.DUMMYFUNCTION("""COMPUTED_VALUE"""),0.0)</f>
        <v>0</v>
      </c>
      <c r="D40" s="35"/>
      <c r="E40" s="18" t="str">
        <f>IFERROR(__xludf.DUMMYFUNCTION("""COMPUTED_VALUE"""),"CV. Adil Prima Perkasa")</f>
        <v>CV. Adil Prima Perkasa</v>
      </c>
      <c r="F40" s="18" t="str">
        <f>IFERROR(__xludf.DUMMYFUNCTION("""COMPUTED_VALUE"""),"SECURITY")</f>
        <v>SECURITY</v>
      </c>
      <c r="G40" s="18" t="str">
        <f>IFERROR(__xludf.DUMMYFUNCTION("""COMPUTED_VALUE"""),"HRD &amp; GA")</f>
        <v>HRD &amp; GA</v>
      </c>
      <c r="H40" s="18" t="str">
        <f>IFERROR(__xludf.DUMMYFUNCTION("""COMPUTED_VALUE"""),"2024-03-31 07.09.25")</f>
        <v>2024-03-31 07.09.25</v>
      </c>
      <c r="I40" s="18" t="str">
        <f>IFERROR(__xludf.DUMMYFUNCTION("""COMPUTED_VALUE"""),"2024-03-31 18.32.52")</f>
        <v>2024-03-31 18.32.52</v>
      </c>
      <c r="J40" s="36"/>
      <c r="K40" s="37" t="str">
        <f t="shared" si="1"/>
        <v>[206231773] ALI SADAR</v>
      </c>
    </row>
    <row r="41">
      <c r="A41" s="17">
        <f>IFERROR(__xludf.DUMMYFUNCTION("""COMPUTED_VALUE"""),1.03180405E8)</f>
        <v>103180405</v>
      </c>
      <c r="B41" s="18" t="str">
        <f>IFERROR(__xludf.DUMMYFUNCTION("""COMPUTED_VALUE"""),"ALKHISER M. LUMIMPUO")</f>
        <v>ALKHISER M. LUMIMPUO</v>
      </c>
      <c r="C41" s="18">
        <f>IFERROR(__xludf.DUMMYFUNCTION("""COMPUTED_VALUE"""),48.0)</f>
        <v>48</v>
      </c>
      <c r="D41" s="35" t="str">
        <f>IFERROR(__xludf.DUMMYFUNCTION("""COMPUTED_VALUE"""),"Kristen Protestan")</f>
        <v>Kristen Protestan</v>
      </c>
      <c r="E41" s="18" t="str">
        <f>IFERROR(__xludf.DUMMYFUNCTION("""COMPUTED_VALUE"""),"CV. SENTOSA ABADI")</f>
        <v>CV. SENTOSA ABADI</v>
      </c>
      <c r="F41" s="18" t="str">
        <f>IFERROR(__xludf.DUMMYFUNCTION("""COMPUTED_VALUE"""),"FOREMAN KENDARAAN")</f>
        <v>FOREMAN KENDARAAN</v>
      </c>
      <c r="G41" s="18" t="str">
        <f>IFERROR(__xludf.DUMMYFUNCTION("""COMPUTED_VALUE"""),"KENDARAAN &amp; UNIT SUPPORT")</f>
        <v>KENDARAAN &amp; UNIT SUPPORT</v>
      </c>
      <c r="H41" s="18" t="str">
        <f>IFERROR(__xludf.DUMMYFUNCTION("""COMPUTED_VALUE"""),"2023-11-14 06.37.54")</f>
        <v>2023-11-14 06.37.54</v>
      </c>
      <c r="I41" s="18" t="str">
        <f>IFERROR(__xludf.DUMMYFUNCTION("""COMPUTED_VALUE"""),"2023-11-14 06.37.54")</f>
        <v>2023-11-14 06.37.54</v>
      </c>
      <c r="J41" s="36">
        <f>IFERROR(__xludf.DUMMYFUNCTION("""COMPUTED_VALUE"""),27424.0)</f>
        <v>27424</v>
      </c>
      <c r="K41" s="37" t="str">
        <f t="shared" si="1"/>
        <v>[103180405] ALKHISER M. LUMIMPUO</v>
      </c>
    </row>
    <row r="42">
      <c r="A42" s="17">
        <f>IFERROR(__xludf.DUMMYFUNCTION("""COMPUTED_VALUE"""),1.02190932E8)</f>
        <v>102190932</v>
      </c>
      <c r="B42" s="18" t="str">
        <f>IFERROR(__xludf.DUMMYFUNCTION("""COMPUTED_VALUE"""),"ALTON JALAKI")</f>
        <v>ALTON JALAKI</v>
      </c>
      <c r="C42" s="18">
        <f>IFERROR(__xludf.DUMMYFUNCTION("""COMPUTED_VALUE"""),34.0)</f>
        <v>34</v>
      </c>
      <c r="D42" s="35" t="str">
        <f>IFERROR(__xludf.DUMMYFUNCTION("""COMPUTED_VALUE"""),"Kristen Protestan")</f>
        <v>Kristen Protestan</v>
      </c>
      <c r="E42" s="18" t="str">
        <f>IFERROR(__xludf.DUMMYFUNCTION("""COMPUTED_VALUE"""),"CV. SENTOSA ABADI")</f>
        <v>CV. SENTOSA ABADI</v>
      </c>
      <c r="F42" s="18" t="str">
        <f>IFERROR(__xludf.DUMMYFUNCTION("""COMPUTED_VALUE"""),"DRIVER DT H700ZY")</f>
        <v>DRIVER DT H700ZY</v>
      </c>
      <c r="G42" s="18" t="str">
        <f>IFERROR(__xludf.DUMMYFUNCTION("""COMPUTED_VALUE"""),"KENDARAAN &amp; UNIT SUPPORT")</f>
        <v>KENDARAAN &amp; UNIT SUPPORT</v>
      </c>
      <c r="H42" s="18" t="str">
        <f>IFERROR(__xludf.DUMMYFUNCTION("""COMPUTED_VALUE"""),"2024-03-31 19.18.44")</f>
        <v>2024-03-31 19.18.44</v>
      </c>
      <c r="I42" s="18" t="str">
        <f>IFERROR(__xludf.DUMMYFUNCTION("""COMPUTED_VALUE"""),"2024-03-31 19.18.44")</f>
        <v>2024-03-31 19.18.44</v>
      </c>
      <c r="J42" s="36"/>
      <c r="K42" s="37" t="str">
        <f t="shared" si="1"/>
        <v>[102190932] ALTON JALAKI</v>
      </c>
    </row>
    <row r="43">
      <c r="A43" s="17">
        <f>IFERROR(__xludf.DUMMYFUNCTION("""COMPUTED_VALUE"""),2.02211339E8)</f>
        <v>202211339</v>
      </c>
      <c r="B43" s="18" t="str">
        <f>IFERROR(__xludf.DUMMYFUNCTION("""COMPUTED_VALUE"""),"ALVIANUS DUMA'")</f>
        <v>ALVIANUS DUMA'</v>
      </c>
      <c r="C43" s="18">
        <f>IFERROR(__xludf.DUMMYFUNCTION("""COMPUTED_VALUE"""),27.0)</f>
        <v>27</v>
      </c>
      <c r="D43" s="35" t="str">
        <f>IFERROR(__xludf.DUMMYFUNCTION("""COMPUTED_VALUE"""),"Kristen Khatolik")</f>
        <v>Kristen Khatolik</v>
      </c>
      <c r="E43" s="18" t="str">
        <f>IFERROR(__xludf.DUMMYFUNCTION("""COMPUTED_VALUE"""),"CV. Adil Prima Perkasa")</f>
        <v>CV. Adil Prima Perkasa</v>
      </c>
      <c r="F43" s="18" t="str">
        <f>IFERROR(__xludf.DUMMYFUNCTION("""COMPUTED_VALUE"""),"OPERATOR EXCAVATOR")</f>
        <v>OPERATOR EXCAVATOR</v>
      </c>
      <c r="G43" s="18" t="str">
        <f>IFERROR(__xludf.DUMMYFUNCTION("""COMPUTED_VALUE"""),"PRODUKSI")</f>
        <v>PRODUKSI</v>
      </c>
      <c r="H43" s="18" t="str">
        <f>IFERROR(__xludf.DUMMYFUNCTION("""COMPUTED_VALUE"""),"2023-11-30 06.02.23")</f>
        <v>2023-11-30 06.02.23</v>
      </c>
      <c r="I43" s="18" t="str">
        <f>IFERROR(__xludf.DUMMYFUNCTION("""COMPUTED_VALUE"""),"2023-11-30 06.02.23")</f>
        <v>2023-11-30 06.02.23</v>
      </c>
      <c r="J43" s="36"/>
      <c r="K43" s="37" t="str">
        <f t="shared" si="1"/>
        <v>[202211339] ALVIANUS DUMA'</v>
      </c>
    </row>
    <row r="44">
      <c r="A44" s="17">
        <f>IFERROR(__xludf.DUMMYFUNCTION("""COMPUTED_VALUE"""),2.03190787E8)</f>
        <v>203190787</v>
      </c>
      <c r="B44" s="18" t="str">
        <f>IFERROR(__xludf.DUMMYFUNCTION("""COMPUTED_VALUE"""),"ALYMUDDIN TAMBA")</f>
        <v>ALYMUDDIN TAMBA</v>
      </c>
      <c r="C44" s="18">
        <f>IFERROR(__xludf.DUMMYFUNCTION("""COMPUTED_VALUE"""),43.0)</f>
        <v>43</v>
      </c>
      <c r="D44" s="35" t="str">
        <f>IFERROR(__xludf.DUMMYFUNCTION("""COMPUTED_VALUE"""),"Islam")</f>
        <v>Islam</v>
      </c>
      <c r="E44" s="18" t="str">
        <f>IFERROR(__xludf.DUMMYFUNCTION("""COMPUTED_VALUE"""),"CV. Adil Prima Perkasa")</f>
        <v>CV. Adil Prima Perkasa</v>
      </c>
      <c r="F44" s="18" t="str">
        <f>IFERROR(__xludf.DUMMYFUNCTION("""COMPUTED_VALUE"""),"DRIVER DT H700ZY")</f>
        <v>DRIVER DT H700ZY</v>
      </c>
      <c r="G44" s="18" t="str">
        <f>IFERROR(__xludf.DUMMYFUNCTION("""COMPUTED_VALUE"""),"KENDARAAN &amp; UNIT SUPPORT")</f>
        <v>KENDARAAN &amp; UNIT SUPPORT</v>
      </c>
      <c r="H44" s="18" t="str">
        <f>IFERROR(__xludf.DUMMYFUNCTION("""COMPUTED_VALUE"""),"2023-11-29 14.07.53")</f>
        <v>2023-11-29 14.07.53</v>
      </c>
      <c r="I44" s="18" t="str">
        <f>IFERROR(__xludf.DUMMYFUNCTION("""COMPUTED_VALUE"""),"2023-11-29 14.07.53")</f>
        <v>2023-11-29 14.07.53</v>
      </c>
      <c r="J44" s="36"/>
      <c r="K44" s="37" t="str">
        <f t="shared" si="1"/>
        <v>[203190787] ALYMUDDIN TAMBA</v>
      </c>
    </row>
    <row r="45">
      <c r="A45" s="17">
        <f>IFERROR(__xludf.DUMMYFUNCTION("""COMPUTED_VALUE"""),2.0122157E8)</f>
        <v>201221570</v>
      </c>
      <c r="B45" s="18" t="str">
        <f>IFERROR(__xludf.DUMMYFUNCTION("""COMPUTED_VALUE"""),"AMAL RAIS")</f>
        <v>AMAL RAIS</v>
      </c>
      <c r="C45" s="18">
        <f>IFERROR(__xludf.DUMMYFUNCTION("""COMPUTED_VALUE"""),28.0)</f>
        <v>28</v>
      </c>
      <c r="D45" s="35" t="str">
        <f>IFERROR(__xludf.DUMMYFUNCTION("""COMPUTED_VALUE"""),"Islam")</f>
        <v>Islam</v>
      </c>
      <c r="E45" s="18" t="str">
        <f>IFERROR(__xludf.DUMMYFUNCTION("""COMPUTED_VALUE"""),"CV. Adil Prima Perkasa")</f>
        <v>CV. Adil Prima Perkasa</v>
      </c>
      <c r="F45" s="18" t="str">
        <f>IFERROR(__xludf.DUMMYFUNCTION("""COMPUTED_VALUE"""),"DRIVER DT H700ZY")</f>
        <v>DRIVER DT H700ZY</v>
      </c>
      <c r="G45" s="18" t="str">
        <f>IFERROR(__xludf.DUMMYFUNCTION("""COMPUTED_VALUE"""),"KENDARAAN &amp; UNIT SUPPORT")</f>
        <v>KENDARAAN &amp; UNIT SUPPORT</v>
      </c>
      <c r="H45" s="18" t="str">
        <f>IFERROR(__xludf.DUMMYFUNCTION("""COMPUTED_VALUE"""),"2024-03-15 04.59.41")</f>
        <v>2024-03-15 04.59.41</v>
      </c>
      <c r="I45" s="18" t="str">
        <f>IFERROR(__xludf.DUMMYFUNCTION("""COMPUTED_VALUE"""),"2024-03-15 04.59.41")</f>
        <v>2024-03-15 04.59.41</v>
      </c>
      <c r="J45" s="36"/>
      <c r="K45" s="37" t="str">
        <f t="shared" si="1"/>
        <v>[201221570] AMAL RAIS</v>
      </c>
    </row>
    <row r="46">
      <c r="A46" s="17">
        <f>IFERROR(__xludf.DUMMYFUNCTION("""COMPUTED_VALUE"""),2.11180653E8)</f>
        <v>211180653</v>
      </c>
      <c r="B46" s="18" t="str">
        <f>IFERROR(__xludf.DUMMYFUNCTION("""COMPUTED_VALUE"""),"AMBO IRI")</f>
        <v>AMBO IRI</v>
      </c>
      <c r="C46" s="18">
        <f>IFERROR(__xludf.DUMMYFUNCTION("""COMPUTED_VALUE"""),52.0)</f>
        <v>52</v>
      </c>
      <c r="D46" s="35" t="str">
        <f>IFERROR(__xludf.DUMMYFUNCTION("""COMPUTED_VALUE"""),"Islam")</f>
        <v>Islam</v>
      </c>
      <c r="E46" s="18" t="str">
        <f>IFERROR(__xludf.DUMMYFUNCTION("""COMPUTED_VALUE"""),"CV. Adil Prima Perkasa")</f>
        <v>CV. Adil Prima Perkasa</v>
      </c>
      <c r="F46" s="18" t="str">
        <f>IFERROR(__xludf.DUMMYFUNCTION("""COMPUTED_VALUE"""),"OPERATOR EXCAVATOR")</f>
        <v>OPERATOR EXCAVATOR</v>
      </c>
      <c r="G46" s="18" t="str">
        <f>IFERROR(__xludf.DUMMYFUNCTION("""COMPUTED_VALUE"""),"PRODUKSI")</f>
        <v>PRODUKSI</v>
      </c>
      <c r="H46" s="18" t="str">
        <f>IFERROR(__xludf.DUMMYFUNCTION("""COMPUTED_VALUE"""),"2023-11-30 17.11.44")</f>
        <v>2023-11-30 17.11.44</v>
      </c>
      <c r="I46" s="18" t="str">
        <f>IFERROR(__xludf.DUMMYFUNCTION("""COMPUTED_VALUE"""),"2023-11-30 17.11.44")</f>
        <v>2023-11-30 17.11.44</v>
      </c>
      <c r="J46" s="36">
        <f>IFERROR(__xludf.DUMMYFUNCTION("""COMPUTED_VALUE"""),31031.0)</f>
        <v>31031</v>
      </c>
      <c r="K46" s="37" t="str">
        <f t="shared" si="1"/>
        <v>[211180653] AMBO IRI</v>
      </c>
    </row>
    <row r="47">
      <c r="A47" s="17">
        <f>IFERROR(__xludf.DUMMYFUNCTION("""COMPUTED_VALUE"""),2.05231763E8)</f>
        <v>205231763</v>
      </c>
      <c r="B47" s="18" t="str">
        <f>IFERROR(__xludf.DUMMYFUNCTION("""COMPUTED_VALUE"""),"AMBO ULENG")</f>
        <v>AMBO ULENG</v>
      </c>
      <c r="C47" s="18">
        <f>IFERROR(__xludf.DUMMYFUNCTION("""COMPUTED_VALUE"""),0.0)</f>
        <v>0</v>
      </c>
      <c r="D47" s="35"/>
      <c r="E47" s="18" t="str">
        <f>IFERROR(__xludf.DUMMYFUNCTION("""COMPUTED_VALUE"""),"CV. Adil Prima Perkasa")</f>
        <v>CV. Adil Prima Perkasa</v>
      </c>
      <c r="F47" s="18" t="str">
        <f>IFERROR(__xludf.DUMMYFUNCTION("""COMPUTED_VALUE"""),"DRIVER DT H700ZS")</f>
        <v>DRIVER DT H700ZS</v>
      </c>
      <c r="G47" s="18" t="str">
        <f>IFERROR(__xludf.DUMMYFUNCTION("""COMPUTED_VALUE"""),"KENDARAAN &amp; UNIT SUPPORT")</f>
        <v>KENDARAAN &amp; UNIT SUPPORT</v>
      </c>
      <c r="H47" s="18" t="str">
        <f>IFERROR(__xludf.DUMMYFUNCTION("""COMPUTED_VALUE"""),"2024-03-31 06.00.08")</f>
        <v>2024-03-31 06.00.08</v>
      </c>
      <c r="I47" s="18" t="str">
        <f>IFERROR(__xludf.DUMMYFUNCTION("""COMPUTED_VALUE"""),"2024-03-31 16.11.47")</f>
        <v>2024-03-31 16.11.47</v>
      </c>
      <c r="J47" s="36"/>
      <c r="K47" s="37" t="str">
        <f t="shared" si="1"/>
        <v>[205231763] AMBO ULENG</v>
      </c>
    </row>
    <row r="48">
      <c r="A48" s="17">
        <f>IFERROR(__xludf.DUMMYFUNCTION("""COMPUTED_VALUE"""),3.08210087E8)</f>
        <v>308210087</v>
      </c>
      <c r="B48" s="18" t="str">
        <f>IFERROR(__xludf.DUMMYFUNCTION("""COMPUTED_VALUE"""),"AMINUDDIN")</f>
        <v>AMINUDDIN</v>
      </c>
      <c r="C48" s="18">
        <f>IFERROR(__xludf.DUMMYFUNCTION("""COMPUTED_VALUE"""),47.0)</f>
        <v>47</v>
      </c>
      <c r="D48" s="35" t="str">
        <f>IFERROR(__xludf.DUMMYFUNCTION("""COMPUTED_VALUE"""),"Islam")</f>
        <v>Islam</v>
      </c>
      <c r="E48" s="18" t="str">
        <f>IFERROR(__xludf.DUMMYFUNCTION("""COMPUTED_VALUE"""),"CV. Monalisa")</f>
        <v>CV. Monalisa</v>
      </c>
      <c r="F48" s="18" t="str">
        <f>IFERROR(__xludf.DUMMYFUNCTION("""COMPUTED_VALUE"""),"OPERATOR EXCAVATOR")</f>
        <v>OPERATOR EXCAVATOR</v>
      </c>
      <c r="G48" s="18" t="str">
        <f>IFERROR(__xludf.DUMMYFUNCTION("""COMPUTED_VALUE"""),"PRODUKSI")</f>
        <v>PRODUKSI</v>
      </c>
      <c r="H48" s="18"/>
      <c r="I48" s="18"/>
      <c r="J48" s="36">
        <f>IFERROR(__xludf.DUMMYFUNCTION("""COMPUTED_VALUE"""),29476.0)</f>
        <v>29476</v>
      </c>
      <c r="K48" s="37" t="str">
        <f t="shared" si="1"/>
        <v/>
      </c>
    </row>
    <row r="49">
      <c r="A49" s="17">
        <f>IFERROR(__xludf.DUMMYFUNCTION("""COMPUTED_VALUE"""),2.04190824E8)</f>
        <v>204190824</v>
      </c>
      <c r="B49" s="18" t="str">
        <f>IFERROR(__xludf.DUMMYFUNCTION("""COMPUTED_VALUE"""),"AMIRUDDIN")</f>
        <v>AMIRUDDIN</v>
      </c>
      <c r="C49" s="18">
        <f>IFERROR(__xludf.DUMMYFUNCTION("""COMPUTED_VALUE"""),43.0)</f>
        <v>43</v>
      </c>
      <c r="D49" s="35" t="str">
        <f>IFERROR(__xludf.DUMMYFUNCTION("""COMPUTED_VALUE"""),"Islam")</f>
        <v>Islam</v>
      </c>
      <c r="E49" s="18" t="str">
        <f>IFERROR(__xludf.DUMMYFUNCTION("""COMPUTED_VALUE"""),"CV. Adil Prima Perkasa")</f>
        <v>CV. Adil Prima Perkasa</v>
      </c>
      <c r="F49" s="18" t="str">
        <f>IFERROR(__xludf.DUMMYFUNCTION("""COMPUTED_VALUE"""),"DRIVER DT H700ZY")</f>
        <v>DRIVER DT H700ZY</v>
      </c>
      <c r="G49" s="18" t="str">
        <f>IFERROR(__xludf.DUMMYFUNCTION("""COMPUTED_VALUE"""),"KENDARAAN &amp; UNIT SUPPORT")</f>
        <v>KENDARAAN &amp; UNIT SUPPORT</v>
      </c>
      <c r="H49" s="18" t="str">
        <f>IFERROR(__xludf.DUMMYFUNCTION("""COMPUTED_VALUE"""),"2024-03-31 03.11.09")</f>
        <v>2024-03-31 03.11.09</v>
      </c>
      <c r="I49" s="18" t="str">
        <f>IFERROR(__xludf.DUMMYFUNCTION("""COMPUTED_VALUE"""),"2024-03-31 16.12.11")</f>
        <v>2024-03-31 16.12.11</v>
      </c>
      <c r="J49" s="36">
        <f>IFERROR(__xludf.DUMMYFUNCTION("""COMPUTED_VALUE"""),30682.0)</f>
        <v>30682</v>
      </c>
      <c r="K49" s="37" t="str">
        <f t="shared" si="1"/>
        <v>[204190824] AMIRUDDIN</v>
      </c>
    </row>
    <row r="50">
      <c r="A50" s="17"/>
      <c r="B50" s="18" t="str">
        <f>IFERROR(__xludf.DUMMYFUNCTION("""COMPUTED_VALUE"""),"ANDHIKA RATNASARI POBELA")</f>
        <v>ANDHIKA RATNASARI POBELA</v>
      </c>
      <c r="C50" s="18">
        <f>IFERROR(__xludf.DUMMYFUNCTION("""COMPUTED_VALUE"""),0.0)</f>
        <v>0</v>
      </c>
      <c r="D50" s="35"/>
      <c r="E50" s="18" t="str">
        <f>IFERROR(__xludf.DUMMYFUNCTION("""COMPUTED_VALUE"""),"CV. SENTOSA ABADI")</f>
        <v>CV. SENTOSA ABADI</v>
      </c>
      <c r="F50" s="18" t="str">
        <f>IFERROR(__xludf.DUMMYFUNCTION("""COMPUTED_VALUE"""),"FALSE")</f>
        <v>FALSE</v>
      </c>
      <c r="G50" s="18" t="str">
        <f>IFERROR(__xludf.DUMMYFUNCTION("""COMPUTED_VALUE"""),"FINANCE")</f>
        <v>FINANCE</v>
      </c>
      <c r="H50" s="18" t="str">
        <f>IFERROR(__xludf.DUMMYFUNCTION("""COMPUTED_VALUE"""),"2023-10-31 07.12.19")</f>
        <v>2023-10-31 07.12.19</v>
      </c>
      <c r="I50" s="18" t="str">
        <f>IFERROR(__xludf.DUMMYFUNCTION("""COMPUTED_VALUE"""),"2023-10-31 18.38.25")</f>
        <v>2023-10-31 18.38.25</v>
      </c>
      <c r="J50" s="36"/>
      <c r="K50" s="37" t="str">
        <f t="shared" si="1"/>
        <v>[] ANDHIKA RATNASARI POBELA</v>
      </c>
    </row>
    <row r="51">
      <c r="A51" s="17">
        <f>IFERROR(__xludf.DUMMYFUNCTION("""COMPUTED_VALUE"""),2.04241905E8)</f>
        <v>204241905</v>
      </c>
      <c r="B51" s="18" t="str">
        <f>IFERROR(__xludf.DUMMYFUNCTION("""COMPUTED_VALUE"""),"ANDI")</f>
        <v>ANDI</v>
      </c>
      <c r="C51" s="18">
        <f>IFERROR(__xludf.DUMMYFUNCTION("""COMPUTED_VALUE"""),29.0)</f>
        <v>29</v>
      </c>
      <c r="D51" s="35" t="str">
        <f>IFERROR(__xludf.DUMMYFUNCTION("""COMPUTED_VALUE"""),"Islam")</f>
        <v>Islam</v>
      </c>
      <c r="E51" s="18" t="str">
        <f>IFERROR(__xludf.DUMMYFUNCTION("""COMPUTED_VALUE"""),"CV. Adil Prima Perkasa")</f>
        <v>CV. Adil Prima Perkasa</v>
      </c>
      <c r="F51" s="18" t="str">
        <f>IFERROR(__xludf.DUMMYFUNCTION("""COMPUTED_VALUE"""),"CREW SURVEY")</f>
        <v>CREW SURVEY</v>
      </c>
      <c r="G51" s="18" t="str">
        <f>IFERROR(__xludf.DUMMYFUNCTION("""COMPUTED_VALUE"""),"MPE")</f>
        <v>MPE</v>
      </c>
      <c r="H51" s="18"/>
      <c r="I51" s="18"/>
      <c r="J51" s="36"/>
      <c r="K51" s="37" t="str">
        <f t="shared" si="1"/>
        <v/>
      </c>
    </row>
    <row r="52">
      <c r="A52" s="17">
        <f>IFERROR(__xludf.DUMMYFUNCTION("""COMPUTED_VALUE"""),2.07221661E8)</f>
        <v>207221661</v>
      </c>
      <c r="B52" s="18" t="str">
        <f>IFERROR(__xludf.DUMMYFUNCTION("""COMPUTED_VALUE"""),"ANDI ARIFIN")</f>
        <v>ANDI ARIFIN</v>
      </c>
      <c r="C52" s="18">
        <f>IFERROR(__xludf.DUMMYFUNCTION("""COMPUTED_VALUE"""),65.0)</f>
        <v>65</v>
      </c>
      <c r="D52" s="35" t="str">
        <f>IFERROR(__xludf.DUMMYFUNCTION("""COMPUTED_VALUE"""),"Islam")</f>
        <v>Islam</v>
      </c>
      <c r="E52" s="18" t="str">
        <f>IFERROR(__xludf.DUMMYFUNCTION("""COMPUTED_VALUE"""),"CV. SENTOSA ABADI")</f>
        <v>CV. SENTOSA ABADI</v>
      </c>
      <c r="F52" s="18" t="str">
        <f>IFERROR(__xludf.DUMMYFUNCTION("""COMPUTED_VALUE"""),"DRIVER DT H700ZY")</f>
        <v>DRIVER DT H700ZY</v>
      </c>
      <c r="G52" s="18" t="str">
        <f>IFERROR(__xludf.DUMMYFUNCTION("""COMPUTED_VALUE"""),"KENDARAAN &amp; UNIT SUPPORT")</f>
        <v>KENDARAAN &amp; UNIT SUPPORT</v>
      </c>
      <c r="H52" s="18" t="str">
        <f>IFERROR(__xludf.DUMMYFUNCTION("""COMPUTED_VALUE"""),"2023-11-30 05.31.00")</f>
        <v>2023-11-30 05.31.00</v>
      </c>
      <c r="I52" s="18" t="str">
        <f>IFERROR(__xludf.DUMMYFUNCTION("""COMPUTED_VALUE"""),"2023-11-30 16.23.31")</f>
        <v>2023-11-30 16.23.31</v>
      </c>
      <c r="J52" s="36">
        <f>IFERROR(__xludf.DUMMYFUNCTION("""COMPUTED_VALUE"""),26481.0)</f>
        <v>26481</v>
      </c>
      <c r="K52" s="37" t="str">
        <f t="shared" si="1"/>
        <v>[207221661] ANDI ARIFIN</v>
      </c>
    </row>
    <row r="53">
      <c r="A53" s="17">
        <f>IFERROR(__xludf.DUMMYFUNCTION("""COMPUTED_VALUE"""),1.07221659E8)</f>
        <v>107221659</v>
      </c>
      <c r="B53" s="18" t="str">
        <f>IFERROR(__xludf.DUMMYFUNCTION("""COMPUTED_VALUE"""),"ANDI B.")</f>
        <v>ANDI B.</v>
      </c>
      <c r="C53" s="18">
        <f>IFERROR(__xludf.DUMMYFUNCTION("""COMPUTED_VALUE"""),47.0)</f>
        <v>47</v>
      </c>
      <c r="D53" s="35" t="str">
        <f>IFERROR(__xludf.DUMMYFUNCTION("""COMPUTED_VALUE"""),"Islam")</f>
        <v>Islam</v>
      </c>
      <c r="E53" s="18" t="str">
        <f>IFERROR(__xludf.DUMMYFUNCTION("""COMPUTED_VALUE"""),"CV. SENTOSA ABADI")</f>
        <v>CV. SENTOSA ABADI</v>
      </c>
      <c r="F53" s="18" t="str">
        <f>IFERROR(__xludf.DUMMYFUNCTION("""COMPUTED_VALUE"""),"DRIVER DT H700ZY")</f>
        <v>DRIVER DT H700ZY</v>
      </c>
      <c r="G53" s="18" t="str">
        <f>IFERROR(__xludf.DUMMYFUNCTION("""COMPUTED_VALUE"""),"KENDARAAN &amp; UNIT SUPPORT")</f>
        <v>KENDARAAN &amp; UNIT SUPPORT</v>
      </c>
      <c r="H53" s="18" t="str">
        <f>IFERROR(__xludf.DUMMYFUNCTION("""COMPUTED_VALUE"""),"2023-11-30 06.47.22")</f>
        <v>2023-11-30 06.47.22</v>
      </c>
      <c r="I53" s="18" t="str">
        <f>IFERROR(__xludf.DUMMYFUNCTION("""COMPUTED_VALUE"""),"2023-11-30 07.02.11")</f>
        <v>2023-11-30 07.02.11</v>
      </c>
      <c r="J53" s="36">
        <f>IFERROR(__xludf.DUMMYFUNCTION("""COMPUTED_VALUE"""),32690.0)</f>
        <v>32690</v>
      </c>
      <c r="K53" s="37" t="str">
        <f t="shared" si="1"/>
        <v>[107221659] ANDI B.</v>
      </c>
    </row>
    <row r="54">
      <c r="A54" s="17">
        <f>IFERROR(__xludf.DUMMYFUNCTION("""COMPUTED_VALUE"""),2.09120697E8)</f>
        <v>209120697</v>
      </c>
      <c r="B54" s="18" t="str">
        <f>IFERROR(__xludf.DUMMYFUNCTION("""COMPUTED_VALUE"""),"ANDI HAMRIN")</f>
        <v>ANDI HAMRIN</v>
      </c>
      <c r="C54" s="18">
        <f>IFERROR(__xludf.DUMMYFUNCTION("""COMPUTED_VALUE"""),46.0)</f>
        <v>46</v>
      </c>
      <c r="D54" s="35" t="str">
        <f>IFERROR(__xludf.DUMMYFUNCTION("""COMPUTED_VALUE"""),"Islam")</f>
        <v>Islam</v>
      </c>
      <c r="E54" s="18" t="str">
        <f>IFERROR(__xludf.DUMMYFUNCTION("""COMPUTED_VALUE"""),"CV. Adil Prima Perkasa")</f>
        <v>CV. Adil Prima Perkasa</v>
      </c>
      <c r="F54" s="18" t="str">
        <f>IFERROR(__xludf.DUMMYFUNCTION("""COMPUTED_VALUE"""),"DRIVER DT H700ZY")</f>
        <v>DRIVER DT H700ZY</v>
      </c>
      <c r="G54" s="18" t="str">
        <f>IFERROR(__xludf.DUMMYFUNCTION("""COMPUTED_VALUE"""),"KENDARAAN &amp; UNIT SUPPORT")</f>
        <v>KENDARAAN &amp; UNIT SUPPORT</v>
      </c>
      <c r="H54" s="18" t="str">
        <f>IFERROR(__xludf.DUMMYFUNCTION("""COMPUTED_VALUE"""),"2023-11-30 05.52.12")</f>
        <v>2023-11-30 05.52.12</v>
      </c>
      <c r="I54" s="18" t="str">
        <f>IFERROR(__xludf.DUMMYFUNCTION("""COMPUTED_VALUE"""),"2023-11-30 05.52.12")</f>
        <v>2023-11-30 05.52.12</v>
      </c>
      <c r="J54" s="36"/>
      <c r="K54" s="37" t="str">
        <f t="shared" si="1"/>
        <v>[209120697] ANDI HAMRIN</v>
      </c>
    </row>
    <row r="55">
      <c r="A55" s="17">
        <f>IFERROR(__xludf.DUMMYFUNCTION("""COMPUTED_VALUE"""),1.07201159E8)</f>
        <v>107201159</v>
      </c>
      <c r="B55" s="18" t="str">
        <f>IFERROR(__xludf.DUMMYFUNCTION("""COMPUTED_VALUE"""),"ANDI WISANDI")</f>
        <v>ANDI WISANDI</v>
      </c>
      <c r="C55" s="18">
        <f>IFERROR(__xludf.DUMMYFUNCTION("""COMPUTED_VALUE"""),38.0)</f>
        <v>38</v>
      </c>
      <c r="D55" s="35" t="str">
        <f>IFERROR(__xludf.DUMMYFUNCTION("""COMPUTED_VALUE"""),"Islam")</f>
        <v>Islam</v>
      </c>
      <c r="E55" s="18" t="str">
        <f>IFERROR(__xludf.DUMMYFUNCTION("""COMPUTED_VALUE"""),"CV. SENTOSA ABADI")</f>
        <v>CV. SENTOSA ABADI</v>
      </c>
      <c r="F55" s="18" t="str">
        <f>IFERROR(__xludf.DUMMYFUNCTION("""COMPUTED_VALUE"""),"MEKANIK ALAT BERAT")</f>
        <v>MEKANIK ALAT BERAT</v>
      </c>
      <c r="G55" s="18" t="str">
        <f>IFERROR(__xludf.DUMMYFUNCTION("""COMPUTED_VALUE"""),"WORKSHOP")</f>
        <v>WORKSHOP</v>
      </c>
      <c r="H55" s="18" t="str">
        <f>IFERROR(__xludf.DUMMYFUNCTION("""COMPUTED_VALUE"""),"2023-11-30 07.18.53")</f>
        <v>2023-11-30 07.18.53</v>
      </c>
      <c r="I55" s="18" t="str">
        <f>IFERROR(__xludf.DUMMYFUNCTION("""COMPUTED_VALUE"""),"2023-11-30 20.59.50")</f>
        <v>2023-11-30 20.59.50</v>
      </c>
      <c r="J55" s="36"/>
      <c r="K55" s="37" t="str">
        <f t="shared" si="1"/>
        <v>[107201159] ANDI WISANDI</v>
      </c>
    </row>
    <row r="56">
      <c r="A56" s="17">
        <f>IFERROR(__xludf.DUMMYFUNCTION("""COMPUTED_VALUE"""),1.08201201E8)</f>
        <v>108201201</v>
      </c>
      <c r="B56" s="18" t="str">
        <f>IFERROR(__xludf.DUMMYFUNCTION("""COMPUTED_VALUE"""),"ANDILLA")</f>
        <v>ANDILLA</v>
      </c>
      <c r="C56" s="18">
        <f>IFERROR(__xludf.DUMMYFUNCTION("""COMPUTED_VALUE"""),26.0)</f>
        <v>26</v>
      </c>
      <c r="D56" s="35" t="str">
        <f>IFERROR(__xludf.DUMMYFUNCTION("""COMPUTED_VALUE"""),"Islam")</f>
        <v>Islam</v>
      </c>
      <c r="E56" s="18" t="str">
        <f>IFERROR(__xludf.DUMMYFUNCTION("""COMPUTED_VALUE"""),"CV. SENTOSA ABADI")</f>
        <v>CV. SENTOSA ABADI</v>
      </c>
      <c r="F56" s="18" t="str">
        <f>IFERROR(__xludf.DUMMYFUNCTION("""COMPUTED_VALUE"""),"OPERATOR ADT")</f>
        <v>OPERATOR ADT</v>
      </c>
      <c r="G56" s="18" t="str">
        <f>IFERROR(__xludf.DUMMYFUNCTION("""COMPUTED_VALUE"""),"PRODUKSI")</f>
        <v>PRODUKSI</v>
      </c>
      <c r="H56" s="18" t="str">
        <f>IFERROR(__xludf.DUMMYFUNCTION("""COMPUTED_VALUE"""),"2023-11-30 06.09.30")</f>
        <v>2023-11-30 06.09.30</v>
      </c>
      <c r="I56" s="18" t="str">
        <f>IFERROR(__xludf.DUMMYFUNCTION("""COMPUTED_VALUE"""),"2023-11-30 06.09.30")</f>
        <v>2023-11-30 06.09.30</v>
      </c>
      <c r="J56" s="36"/>
      <c r="K56" s="37" t="str">
        <f t="shared" si="1"/>
        <v>[108201201] ANDILLA</v>
      </c>
    </row>
    <row r="57">
      <c r="A57" s="17">
        <f>IFERROR(__xludf.DUMMYFUNCTION("""COMPUTED_VALUE"""),2.05231759E8)</f>
        <v>205231759</v>
      </c>
      <c r="B57" s="18" t="str">
        <f>IFERROR(__xludf.DUMMYFUNCTION("""COMPUTED_VALUE"""),"ANDRE MINTI")</f>
        <v>ANDRE MINTI</v>
      </c>
      <c r="C57" s="18">
        <f>IFERROR(__xludf.DUMMYFUNCTION("""COMPUTED_VALUE"""),27.0)</f>
        <v>27</v>
      </c>
      <c r="D57" s="35" t="str">
        <f>IFERROR(__xludf.DUMMYFUNCTION("""COMPUTED_VALUE"""),"Kristen Protestan")</f>
        <v>Kristen Protestan</v>
      </c>
      <c r="E57" s="18" t="str">
        <f>IFERROR(__xludf.DUMMYFUNCTION("""COMPUTED_VALUE"""),"CV. Adil Prima Perkasa")</f>
        <v>CV. Adil Prima Perkasa</v>
      </c>
      <c r="F57" s="18" t="str">
        <f>IFERROR(__xludf.DUMMYFUNCTION("""COMPUTED_VALUE"""),"DRIVER DT")</f>
        <v>DRIVER DT</v>
      </c>
      <c r="G57" s="18" t="str">
        <f>IFERROR(__xludf.DUMMYFUNCTION("""COMPUTED_VALUE"""),"KENDARAAN &amp; UNIT SUPPORT")</f>
        <v>KENDARAAN &amp; UNIT SUPPORT</v>
      </c>
      <c r="H57" s="18" t="str">
        <f>IFERROR(__xludf.DUMMYFUNCTION("""COMPUTED_VALUE"""),"2024-03-26 03.47.31")</f>
        <v>2024-03-26 03.47.31</v>
      </c>
      <c r="I57" s="18" t="str">
        <f>IFERROR(__xludf.DUMMYFUNCTION("""COMPUTED_VALUE"""),"2024-03-26 03.47.31")</f>
        <v>2024-03-26 03.47.31</v>
      </c>
      <c r="J57" s="36"/>
      <c r="K57" s="37" t="str">
        <f t="shared" si="1"/>
        <v>[205231759] ANDRE MINTI</v>
      </c>
    </row>
    <row r="58">
      <c r="A58" s="17">
        <f>IFERROR(__xludf.DUMMYFUNCTION("""COMPUTED_VALUE"""),2.06231787E8)</f>
        <v>206231787</v>
      </c>
      <c r="B58" s="18" t="str">
        <f>IFERROR(__xludf.DUMMYFUNCTION("""COMPUTED_VALUE"""),"ANDRE WILLIAM MANUSIWA")</f>
        <v>ANDRE WILLIAM MANUSIWA</v>
      </c>
      <c r="C58" s="18">
        <f>IFERROR(__xludf.DUMMYFUNCTION("""COMPUTED_VALUE"""),20.0)</f>
        <v>20</v>
      </c>
      <c r="D58" s="35" t="str">
        <f>IFERROR(__xludf.DUMMYFUNCTION("""COMPUTED_VALUE"""),"Kristen Protestan")</f>
        <v>Kristen Protestan</v>
      </c>
      <c r="E58" s="18" t="str">
        <f>IFERROR(__xludf.DUMMYFUNCTION("""COMPUTED_VALUE"""),"CV. Adil Prima Perkasa")</f>
        <v>CV. Adil Prima Perkasa</v>
      </c>
      <c r="F58" s="18" t="str">
        <f>IFERROR(__xludf.DUMMYFUNCTION("""COMPUTED_VALUE"""),"HELPER FUEL")</f>
        <v>HELPER FUEL</v>
      </c>
      <c r="G58" s="18" t="str">
        <f>IFERROR(__xludf.DUMMYFUNCTION("""COMPUTED_VALUE"""),"MPE")</f>
        <v>MPE</v>
      </c>
      <c r="H58" s="18" t="str">
        <f>IFERROR(__xludf.DUMMYFUNCTION("""COMPUTED_VALUE"""),"2023-12-21 04.39.19")</f>
        <v>2023-12-21 04.39.19</v>
      </c>
      <c r="I58" s="18" t="str">
        <f>IFERROR(__xludf.DUMMYFUNCTION("""COMPUTED_VALUE"""),"2023-12-21 21.57.26")</f>
        <v>2023-12-21 21.57.26</v>
      </c>
      <c r="J58" s="36"/>
      <c r="K58" s="37" t="str">
        <f t="shared" si="1"/>
        <v>[206231787] ANDRE WILLIAM MANUSIWA</v>
      </c>
    </row>
    <row r="59">
      <c r="A59" s="17">
        <f>IFERROR(__xludf.DUMMYFUNCTION("""COMPUTED_VALUE"""),1.11180596E8)</f>
        <v>111180596</v>
      </c>
      <c r="B59" s="18" t="str">
        <f>IFERROR(__xludf.DUMMYFUNCTION("""COMPUTED_VALUE"""),"ANDRI S. TARIFUDDIN")</f>
        <v>ANDRI S. TARIFUDDIN</v>
      </c>
      <c r="C59" s="18">
        <f>IFERROR(__xludf.DUMMYFUNCTION("""COMPUTED_VALUE"""),28.0)</f>
        <v>28</v>
      </c>
      <c r="D59" s="35" t="str">
        <f>IFERROR(__xludf.DUMMYFUNCTION("""COMPUTED_VALUE"""),"Islam")</f>
        <v>Islam</v>
      </c>
      <c r="E59" s="18" t="str">
        <f>IFERROR(__xludf.DUMMYFUNCTION("""COMPUTED_VALUE"""),"CV. SENTOSA ABADI")</f>
        <v>CV. SENTOSA ABADI</v>
      </c>
      <c r="F59" s="18" t="str">
        <f>IFERROR(__xludf.DUMMYFUNCTION("""COMPUTED_VALUE"""),"OPERATOR ADT")</f>
        <v>OPERATOR ADT</v>
      </c>
      <c r="G59" s="18" t="str">
        <f>IFERROR(__xludf.DUMMYFUNCTION("""COMPUTED_VALUE"""),"PRODUKSI")</f>
        <v>PRODUKSI</v>
      </c>
      <c r="H59" s="18" t="str">
        <f>IFERROR(__xludf.DUMMYFUNCTION("""COMPUTED_VALUE"""),"2023-11-30 05.35.25")</f>
        <v>2023-11-30 05.35.25</v>
      </c>
      <c r="I59" s="18" t="str">
        <f>IFERROR(__xludf.DUMMYFUNCTION("""COMPUTED_VALUE"""),"2023-11-30 22.01.54")</f>
        <v>2023-11-30 22.01.54</v>
      </c>
      <c r="J59" s="36"/>
      <c r="K59" s="37" t="str">
        <f t="shared" si="1"/>
        <v>[111180596] ANDRI S. TARIFUDDIN</v>
      </c>
    </row>
    <row r="60">
      <c r="A60" s="17">
        <f>IFERROR(__xludf.DUMMYFUNCTION("""COMPUTED_VALUE"""),2.09231831E8)</f>
        <v>209231831</v>
      </c>
      <c r="B60" s="18" t="str">
        <f>IFERROR(__xludf.DUMMYFUNCTION("""COMPUTED_VALUE"""),"ANGGI SIR HERYANTO")</f>
        <v>ANGGI SIR HERYANTO</v>
      </c>
      <c r="C60" s="18">
        <f>IFERROR(__xludf.DUMMYFUNCTION("""COMPUTED_VALUE"""),0.0)</f>
        <v>0</v>
      </c>
      <c r="D60" s="35"/>
      <c r="E60" s="18" t="str">
        <f>IFERROR(__xludf.DUMMYFUNCTION("""COMPUTED_VALUE"""),"CV. Adil Prima Perkasa")</f>
        <v>CV. Adil Prima Perkasa</v>
      </c>
      <c r="F60" s="18" t="str">
        <f>IFERROR(__xludf.DUMMYFUNCTION("""COMPUTED_VALUE"""),"DRIVER DT H500")</f>
        <v>DRIVER DT H500</v>
      </c>
      <c r="G60" s="18" t="str">
        <f>IFERROR(__xludf.DUMMYFUNCTION("""COMPUTED_VALUE"""),"KENDARAAN &amp; UNIT SUPPORT")</f>
        <v>KENDARAAN &amp; UNIT SUPPORT</v>
      </c>
      <c r="H60" s="18" t="str">
        <f>IFERROR(__xludf.DUMMYFUNCTION("""COMPUTED_VALUE"""),"2024-03-29 03.10.56")</f>
        <v>2024-03-29 03.10.56</v>
      </c>
      <c r="I60" s="18" t="str">
        <f>IFERROR(__xludf.DUMMYFUNCTION("""COMPUTED_VALUE"""),"2024-03-29 03.10.56")</f>
        <v>2024-03-29 03.10.56</v>
      </c>
      <c r="J60" s="36"/>
      <c r="K60" s="37" t="str">
        <f t="shared" si="1"/>
        <v>[209231831] ANGGI SIR HERYANTO</v>
      </c>
    </row>
    <row r="61">
      <c r="A61" s="17">
        <f>IFERROR(__xludf.DUMMYFUNCTION("""COMPUTED_VALUE"""),1.09211492E8)</f>
        <v>109211492</v>
      </c>
      <c r="B61" s="18" t="str">
        <f>IFERROR(__xludf.DUMMYFUNCTION("""COMPUTED_VALUE"""),"ANI NURAINI")</f>
        <v>ANI NURAINI</v>
      </c>
      <c r="C61" s="18">
        <f>IFERROR(__xludf.DUMMYFUNCTION("""COMPUTED_VALUE"""),43.0)</f>
        <v>43</v>
      </c>
      <c r="D61" s="35" t="str">
        <f>IFERROR(__xludf.DUMMYFUNCTION("""COMPUTED_VALUE"""),"Islam")</f>
        <v>Islam</v>
      </c>
      <c r="E61" s="18" t="str">
        <f>IFERROR(__xludf.DUMMYFUNCTION("""COMPUTED_VALUE"""),"CV. SENTOSA ABADI")</f>
        <v>CV. SENTOSA ABADI</v>
      </c>
      <c r="F61" s="18" t="str">
        <f>IFERROR(__xludf.DUMMYFUNCTION("""COMPUTED_VALUE"""),"STOCKER")</f>
        <v>STOCKER</v>
      </c>
      <c r="G61" s="18" t="str">
        <f>IFERROR(__xludf.DUMMYFUNCTION("""COMPUTED_VALUE"""),"HRD &amp; GA")</f>
        <v>HRD &amp; GA</v>
      </c>
      <c r="H61" s="18" t="str">
        <f>IFERROR(__xludf.DUMMYFUNCTION("""COMPUTED_VALUE"""),"2024-03-31 00.01.13")</f>
        <v>2024-03-31 00.01.13</v>
      </c>
      <c r="I61" s="18" t="str">
        <f>IFERROR(__xludf.DUMMYFUNCTION("""COMPUTED_VALUE"""),"2024-03-31 12.00.03")</f>
        <v>2024-03-31 12.00.03</v>
      </c>
      <c r="J61" s="36">
        <f>IFERROR(__xludf.DUMMYFUNCTION("""COMPUTED_VALUE"""),34304.0)</f>
        <v>34304</v>
      </c>
      <c r="K61" s="37" t="str">
        <f t="shared" si="1"/>
        <v>[109211492] ANI NURAINI</v>
      </c>
    </row>
    <row r="62">
      <c r="A62" s="17">
        <f>IFERROR(__xludf.DUMMYFUNCTION("""COMPUTED_VALUE"""),2.01241876E8)</f>
        <v>201241876</v>
      </c>
      <c r="B62" s="18" t="str">
        <f>IFERROR(__xludf.DUMMYFUNCTION("""COMPUTED_VALUE"""),"ANIL")</f>
        <v>ANIL</v>
      </c>
      <c r="C62" s="18">
        <f>IFERROR(__xludf.DUMMYFUNCTION("""COMPUTED_VALUE"""),1.0)</f>
        <v>1</v>
      </c>
      <c r="D62" s="35" t="str">
        <f>IFERROR(__xludf.DUMMYFUNCTION("""COMPUTED_VALUE"""),"Islam")</f>
        <v>Islam</v>
      </c>
      <c r="E62" s="18" t="str">
        <f>IFERROR(__xludf.DUMMYFUNCTION("""COMPUTED_VALUE"""),"CV. Adil Prima Perkasa")</f>
        <v>CV. Adil Prima Perkasa</v>
      </c>
      <c r="F62" s="18" t="str">
        <f>IFERROR(__xludf.DUMMYFUNCTION("""COMPUTED_VALUE"""),"OFFICE BOY")</f>
        <v>OFFICE BOY</v>
      </c>
      <c r="G62" s="18" t="str">
        <f>IFERROR(__xludf.DUMMYFUNCTION("""COMPUTED_VALUE"""),"HRD &amp; GA")</f>
        <v>HRD &amp; GA</v>
      </c>
      <c r="H62" s="18" t="str">
        <f>IFERROR(__xludf.DUMMYFUNCTION("""COMPUTED_VALUE"""),"2024-03-31 08.52.48")</f>
        <v>2024-03-31 08.52.48</v>
      </c>
      <c r="I62" s="18" t="str">
        <f>IFERROR(__xludf.DUMMYFUNCTION("""COMPUTED_VALUE"""),"2024-03-31 17.39.12")</f>
        <v>2024-03-31 17.39.12</v>
      </c>
      <c r="J62" s="36"/>
      <c r="K62" s="37" t="str">
        <f t="shared" si="1"/>
        <v>[201241876] ANIL</v>
      </c>
    </row>
    <row r="63">
      <c r="A63" s="17">
        <f>IFERROR(__xludf.DUMMYFUNCTION("""COMPUTED_VALUE"""),2.01221577E8)</f>
        <v>201221577</v>
      </c>
      <c r="B63" s="18" t="str">
        <f>IFERROR(__xludf.DUMMYFUNCTION("""COMPUTED_VALUE"""),"ANNA GLORIA SOMALINGGI")</f>
        <v>ANNA GLORIA SOMALINGGI</v>
      </c>
      <c r="C63" s="18">
        <f>IFERROR(__xludf.DUMMYFUNCTION("""COMPUTED_VALUE"""),30.0)</f>
        <v>30</v>
      </c>
      <c r="D63" s="35" t="str">
        <f>IFERROR(__xludf.DUMMYFUNCTION("""COMPUTED_VALUE"""),"Kristen Protestan")</f>
        <v>Kristen Protestan</v>
      </c>
      <c r="E63" s="18" t="str">
        <f>IFERROR(__xludf.DUMMYFUNCTION("""COMPUTED_VALUE"""),"CV. Adil Prima Perkasa")</f>
        <v>CV. Adil Prima Perkasa</v>
      </c>
      <c r="F63" s="18" t="str">
        <f>IFERROR(__xludf.DUMMYFUNCTION("""COMPUTED_VALUE"""),"ADMIN MPE")</f>
        <v>ADMIN MPE</v>
      </c>
      <c r="G63" s="18" t="str">
        <f>IFERROR(__xludf.DUMMYFUNCTION("""COMPUTED_VALUE"""),"MPE")</f>
        <v>MPE</v>
      </c>
      <c r="H63" s="18" t="str">
        <f>IFERROR(__xludf.DUMMYFUNCTION("""COMPUTED_VALUE"""),"2023-11-30 07.26.42")</f>
        <v>2023-11-30 07.26.42</v>
      </c>
      <c r="I63" s="18" t="str">
        <f>IFERROR(__xludf.DUMMYFUNCTION("""COMPUTED_VALUE"""),"2023-11-30 16.30.49")</f>
        <v>2023-11-30 16.30.49</v>
      </c>
      <c r="J63" s="36">
        <f>IFERROR(__xludf.DUMMYFUNCTION("""COMPUTED_VALUE"""),33335.0)</f>
        <v>33335</v>
      </c>
      <c r="K63" s="37" t="str">
        <f t="shared" si="1"/>
        <v>[201221577] ANNA GLORIA SOMALINGGI</v>
      </c>
    </row>
    <row r="64">
      <c r="A64" s="17">
        <f>IFERROR(__xludf.DUMMYFUNCTION("""COMPUTED_VALUE"""),1.07201158E8)</f>
        <v>107201158</v>
      </c>
      <c r="B64" s="18" t="str">
        <f>IFERROR(__xludf.DUMMYFUNCTION("""COMPUTED_VALUE"""),"ANSHAR")</f>
        <v>ANSHAR</v>
      </c>
      <c r="C64" s="18">
        <f>IFERROR(__xludf.DUMMYFUNCTION("""COMPUTED_VALUE"""),55.0)</f>
        <v>55</v>
      </c>
      <c r="D64" s="35" t="str">
        <f>IFERROR(__xludf.DUMMYFUNCTION("""COMPUTED_VALUE"""),"Islam")</f>
        <v>Islam</v>
      </c>
      <c r="E64" s="18" t="str">
        <f>IFERROR(__xludf.DUMMYFUNCTION("""COMPUTED_VALUE"""),"CV. SENTOSA ABADI")</f>
        <v>CV. SENTOSA ABADI</v>
      </c>
      <c r="F64" s="18" t="str">
        <f>IFERROR(__xludf.DUMMYFUNCTION("""COMPUTED_VALUE"""),"DRIVER DT H700ZY")</f>
        <v>DRIVER DT H700ZY</v>
      </c>
      <c r="G64" s="18" t="str">
        <f>IFERROR(__xludf.DUMMYFUNCTION("""COMPUTED_VALUE"""),"KENDARAAN &amp; UNIT SUPPORT")</f>
        <v>KENDARAAN &amp; UNIT SUPPORT</v>
      </c>
      <c r="H64" s="18" t="str">
        <f>IFERROR(__xludf.DUMMYFUNCTION("""COMPUTED_VALUE"""),"2024-03-31 05.35.39")</f>
        <v>2024-03-31 05.35.39</v>
      </c>
      <c r="I64" s="18" t="str">
        <f>IFERROR(__xludf.DUMMYFUNCTION("""COMPUTED_VALUE"""),"2024-03-31 17.01.52")</f>
        <v>2024-03-31 17.01.52</v>
      </c>
      <c r="J64" s="36"/>
      <c r="K64" s="37" t="str">
        <f t="shared" si="1"/>
        <v>[107201158] ANSHAR</v>
      </c>
    </row>
    <row r="65">
      <c r="A65" s="17">
        <f>IFERROR(__xludf.DUMMYFUNCTION("""COMPUTED_VALUE"""),2.06211414E8)</f>
        <v>206211414</v>
      </c>
      <c r="B65" s="18" t="str">
        <f>IFERROR(__xludf.DUMMYFUNCTION("""COMPUTED_VALUE"""),"ANTONIUS")</f>
        <v>ANTONIUS</v>
      </c>
      <c r="C65" s="18">
        <f>IFERROR(__xludf.DUMMYFUNCTION("""COMPUTED_VALUE"""),38.0)</f>
        <v>38</v>
      </c>
      <c r="D65" s="35" t="str">
        <f>IFERROR(__xludf.DUMMYFUNCTION("""COMPUTED_VALUE"""),"Kristen Protestan")</f>
        <v>Kristen Protestan</v>
      </c>
      <c r="E65" s="18" t="str">
        <f>IFERROR(__xludf.DUMMYFUNCTION("""COMPUTED_VALUE"""),"CV. Adil Prima Perkasa")</f>
        <v>CV. Adil Prima Perkasa</v>
      </c>
      <c r="F65" s="18" t="str">
        <f>IFERROR(__xludf.DUMMYFUNCTION("""COMPUTED_VALUE"""),"OPERATOR BULLDOZER")</f>
        <v>OPERATOR BULLDOZER</v>
      </c>
      <c r="G65" s="18" t="str">
        <f>IFERROR(__xludf.DUMMYFUNCTION("""COMPUTED_VALUE"""),"PRODUKSI")</f>
        <v>PRODUKSI</v>
      </c>
      <c r="H65" s="18" t="str">
        <f>IFERROR(__xludf.DUMMYFUNCTION("""COMPUTED_VALUE"""),"2023-11-30 05.42.11")</f>
        <v>2023-11-30 05.42.11</v>
      </c>
      <c r="I65" s="18" t="str">
        <f>IFERROR(__xludf.DUMMYFUNCTION("""COMPUTED_VALUE"""),"2023-11-30 05.42.11")</f>
        <v>2023-11-30 05.42.11</v>
      </c>
      <c r="J65" s="36"/>
      <c r="K65" s="37" t="str">
        <f t="shared" si="1"/>
        <v>[206211414] ANTONIUS</v>
      </c>
    </row>
    <row r="66">
      <c r="A66" s="17">
        <f>IFERROR(__xludf.DUMMYFUNCTION("""COMPUTED_VALUE"""),2.03211348E8)</f>
        <v>203211348</v>
      </c>
      <c r="B66" s="18" t="str">
        <f>IFERROR(__xludf.DUMMYFUNCTION("""COMPUTED_VALUE"""),"ANTONIUS RUPANG")</f>
        <v>ANTONIUS RUPANG</v>
      </c>
      <c r="C66" s="18">
        <f>IFERROR(__xludf.DUMMYFUNCTION("""COMPUTED_VALUE"""),30.0)</f>
        <v>30</v>
      </c>
      <c r="D66" s="35" t="str">
        <f>IFERROR(__xludf.DUMMYFUNCTION("""COMPUTED_VALUE"""),"Kristen Khatolik")</f>
        <v>Kristen Khatolik</v>
      </c>
      <c r="E66" s="18" t="str">
        <f>IFERROR(__xludf.DUMMYFUNCTION("""COMPUTED_VALUE"""),"CV. Adil Prima Perkasa")</f>
        <v>CV. Adil Prima Perkasa</v>
      </c>
      <c r="F66" s="18" t="str">
        <f>IFERROR(__xludf.DUMMYFUNCTION("""COMPUTED_VALUE"""),"OPERATOR EXCAVATOR")</f>
        <v>OPERATOR EXCAVATOR</v>
      </c>
      <c r="G66" s="18" t="str">
        <f>IFERROR(__xludf.DUMMYFUNCTION("""COMPUTED_VALUE"""),"PRODUKSI")</f>
        <v>PRODUKSI</v>
      </c>
      <c r="H66" s="18" t="str">
        <f>IFERROR(__xludf.DUMMYFUNCTION("""COMPUTED_VALUE"""),"2023-11-30 16.44.17")</f>
        <v>2023-11-30 16.44.17</v>
      </c>
      <c r="I66" s="18" t="str">
        <f>IFERROR(__xludf.DUMMYFUNCTION("""COMPUTED_VALUE"""),"2023-11-30 16.44.17")</f>
        <v>2023-11-30 16.44.17</v>
      </c>
      <c r="J66" s="36">
        <f>IFERROR(__xludf.DUMMYFUNCTION("""COMPUTED_VALUE"""),33488.0)</f>
        <v>33488</v>
      </c>
      <c r="K66" s="37" t="str">
        <f t="shared" si="1"/>
        <v>[203211348] ANTONIUS RUPANG</v>
      </c>
    </row>
    <row r="67">
      <c r="A67" s="17">
        <f>IFERROR(__xludf.DUMMYFUNCTION("""COMPUTED_VALUE"""),1.0720116E8)</f>
        <v>107201160</v>
      </c>
      <c r="B67" s="18" t="str">
        <f>IFERROR(__xludf.DUMMYFUNCTION("""COMPUTED_VALUE"""),"APENDI")</f>
        <v>APENDI</v>
      </c>
      <c r="C67" s="18">
        <f>IFERROR(__xludf.DUMMYFUNCTION("""COMPUTED_VALUE"""),39.0)</f>
        <v>39</v>
      </c>
      <c r="D67" s="35" t="str">
        <f>IFERROR(__xludf.DUMMYFUNCTION("""COMPUTED_VALUE"""),"Islam")</f>
        <v>Islam</v>
      </c>
      <c r="E67" s="18" t="str">
        <f>IFERROR(__xludf.DUMMYFUNCTION("""COMPUTED_VALUE"""),"CV. SENTOSA ABADI")</f>
        <v>CV. SENTOSA ABADI</v>
      </c>
      <c r="F67" s="18" t="str">
        <f>IFERROR(__xludf.DUMMYFUNCTION("""COMPUTED_VALUE"""),"OPERATOR EXCAVATOR")</f>
        <v>OPERATOR EXCAVATOR</v>
      </c>
      <c r="G67" s="18" t="str">
        <f>IFERROR(__xludf.DUMMYFUNCTION("""COMPUTED_VALUE"""),"PRODUKSI")</f>
        <v>PRODUKSI</v>
      </c>
      <c r="H67" s="18" t="str">
        <f>IFERROR(__xludf.DUMMYFUNCTION("""COMPUTED_VALUE"""),"2023-11-30 05.04.31")</f>
        <v>2023-11-30 05.04.31</v>
      </c>
      <c r="I67" s="18" t="str">
        <f>IFERROR(__xludf.DUMMYFUNCTION("""COMPUTED_VALUE"""),"2023-11-30 05.04.31")</f>
        <v>2023-11-30 05.04.31</v>
      </c>
      <c r="J67" s="36"/>
      <c r="K67" s="37" t="str">
        <f t="shared" si="1"/>
        <v>[107201160] APENDI</v>
      </c>
    </row>
    <row r="68">
      <c r="A68" s="17">
        <f>IFERROR(__xludf.DUMMYFUNCTION("""COMPUTED_VALUE"""),2.04231744E8)</f>
        <v>204231744</v>
      </c>
      <c r="B68" s="18" t="str">
        <f>IFERROR(__xludf.DUMMYFUNCTION("""COMPUTED_VALUE"""),"AQIL")</f>
        <v>AQIL</v>
      </c>
      <c r="C68" s="18">
        <f>IFERROR(__xludf.DUMMYFUNCTION("""COMPUTED_VALUE"""),22.0)</f>
        <v>22</v>
      </c>
      <c r="D68" s="35" t="str">
        <f>IFERROR(__xludf.DUMMYFUNCTION("""COMPUTED_VALUE"""),"Islam")</f>
        <v>Islam</v>
      </c>
      <c r="E68" s="18" t="str">
        <f>IFERROR(__xludf.DUMMYFUNCTION("""COMPUTED_VALUE"""),"CV. Adil Prima Perkasa")</f>
        <v>CV. Adil Prima Perkasa</v>
      </c>
      <c r="F68" s="18" t="str">
        <f>IFERROR(__xludf.DUMMYFUNCTION("""COMPUTED_VALUE"""),"OFFICE BOY")</f>
        <v>OFFICE BOY</v>
      </c>
      <c r="G68" s="18" t="str">
        <f>IFERROR(__xludf.DUMMYFUNCTION("""COMPUTED_VALUE"""),"HRD &amp; GA")</f>
        <v>HRD &amp; GA</v>
      </c>
      <c r="H68" s="18" t="str">
        <f>IFERROR(__xludf.DUMMYFUNCTION("""COMPUTED_VALUE"""),"2024-03-31 03.07.00")</f>
        <v>2024-03-31 03.07.00</v>
      </c>
      <c r="I68" s="18" t="str">
        <f>IFERROR(__xludf.DUMMYFUNCTION("""COMPUTED_VALUE"""),"2024-03-31 21.43.13")</f>
        <v>2024-03-31 21.43.13</v>
      </c>
      <c r="J68" s="36">
        <f>IFERROR(__xludf.DUMMYFUNCTION("""COMPUTED_VALUE"""),37325.0)</f>
        <v>37325</v>
      </c>
      <c r="K68" s="37" t="str">
        <f t="shared" si="1"/>
        <v>[204231744] AQIL</v>
      </c>
    </row>
    <row r="69">
      <c r="A69" s="17">
        <f>IFERROR(__xludf.DUMMYFUNCTION("""COMPUTED_VALUE"""),1.08201187E8)</f>
        <v>108201187</v>
      </c>
      <c r="B69" s="18" t="str">
        <f>IFERROR(__xludf.DUMMYFUNCTION("""COMPUTED_VALUE"""),"ARAFNAL")</f>
        <v>ARAFNAL</v>
      </c>
      <c r="C69" s="18">
        <f>IFERROR(__xludf.DUMMYFUNCTION("""COMPUTED_VALUE"""),27.0)</f>
        <v>27</v>
      </c>
      <c r="D69" s="35" t="str">
        <f>IFERROR(__xludf.DUMMYFUNCTION("""COMPUTED_VALUE"""),"Islam")</f>
        <v>Islam</v>
      </c>
      <c r="E69" s="18" t="str">
        <f>IFERROR(__xludf.DUMMYFUNCTION("""COMPUTED_VALUE"""),"CV. SENTOSA ABADI")</f>
        <v>CV. SENTOSA ABADI</v>
      </c>
      <c r="F69" s="18" t="str">
        <f>IFERROR(__xludf.DUMMYFUNCTION("""COMPUTED_VALUE"""),"DRIVER DT H700ZS")</f>
        <v>DRIVER DT H700ZS</v>
      </c>
      <c r="G69" s="18" t="str">
        <f>IFERROR(__xludf.DUMMYFUNCTION("""COMPUTED_VALUE"""),"KENDARAAN &amp; UNIT SUPPORT")</f>
        <v>KENDARAAN &amp; UNIT SUPPORT</v>
      </c>
      <c r="H69" s="18" t="str">
        <f>IFERROR(__xludf.DUMMYFUNCTION("""COMPUTED_VALUE"""),"2024-03-30 19.15.53")</f>
        <v>2024-03-30 19.15.53</v>
      </c>
      <c r="I69" s="18" t="str">
        <f>IFERROR(__xludf.DUMMYFUNCTION("""COMPUTED_VALUE"""),"2024-03-30 19.15.53")</f>
        <v>2024-03-30 19.15.53</v>
      </c>
      <c r="J69" s="36"/>
      <c r="K69" s="37" t="str">
        <f t="shared" si="1"/>
        <v>[108201187] ARAFNAL</v>
      </c>
    </row>
    <row r="70">
      <c r="A70" s="17">
        <f>IFERROR(__xludf.DUMMYFUNCTION("""COMPUTED_VALUE"""),2.03241898E8)</f>
        <v>203241898</v>
      </c>
      <c r="B70" s="18" t="str">
        <f>IFERROR(__xludf.DUMMYFUNCTION("""COMPUTED_VALUE"""),"ARDI")</f>
        <v>ARDI</v>
      </c>
      <c r="C70" s="18">
        <f>IFERROR(__xludf.DUMMYFUNCTION("""COMPUTED_VALUE"""),0.0)</f>
        <v>0</v>
      </c>
      <c r="D70" s="35"/>
      <c r="E70" s="18" t="str">
        <f>IFERROR(__xludf.DUMMYFUNCTION("""COMPUTED_VALUE"""),"CV. Adil Prima Perkasa")</f>
        <v>CV. Adil Prima Perkasa</v>
      </c>
      <c r="F70" s="18" t="str">
        <f>IFERROR(__xludf.DUMMYFUNCTION("""COMPUTED_VALUE"""),"CREW SURVEY")</f>
        <v>CREW SURVEY</v>
      </c>
      <c r="G70" s="18" t="str">
        <f>IFERROR(__xludf.DUMMYFUNCTION("""COMPUTED_VALUE"""),"MPE")</f>
        <v>MPE</v>
      </c>
      <c r="H70" s="18"/>
      <c r="I70" s="18"/>
      <c r="J70" s="36"/>
      <c r="K70" s="37" t="str">
        <f t="shared" si="1"/>
        <v/>
      </c>
    </row>
    <row r="71">
      <c r="A71" s="17">
        <f>IFERROR(__xludf.DUMMYFUNCTION("""COMPUTED_VALUE"""),2.03221614E8)</f>
        <v>203221614</v>
      </c>
      <c r="B71" s="18" t="str">
        <f>IFERROR(__xludf.DUMMYFUNCTION("""COMPUTED_VALUE"""),"ARDIAN")</f>
        <v>ARDIAN</v>
      </c>
      <c r="C71" s="18">
        <f>IFERROR(__xludf.DUMMYFUNCTION("""COMPUTED_VALUE"""),24.0)</f>
        <v>24</v>
      </c>
      <c r="D71" s="35" t="str">
        <f>IFERROR(__xludf.DUMMYFUNCTION("""COMPUTED_VALUE"""),"Islam")</f>
        <v>Islam</v>
      </c>
      <c r="E71" s="18" t="str">
        <f>IFERROR(__xludf.DUMMYFUNCTION("""COMPUTED_VALUE"""),"CV. Adil Prima Perkasa")</f>
        <v>CV. Adil Prima Perkasa</v>
      </c>
      <c r="F71" s="18" t="str">
        <f>IFERROR(__xludf.DUMMYFUNCTION("""COMPUTED_VALUE"""),"OPERATOR EXCAVATOR")</f>
        <v>OPERATOR EXCAVATOR</v>
      </c>
      <c r="G71" s="18" t="str">
        <f>IFERROR(__xludf.DUMMYFUNCTION("""COMPUTED_VALUE"""),"PRODUKSI")</f>
        <v>PRODUKSI</v>
      </c>
      <c r="H71" s="18" t="str">
        <f>IFERROR(__xludf.DUMMYFUNCTION("""COMPUTED_VALUE"""),"2023-11-22 16.58.23")</f>
        <v>2023-11-22 16.58.23</v>
      </c>
      <c r="I71" s="18" t="str">
        <f>IFERROR(__xludf.DUMMYFUNCTION("""COMPUTED_VALUE"""),"2023-11-22 16.58.23")</f>
        <v>2023-11-22 16.58.23</v>
      </c>
      <c r="J71" s="36"/>
      <c r="K71" s="37" t="str">
        <f t="shared" si="1"/>
        <v>[203221614] ARDIAN</v>
      </c>
    </row>
    <row r="72">
      <c r="A72" s="17">
        <f>IFERROR(__xludf.DUMMYFUNCTION("""COMPUTED_VALUE"""),2.05241921E8)</f>
        <v>205241921</v>
      </c>
      <c r="B72" s="18" t="str">
        <f>IFERROR(__xludf.DUMMYFUNCTION("""COMPUTED_VALUE"""),"ARDIANSYAH")</f>
        <v>ARDIANSYAH</v>
      </c>
      <c r="C72" s="18">
        <f>IFERROR(__xludf.DUMMYFUNCTION("""COMPUTED_VALUE"""),0.0)</f>
        <v>0</v>
      </c>
      <c r="D72" s="35"/>
      <c r="E72" s="18" t="str">
        <f>IFERROR(__xludf.DUMMYFUNCTION("""COMPUTED_VALUE"""),"CV. Adil Prima Perkasa")</f>
        <v>CV. Adil Prima Perkasa</v>
      </c>
      <c r="F72" s="18" t="str">
        <f>IFERROR(__xludf.DUMMYFUNCTION("""COMPUTED_VALUE"""),"HELPER MECHANIC MAINTENANCE")</f>
        <v>HELPER MECHANIC MAINTENANCE</v>
      </c>
      <c r="G72" s="18" t="str">
        <f>IFERROR(__xludf.DUMMYFUNCTION("""COMPUTED_VALUE"""),"WORKSHOP")</f>
        <v>WORKSHOP</v>
      </c>
      <c r="H72" s="18"/>
      <c r="I72" s="18"/>
      <c r="J72" s="36"/>
      <c r="K72" s="37" t="str">
        <f t="shared" si="1"/>
        <v/>
      </c>
    </row>
    <row r="73">
      <c r="A73" s="17">
        <f>IFERROR(__xludf.DUMMYFUNCTION("""COMPUTED_VALUE"""),2.04241911E8)</f>
        <v>204241911</v>
      </c>
      <c r="B73" s="18" t="str">
        <f>IFERROR(__xludf.DUMMYFUNCTION("""COMPUTED_VALUE"""),"ARHAM")</f>
        <v>ARHAM</v>
      </c>
      <c r="C73" s="18">
        <f>IFERROR(__xludf.DUMMYFUNCTION("""COMPUTED_VALUE"""),0.0)</f>
        <v>0</v>
      </c>
      <c r="D73" s="35"/>
      <c r="E73" s="18" t="str">
        <f>IFERROR(__xludf.DUMMYFUNCTION("""COMPUTED_VALUE"""),"CV. Adil Prima Perkasa")</f>
        <v>CV. Adil Prima Perkasa</v>
      </c>
      <c r="F73" s="18" t="str">
        <f>IFERROR(__xludf.DUMMYFUNCTION("""COMPUTED_VALUE"""),"HELPER MEKANIK")</f>
        <v>HELPER MEKANIK</v>
      </c>
      <c r="G73" s="18" t="str">
        <f>IFERROR(__xludf.DUMMYFUNCTION("""COMPUTED_VALUE"""),"WORKSHOP")</f>
        <v>WORKSHOP</v>
      </c>
      <c r="H73" s="18"/>
      <c r="I73" s="18"/>
      <c r="J73" s="36"/>
      <c r="K73" s="37" t="str">
        <f t="shared" si="1"/>
        <v/>
      </c>
    </row>
    <row r="74">
      <c r="A74" s="17">
        <f>IFERROR(__xludf.DUMMYFUNCTION("""COMPUTED_VALUE"""),2.01241879E8)</f>
        <v>201241879</v>
      </c>
      <c r="B74" s="18" t="str">
        <f>IFERROR(__xludf.DUMMYFUNCTION("""COMPUTED_VALUE"""),"ARIADI TURUSI")</f>
        <v>ARIADI TURUSI</v>
      </c>
      <c r="C74" s="18">
        <f>IFERROR(__xludf.DUMMYFUNCTION("""COMPUTED_VALUE"""),0.0)</f>
        <v>0</v>
      </c>
      <c r="D74" s="35"/>
      <c r="E74" s="18" t="str">
        <f>IFERROR(__xludf.DUMMYFUNCTION("""COMPUTED_VALUE"""),"CV. Adil Prima Perkasa")</f>
        <v>CV. Adil Prima Perkasa</v>
      </c>
      <c r="F74" s="18" t="str">
        <f>IFERROR(__xludf.DUMMYFUNCTION("""COMPUTED_VALUE"""),"HELPER FUEL")</f>
        <v>HELPER FUEL</v>
      </c>
      <c r="G74" s="18" t="str">
        <f>IFERROR(__xludf.DUMMYFUNCTION("""COMPUTED_VALUE"""),"MPE")</f>
        <v>MPE</v>
      </c>
      <c r="H74" s="18"/>
      <c r="I74" s="18"/>
      <c r="J74" s="36"/>
      <c r="K74" s="37" t="str">
        <f t="shared" si="1"/>
        <v/>
      </c>
    </row>
    <row r="75">
      <c r="A75" s="17">
        <f>IFERROR(__xludf.DUMMYFUNCTION("""COMPUTED_VALUE"""),2.12231868E8)</f>
        <v>212231868</v>
      </c>
      <c r="B75" s="18" t="str">
        <f>IFERROR(__xludf.DUMMYFUNCTION("""COMPUTED_VALUE"""),"ARIEF MOWOSE")</f>
        <v>ARIEF MOWOSE</v>
      </c>
      <c r="C75" s="18">
        <f>IFERROR(__xludf.DUMMYFUNCTION("""COMPUTED_VALUE"""),0.0)</f>
        <v>0</v>
      </c>
      <c r="D75" s="35"/>
      <c r="E75" s="18" t="str">
        <f>IFERROR(__xludf.DUMMYFUNCTION("""COMPUTED_VALUE"""),"CV. Adil Prima Perkasa")</f>
        <v>CV. Adil Prima Perkasa</v>
      </c>
      <c r="F75" s="18" t="str">
        <f>IFERROR(__xludf.DUMMYFUNCTION("""COMPUTED_VALUE"""),"DRIVER DT H500")</f>
        <v>DRIVER DT H500</v>
      </c>
      <c r="G75" s="18" t="str">
        <f>IFERROR(__xludf.DUMMYFUNCTION("""COMPUTED_VALUE"""),"KENDARAAN &amp; UNIT SUPPORT")</f>
        <v>KENDARAAN &amp; UNIT SUPPORT</v>
      </c>
      <c r="H75" s="18" t="str">
        <f>IFERROR(__xludf.DUMMYFUNCTION("""COMPUTED_VALUE"""),"2024-03-26 07.27.28")</f>
        <v>2024-03-26 07.27.28</v>
      </c>
      <c r="I75" s="18" t="str">
        <f>IFERROR(__xludf.DUMMYFUNCTION("""COMPUTED_VALUE"""),"2024-03-26 16.33.01")</f>
        <v>2024-03-26 16.33.01</v>
      </c>
      <c r="J75" s="36"/>
      <c r="K75" s="37" t="str">
        <f t="shared" si="1"/>
        <v>[212231868] ARIEF MOWOSE</v>
      </c>
    </row>
    <row r="76">
      <c r="A76" s="17">
        <f>IFERROR(__xludf.DUMMYFUNCTION("""COMPUTED_VALUE"""),2.03241895E8)</f>
        <v>203241895</v>
      </c>
      <c r="B76" s="18" t="str">
        <f>IFERROR(__xludf.DUMMYFUNCTION("""COMPUTED_VALUE"""),"ARIEF RACHMAN")</f>
        <v>ARIEF RACHMAN</v>
      </c>
      <c r="C76" s="18">
        <f>IFERROR(__xludf.DUMMYFUNCTION("""COMPUTED_VALUE"""),0.0)</f>
        <v>0</v>
      </c>
      <c r="D76" s="35"/>
      <c r="E76" s="18" t="str">
        <f>IFERROR(__xludf.DUMMYFUNCTION("""COMPUTED_VALUE"""),"CV. Adil Prima Perkasa")</f>
        <v>CV. Adil Prima Perkasa</v>
      </c>
      <c r="F76" s="18" t="str">
        <f>IFERROR(__xludf.DUMMYFUNCTION("""COMPUTED_VALUE"""),"CREW SURVEY")</f>
        <v>CREW SURVEY</v>
      </c>
      <c r="G76" s="18" t="str">
        <f>IFERROR(__xludf.DUMMYFUNCTION("""COMPUTED_VALUE"""),"MPE")</f>
        <v>MPE</v>
      </c>
      <c r="H76" s="18"/>
      <c r="I76" s="18"/>
      <c r="J76" s="36"/>
      <c r="K76" s="37" t="str">
        <f t="shared" si="1"/>
        <v/>
      </c>
    </row>
    <row r="77">
      <c r="A77" s="17">
        <f>IFERROR(__xludf.DUMMYFUNCTION("""COMPUTED_VALUE"""),2.12180734E8)</f>
        <v>212180734</v>
      </c>
      <c r="B77" s="18" t="str">
        <f>IFERROR(__xludf.DUMMYFUNCTION("""COMPUTED_VALUE"""),"ARIS")</f>
        <v>ARIS</v>
      </c>
      <c r="C77" s="18">
        <f>IFERROR(__xludf.DUMMYFUNCTION("""COMPUTED_VALUE"""),31.0)</f>
        <v>31</v>
      </c>
      <c r="D77" s="35" t="str">
        <f>IFERROR(__xludf.DUMMYFUNCTION("""COMPUTED_VALUE"""),"Islam")</f>
        <v>Islam</v>
      </c>
      <c r="E77" s="18" t="str">
        <f>IFERROR(__xludf.DUMMYFUNCTION("""COMPUTED_VALUE"""),"CV. Adil Prima Perkasa")</f>
        <v>CV. Adil Prima Perkasa</v>
      </c>
      <c r="F77" s="18" t="str">
        <f>IFERROR(__xludf.DUMMYFUNCTION("""COMPUTED_VALUE"""),"OPERATOR EXCAVATOR")</f>
        <v>OPERATOR EXCAVATOR</v>
      </c>
      <c r="G77" s="18" t="str">
        <f>IFERROR(__xludf.DUMMYFUNCTION("""COMPUTED_VALUE"""),"PRODUKSI")</f>
        <v>PRODUKSI</v>
      </c>
      <c r="H77" s="18" t="str">
        <f>IFERROR(__xludf.DUMMYFUNCTION("""COMPUTED_VALUE"""),"2023-11-29 17.11.21")</f>
        <v>2023-11-29 17.11.21</v>
      </c>
      <c r="I77" s="18" t="str">
        <f>IFERROR(__xludf.DUMMYFUNCTION("""COMPUTED_VALUE"""),"2023-11-29 17.11.21")</f>
        <v>2023-11-29 17.11.21</v>
      </c>
      <c r="J77" s="36">
        <f>IFERROR(__xludf.DUMMYFUNCTION("""COMPUTED_VALUE"""),35057.0)</f>
        <v>35057</v>
      </c>
      <c r="K77" s="37" t="str">
        <f t="shared" si="1"/>
        <v>[212180734] ARIS</v>
      </c>
    </row>
    <row r="78">
      <c r="A78" s="17">
        <f>IFERROR(__xludf.DUMMYFUNCTION("""COMPUTED_VALUE"""),2.1223187E8)</f>
        <v>212231870</v>
      </c>
      <c r="B78" s="18" t="str">
        <f>IFERROR(__xludf.DUMMYFUNCTION("""COMPUTED_VALUE"""),"ARIZAL")</f>
        <v>ARIZAL</v>
      </c>
      <c r="C78" s="18">
        <f>IFERROR(__xludf.DUMMYFUNCTION("""COMPUTED_VALUE"""),0.0)</f>
        <v>0</v>
      </c>
      <c r="D78" s="35"/>
      <c r="E78" s="18" t="str">
        <f>IFERROR(__xludf.DUMMYFUNCTION("""COMPUTED_VALUE"""),"CV. Adil Prima Perkasa")</f>
        <v>CV. Adil Prima Perkasa</v>
      </c>
      <c r="F78" s="18" t="str">
        <f>IFERROR(__xludf.DUMMYFUNCTION("""COMPUTED_VALUE"""),"DRIVER DT H500")</f>
        <v>DRIVER DT H500</v>
      </c>
      <c r="G78" s="18" t="str">
        <f>IFERROR(__xludf.DUMMYFUNCTION("""COMPUTED_VALUE"""),"KENDARAAN &amp; UNIT SUPPORT")</f>
        <v>KENDARAAN &amp; UNIT SUPPORT</v>
      </c>
      <c r="H78" s="18" t="str">
        <f>IFERROR(__xludf.DUMMYFUNCTION("""COMPUTED_VALUE"""),"2024-03-31 06.56.39")</f>
        <v>2024-03-31 06.56.39</v>
      </c>
      <c r="I78" s="18" t="str">
        <f>IFERROR(__xludf.DUMMYFUNCTION("""COMPUTED_VALUE"""),"2024-03-31 16.15.04")</f>
        <v>2024-03-31 16.15.04</v>
      </c>
      <c r="J78" s="36"/>
      <c r="K78" s="37" t="str">
        <f t="shared" si="1"/>
        <v>[212231870] ARIZAL</v>
      </c>
    </row>
    <row r="79">
      <c r="A79" s="17">
        <f>IFERROR(__xludf.DUMMYFUNCTION("""COMPUTED_VALUE"""),2.02221582E8)</f>
        <v>202221582</v>
      </c>
      <c r="B79" s="18" t="str">
        <f>IFERROR(__xludf.DUMMYFUNCTION("""COMPUTED_VALUE"""),"ARLIANUS DAGUL")</f>
        <v>ARLIANUS DAGUL</v>
      </c>
      <c r="C79" s="18">
        <f>IFERROR(__xludf.DUMMYFUNCTION("""COMPUTED_VALUE"""),21.0)</f>
        <v>21</v>
      </c>
      <c r="D79" s="35" t="str">
        <f>IFERROR(__xludf.DUMMYFUNCTION("""COMPUTED_VALUE"""),"Kristen Khatolik")</f>
        <v>Kristen Khatolik</v>
      </c>
      <c r="E79" s="18" t="str">
        <f>IFERROR(__xludf.DUMMYFUNCTION("""COMPUTED_VALUE"""),"CV. Adil Prima Perkasa")</f>
        <v>CV. Adil Prima Perkasa</v>
      </c>
      <c r="F79" s="18" t="str">
        <f>IFERROR(__xludf.DUMMYFUNCTION("""COMPUTED_VALUE"""),"CREW PREPARASI")</f>
        <v>CREW PREPARASI</v>
      </c>
      <c r="G79" s="18" t="str">
        <f>IFERROR(__xludf.DUMMYFUNCTION("""COMPUTED_VALUE"""),"GRADE CONTROL")</f>
        <v>GRADE CONTROL</v>
      </c>
      <c r="H79" s="18" t="str">
        <f>IFERROR(__xludf.DUMMYFUNCTION("""COMPUTED_VALUE"""),"2023-11-30 06.27.43")</f>
        <v>2023-11-30 06.27.43</v>
      </c>
      <c r="I79" s="18" t="str">
        <f>IFERROR(__xludf.DUMMYFUNCTION("""COMPUTED_VALUE"""),"2023-11-30 19.25.47")</f>
        <v>2023-11-30 19.25.47</v>
      </c>
      <c r="J79" s="36"/>
      <c r="K79" s="37" t="str">
        <f t="shared" si="1"/>
        <v>[202221582] ARLIANUS DAGUL</v>
      </c>
    </row>
    <row r="80">
      <c r="A80" s="17">
        <f>IFERROR(__xludf.DUMMYFUNCTION("""COMPUTED_VALUE"""),2.09221672E8)</f>
        <v>209221672</v>
      </c>
      <c r="B80" s="18" t="str">
        <f>IFERROR(__xludf.DUMMYFUNCTION("""COMPUTED_VALUE"""),"ARMANSYAH")</f>
        <v>ARMANSYAH</v>
      </c>
      <c r="C80" s="18">
        <f>IFERROR(__xludf.DUMMYFUNCTION("""COMPUTED_VALUE"""),33.0)</f>
        <v>33</v>
      </c>
      <c r="D80" s="35" t="str">
        <f>IFERROR(__xludf.DUMMYFUNCTION("""COMPUTED_VALUE"""),"Islam")</f>
        <v>Islam</v>
      </c>
      <c r="E80" s="18" t="str">
        <f>IFERROR(__xludf.DUMMYFUNCTION("""COMPUTED_VALUE"""),"CV. Adil Prima Perkasa")</f>
        <v>CV. Adil Prima Perkasa</v>
      </c>
      <c r="F80" s="18" t="str">
        <f>IFERROR(__xludf.DUMMYFUNCTION("""COMPUTED_VALUE"""),"DRIVER LV")</f>
        <v>DRIVER LV</v>
      </c>
      <c r="G80" s="18" t="str">
        <f>IFERROR(__xludf.DUMMYFUNCTION("""COMPUTED_VALUE"""),"KENDARAAN &amp; UNIT SUPPORT")</f>
        <v>KENDARAAN &amp; UNIT SUPPORT</v>
      </c>
      <c r="H80" s="18" t="str">
        <f>IFERROR(__xludf.DUMMYFUNCTION("""COMPUTED_VALUE"""),"2024-03-31 03.17.20")</f>
        <v>2024-03-31 03.17.20</v>
      </c>
      <c r="I80" s="18" t="str">
        <f>IFERROR(__xludf.DUMMYFUNCTION("""COMPUTED_VALUE"""),"2024-03-31 20.29.46")</f>
        <v>2024-03-31 20.29.46</v>
      </c>
      <c r="J80" s="36">
        <f>IFERROR(__xludf.DUMMYFUNCTION("""COMPUTED_VALUE"""),29386.0)</f>
        <v>29386</v>
      </c>
      <c r="K80" s="37" t="str">
        <f t="shared" si="1"/>
        <v>[209221672] ARMANSYAH</v>
      </c>
    </row>
    <row r="81">
      <c r="A81" s="17">
        <f>IFERROR(__xludf.DUMMYFUNCTION("""COMPUTED_VALUE"""),2.03221612E8)</f>
        <v>203221612</v>
      </c>
      <c r="B81" s="18" t="str">
        <f>IFERROR(__xludf.DUMMYFUNCTION("""COMPUTED_VALUE"""),"ARSYAD")</f>
        <v>ARSYAD</v>
      </c>
      <c r="C81" s="18">
        <f>IFERROR(__xludf.DUMMYFUNCTION("""COMPUTED_VALUE"""),42.0)</f>
        <v>42</v>
      </c>
      <c r="D81" s="35" t="str">
        <f>IFERROR(__xludf.DUMMYFUNCTION("""COMPUTED_VALUE"""),"Islam")</f>
        <v>Islam</v>
      </c>
      <c r="E81" s="18" t="str">
        <f>IFERROR(__xludf.DUMMYFUNCTION("""COMPUTED_VALUE"""),"CV. Adil Prima Perkasa")</f>
        <v>CV. Adil Prima Perkasa</v>
      </c>
      <c r="F81" s="18" t="str">
        <f>IFERROR(__xludf.DUMMYFUNCTION("""COMPUTED_VALUE"""),"OPERATOR EXCAVATOR")</f>
        <v>OPERATOR EXCAVATOR</v>
      </c>
      <c r="G81" s="18" t="str">
        <f>IFERROR(__xludf.DUMMYFUNCTION("""COMPUTED_VALUE"""),"PRODUKSI")</f>
        <v>PRODUKSI</v>
      </c>
      <c r="H81" s="18" t="str">
        <f>IFERROR(__xludf.DUMMYFUNCTION("""COMPUTED_VALUE"""),"2023-11-30 05.33.08")</f>
        <v>2023-11-30 05.33.08</v>
      </c>
      <c r="I81" s="18" t="str">
        <f>IFERROR(__xludf.DUMMYFUNCTION("""COMPUTED_VALUE"""),"2023-11-30 05.33.08")</f>
        <v>2023-11-30 05.33.08</v>
      </c>
      <c r="J81" s="36">
        <f>IFERROR(__xludf.DUMMYFUNCTION("""COMPUTED_VALUE"""),30839.0)</f>
        <v>30839</v>
      </c>
      <c r="K81" s="37" t="str">
        <f t="shared" si="1"/>
        <v>[203221612] ARSYAD</v>
      </c>
    </row>
    <row r="82">
      <c r="A82" s="17"/>
      <c r="B82" s="18" t="str">
        <f>IFERROR(__xludf.DUMMYFUNCTION("""COMPUTED_VALUE"""),"ASKAR")</f>
        <v>ASKAR</v>
      </c>
      <c r="C82" s="18">
        <f>IFERROR(__xludf.DUMMYFUNCTION("""COMPUTED_VALUE"""),0.0)</f>
        <v>0</v>
      </c>
      <c r="D82" s="35"/>
      <c r="E82" s="18" t="str">
        <f>IFERROR(__xludf.DUMMYFUNCTION("""COMPUTED_VALUE"""),"CV. SENTOSA ABADI")</f>
        <v>CV. SENTOSA ABADI</v>
      </c>
      <c r="F82" s="18" t="str">
        <f>IFERROR(__xludf.DUMMYFUNCTION("""COMPUTED_VALUE"""),"FALSE")</f>
        <v>FALSE</v>
      </c>
      <c r="G82" s="18" t="str">
        <f>IFERROR(__xludf.DUMMYFUNCTION("""COMPUTED_VALUE"""),"FALSE")</f>
        <v>FALSE</v>
      </c>
      <c r="H82" s="18"/>
      <c r="I82" s="18"/>
      <c r="J82" s="36"/>
      <c r="K82" s="37" t="str">
        <f t="shared" si="1"/>
        <v/>
      </c>
    </row>
    <row r="83">
      <c r="A83" s="17">
        <f>IFERROR(__xludf.DUMMYFUNCTION("""COMPUTED_VALUE"""),2.02231728E8)</f>
        <v>202231728</v>
      </c>
      <c r="B83" s="18" t="str">
        <f>IFERROR(__xludf.DUMMYFUNCTION("""COMPUTED_VALUE"""),"ASMAR")</f>
        <v>ASMAR</v>
      </c>
      <c r="C83" s="18">
        <f>IFERROR(__xludf.DUMMYFUNCTION("""COMPUTED_VALUE"""),38.0)</f>
        <v>38</v>
      </c>
      <c r="D83" s="35" t="str">
        <f>IFERROR(__xludf.DUMMYFUNCTION("""COMPUTED_VALUE"""),"Islam")</f>
        <v>Islam</v>
      </c>
      <c r="E83" s="18" t="str">
        <f>IFERROR(__xludf.DUMMYFUNCTION("""COMPUTED_VALUE"""),"CV. Adil Prima Perkasa")</f>
        <v>CV. Adil Prima Perkasa</v>
      </c>
      <c r="F83" s="18" t="str">
        <f>IFERROR(__xludf.DUMMYFUNCTION("""COMPUTED_VALUE"""),"DRIVER DT H700ZS")</f>
        <v>DRIVER DT H700ZS</v>
      </c>
      <c r="G83" s="18" t="str">
        <f>IFERROR(__xludf.DUMMYFUNCTION("""COMPUTED_VALUE"""),"KENDARAAN &amp; UNIT SUPPORT")</f>
        <v>KENDARAAN &amp; UNIT SUPPORT</v>
      </c>
      <c r="H83" s="18" t="str">
        <f>IFERROR(__xludf.DUMMYFUNCTION("""COMPUTED_VALUE"""),"2024-03-31 06.43.26")</f>
        <v>2024-03-31 06.43.26</v>
      </c>
      <c r="I83" s="18" t="str">
        <f>IFERROR(__xludf.DUMMYFUNCTION("""COMPUTED_VALUE"""),"2024-03-31 06.43.26")</f>
        <v>2024-03-31 06.43.26</v>
      </c>
      <c r="J83" s="36">
        <f>IFERROR(__xludf.DUMMYFUNCTION("""COMPUTED_VALUE"""),35000.0)</f>
        <v>35000</v>
      </c>
      <c r="K83" s="37" t="str">
        <f t="shared" si="1"/>
        <v>[202231728] ASMAR</v>
      </c>
    </row>
    <row r="84">
      <c r="A84" s="17">
        <f>IFERROR(__xludf.DUMMYFUNCTION("""COMPUTED_VALUE"""),2.08201189E8)</f>
        <v>208201189</v>
      </c>
      <c r="B84" s="18" t="str">
        <f>IFERROR(__xludf.DUMMYFUNCTION("""COMPUTED_VALUE"""),"ASRIADY")</f>
        <v>ASRIADY</v>
      </c>
      <c r="C84" s="18">
        <f>IFERROR(__xludf.DUMMYFUNCTION("""COMPUTED_VALUE"""),32.0)</f>
        <v>32</v>
      </c>
      <c r="D84" s="35" t="str">
        <f>IFERROR(__xludf.DUMMYFUNCTION("""COMPUTED_VALUE"""),"Islam")</f>
        <v>Islam</v>
      </c>
      <c r="E84" s="18" t="str">
        <f>IFERROR(__xludf.DUMMYFUNCTION("""COMPUTED_VALUE"""),"CV. Adil Prima Perkasa")</f>
        <v>CV. Adil Prima Perkasa</v>
      </c>
      <c r="F84" s="18" t="str">
        <f>IFERROR(__xludf.DUMMYFUNCTION("""COMPUTED_VALUE"""),"OPERATOR EXCAVATOR")</f>
        <v>OPERATOR EXCAVATOR</v>
      </c>
      <c r="G84" s="18" t="str">
        <f>IFERROR(__xludf.DUMMYFUNCTION("""COMPUTED_VALUE"""),"PRODUKSI")</f>
        <v>PRODUKSI</v>
      </c>
      <c r="H84" s="18" t="str">
        <f>IFERROR(__xludf.DUMMYFUNCTION("""COMPUTED_VALUE"""),"2023-11-29 05.55.31")</f>
        <v>2023-11-29 05.55.31</v>
      </c>
      <c r="I84" s="18" t="str">
        <f>IFERROR(__xludf.DUMMYFUNCTION("""COMPUTED_VALUE"""),"2023-11-29 05.55.31")</f>
        <v>2023-11-29 05.55.31</v>
      </c>
      <c r="J84" s="36">
        <f>IFERROR(__xludf.DUMMYFUNCTION("""COMPUTED_VALUE"""),30628.0)</f>
        <v>30628</v>
      </c>
      <c r="K84" s="37" t="str">
        <f t="shared" si="1"/>
        <v>[208201189] ASRIADY</v>
      </c>
    </row>
    <row r="85">
      <c r="A85" s="17">
        <f>IFERROR(__xludf.DUMMYFUNCTION("""COMPUTED_VALUE"""),2.12221712E8)</f>
        <v>212221712</v>
      </c>
      <c r="B85" s="18" t="str">
        <f>IFERROR(__xludf.DUMMYFUNCTION("""COMPUTED_VALUE"""),"ASRIANTO")</f>
        <v>ASRIANTO</v>
      </c>
      <c r="C85" s="18">
        <f>IFERROR(__xludf.DUMMYFUNCTION("""COMPUTED_VALUE"""),30.0)</f>
        <v>30</v>
      </c>
      <c r="D85" s="35" t="str">
        <f>IFERROR(__xludf.DUMMYFUNCTION("""COMPUTED_VALUE"""),"Islam")</f>
        <v>Islam</v>
      </c>
      <c r="E85" s="18" t="str">
        <f>IFERROR(__xludf.DUMMYFUNCTION("""COMPUTED_VALUE"""),"CV. Adil Prima Perkasa")</f>
        <v>CV. Adil Prima Perkasa</v>
      </c>
      <c r="F85" s="18" t="str">
        <f>IFERROR(__xludf.DUMMYFUNCTION("""COMPUTED_VALUE"""),"DRIVER DT H700ZS")</f>
        <v>DRIVER DT H700ZS</v>
      </c>
      <c r="G85" s="18" t="str">
        <f>IFERROR(__xludf.DUMMYFUNCTION("""COMPUTED_VALUE"""),"KENDARAAN &amp; UNIT SUPPORT")</f>
        <v>KENDARAAN &amp; UNIT SUPPORT</v>
      </c>
      <c r="H85" s="18" t="str">
        <f>IFERROR(__xludf.DUMMYFUNCTION("""COMPUTED_VALUE"""),"2024-03-31 18.46.54")</f>
        <v>2024-03-31 18.46.54</v>
      </c>
      <c r="I85" s="18" t="str">
        <f>IFERROR(__xludf.DUMMYFUNCTION("""COMPUTED_VALUE"""),"2024-03-31 18.46.54")</f>
        <v>2024-03-31 18.46.54</v>
      </c>
      <c r="J85" s="36">
        <f>IFERROR(__xludf.DUMMYFUNCTION("""COMPUTED_VALUE"""),36828.0)</f>
        <v>36828</v>
      </c>
      <c r="K85" s="37" t="str">
        <f t="shared" si="1"/>
        <v>[212221712] ASRIANTO</v>
      </c>
    </row>
    <row r="86">
      <c r="A86" s="17">
        <f>IFERROR(__xludf.DUMMYFUNCTION("""COMPUTED_VALUE"""),1.08191059E8)</f>
        <v>108191059</v>
      </c>
      <c r="B86" s="18" t="str">
        <f>IFERROR(__xludf.DUMMYFUNCTION("""COMPUTED_VALUE"""),"ASRIL PANGANDO")</f>
        <v>ASRIL PANGANDO</v>
      </c>
      <c r="C86" s="18">
        <f>IFERROR(__xludf.DUMMYFUNCTION("""COMPUTED_VALUE"""),28.0)</f>
        <v>28</v>
      </c>
      <c r="D86" s="35" t="str">
        <f>IFERROR(__xludf.DUMMYFUNCTION("""COMPUTED_VALUE"""),"Islam")</f>
        <v>Islam</v>
      </c>
      <c r="E86" s="18" t="str">
        <f>IFERROR(__xludf.DUMMYFUNCTION("""COMPUTED_VALUE"""),"CV. SENTOSA ABADI")</f>
        <v>CV. SENTOSA ABADI</v>
      </c>
      <c r="F86" s="18" t="str">
        <f>IFERROR(__xludf.DUMMYFUNCTION("""COMPUTED_VALUE"""),"CREW LOGISTIK")</f>
        <v>CREW LOGISTIK</v>
      </c>
      <c r="G86" s="18" t="str">
        <f>IFERROR(__xludf.DUMMYFUNCTION("""COMPUTED_VALUE"""),"LOGISTIC")</f>
        <v>LOGISTIC</v>
      </c>
      <c r="H86" s="18" t="str">
        <f>IFERROR(__xludf.DUMMYFUNCTION("""COMPUTED_VALUE"""),"2023-11-30 07.20.43")</f>
        <v>2023-11-30 07.20.43</v>
      </c>
      <c r="I86" s="18" t="str">
        <f>IFERROR(__xludf.DUMMYFUNCTION("""COMPUTED_VALUE"""),"2023-11-30 20.09.06")</f>
        <v>2023-11-30 20.09.06</v>
      </c>
      <c r="J86" s="36"/>
      <c r="K86" s="37" t="str">
        <f t="shared" si="1"/>
        <v>[108191059] ASRIL PANGANDO</v>
      </c>
    </row>
    <row r="87">
      <c r="A87" s="17">
        <f>IFERROR(__xludf.DUMMYFUNCTION("""COMPUTED_VALUE"""),1.12180619E8)</f>
        <v>112180619</v>
      </c>
      <c r="B87" s="18" t="str">
        <f>IFERROR(__xludf.DUMMYFUNCTION("""COMPUTED_VALUE"""),"ASRIN AHIMA")</f>
        <v>ASRIN AHIMA</v>
      </c>
      <c r="C87" s="18">
        <f>IFERROR(__xludf.DUMMYFUNCTION("""COMPUTED_VALUE"""),44.0)</f>
        <v>44</v>
      </c>
      <c r="D87" s="35" t="str">
        <f>IFERROR(__xludf.DUMMYFUNCTION("""COMPUTED_VALUE"""),"Islam")</f>
        <v>Islam</v>
      </c>
      <c r="E87" s="18" t="str">
        <f>IFERROR(__xludf.DUMMYFUNCTION("""COMPUTED_VALUE"""),"CV. SENTOSA ABADI")</f>
        <v>CV. SENTOSA ABADI</v>
      </c>
      <c r="F87" s="18" t="str">
        <f>IFERROR(__xludf.DUMMYFUNCTION("""COMPUTED_VALUE"""),"FOREMAN PRODUKSI")</f>
        <v>FOREMAN PRODUKSI</v>
      </c>
      <c r="G87" s="18" t="str">
        <f>IFERROR(__xludf.DUMMYFUNCTION("""COMPUTED_VALUE"""),"PRODUKSI")</f>
        <v>PRODUKSI</v>
      </c>
      <c r="H87" s="18" t="str">
        <f>IFERROR(__xludf.DUMMYFUNCTION("""COMPUTED_VALUE"""),"2023-11-30 06.43.36")</f>
        <v>2023-11-30 06.43.36</v>
      </c>
      <c r="I87" s="18" t="str">
        <f>IFERROR(__xludf.DUMMYFUNCTION("""COMPUTED_VALUE"""),"2023-11-30 06.43.36")</f>
        <v>2023-11-30 06.43.36</v>
      </c>
      <c r="J87" s="36"/>
      <c r="K87" s="37" t="str">
        <f t="shared" si="1"/>
        <v>[112180619] ASRIN AHIMA</v>
      </c>
    </row>
    <row r="88">
      <c r="A88" s="17">
        <f>IFERROR(__xludf.DUMMYFUNCTION("""COMPUTED_VALUE"""),2.02211342E8)</f>
        <v>202211342</v>
      </c>
      <c r="B88" s="18" t="str">
        <f>IFERROR(__xludf.DUMMYFUNCTION("""COMPUTED_VALUE"""),"ASRUL")</f>
        <v>ASRUL</v>
      </c>
      <c r="C88" s="18">
        <f>IFERROR(__xludf.DUMMYFUNCTION("""COMPUTED_VALUE"""),33.0)</f>
        <v>33</v>
      </c>
      <c r="D88" s="35" t="str">
        <f>IFERROR(__xludf.DUMMYFUNCTION("""COMPUTED_VALUE"""),"Islam")</f>
        <v>Islam</v>
      </c>
      <c r="E88" s="18" t="str">
        <f>IFERROR(__xludf.DUMMYFUNCTION("""COMPUTED_VALUE"""),"CV. Adil Prima Perkasa")</f>
        <v>CV. Adil Prima Perkasa</v>
      </c>
      <c r="F88" s="18" t="str">
        <f>IFERROR(__xludf.DUMMYFUNCTION("""COMPUTED_VALUE"""),"OPERATOR EXCAVATOR")</f>
        <v>OPERATOR EXCAVATOR</v>
      </c>
      <c r="G88" s="18" t="str">
        <f>IFERROR(__xludf.DUMMYFUNCTION("""COMPUTED_VALUE"""),"PRODUKSI")</f>
        <v>PRODUKSI</v>
      </c>
      <c r="H88" s="18" t="str">
        <f>IFERROR(__xludf.DUMMYFUNCTION("""COMPUTED_VALUE"""),"2023-11-29 20.12.40")</f>
        <v>2023-11-29 20.12.40</v>
      </c>
      <c r="I88" s="18" t="str">
        <f>IFERROR(__xludf.DUMMYFUNCTION("""COMPUTED_VALUE"""),"2023-11-29 20.12.40")</f>
        <v>2023-11-29 20.12.40</v>
      </c>
      <c r="J88" s="36">
        <f>IFERROR(__xludf.DUMMYFUNCTION("""COMPUTED_VALUE"""),31738.0)</f>
        <v>31738</v>
      </c>
      <c r="K88" s="37" t="str">
        <f t="shared" si="1"/>
        <v>[202211342] ASRUL</v>
      </c>
    </row>
    <row r="89">
      <c r="A89" s="17">
        <f>IFERROR(__xludf.DUMMYFUNCTION("""COMPUTED_VALUE"""),1.09201214E8)</f>
        <v>109201214</v>
      </c>
      <c r="B89" s="18" t="str">
        <f>IFERROR(__xludf.DUMMYFUNCTION("""COMPUTED_VALUE"""),"ASRUL SANDI")</f>
        <v>ASRUL SANDI</v>
      </c>
      <c r="C89" s="18">
        <f>IFERROR(__xludf.DUMMYFUNCTION("""COMPUTED_VALUE"""),27.0)</f>
        <v>27</v>
      </c>
      <c r="D89" s="35" t="str">
        <f>IFERROR(__xludf.DUMMYFUNCTION("""COMPUTED_VALUE"""),"Islam")</f>
        <v>Islam</v>
      </c>
      <c r="E89" s="18" t="str">
        <f>IFERROR(__xludf.DUMMYFUNCTION("""COMPUTED_VALUE"""),"CV. SENTOSA ABADI")</f>
        <v>CV. SENTOSA ABADI</v>
      </c>
      <c r="F89" s="18" t="str">
        <f>IFERROR(__xludf.DUMMYFUNCTION("""COMPUTED_VALUE"""),"OPERATOR EXCAVATOR")</f>
        <v>OPERATOR EXCAVATOR</v>
      </c>
      <c r="G89" s="18" t="str">
        <f>IFERROR(__xludf.DUMMYFUNCTION("""COMPUTED_VALUE"""),"PRODUKSI")</f>
        <v>PRODUKSI</v>
      </c>
      <c r="H89" s="18" t="str">
        <f>IFERROR(__xludf.DUMMYFUNCTION("""COMPUTED_VALUE"""),"2023-11-30 05.09.54")</f>
        <v>2023-11-30 05.09.54</v>
      </c>
      <c r="I89" s="18" t="str">
        <f>IFERROR(__xludf.DUMMYFUNCTION("""COMPUTED_VALUE"""),"2023-11-30 05.09.54")</f>
        <v>2023-11-30 05.09.54</v>
      </c>
      <c r="J89" s="36">
        <f>IFERROR(__xludf.DUMMYFUNCTION("""COMPUTED_VALUE"""),34990.0)</f>
        <v>34990</v>
      </c>
      <c r="K89" s="37" t="str">
        <f t="shared" si="1"/>
        <v>[109201214] ASRUL SANDI</v>
      </c>
    </row>
    <row r="90">
      <c r="A90" s="17">
        <f>IFERROR(__xludf.DUMMYFUNCTION("""COMPUTED_VALUE"""),2.12211551E8)</f>
        <v>212211551</v>
      </c>
      <c r="B90" s="18" t="str">
        <f>IFERROR(__xludf.DUMMYFUNCTION("""COMPUTED_VALUE"""),"ASSE")</f>
        <v>ASSE</v>
      </c>
      <c r="C90" s="18">
        <f>IFERROR(__xludf.DUMMYFUNCTION("""COMPUTED_VALUE"""),42.0)</f>
        <v>42</v>
      </c>
      <c r="D90" s="35" t="str">
        <f>IFERROR(__xludf.DUMMYFUNCTION("""COMPUTED_VALUE"""),"Islam")</f>
        <v>Islam</v>
      </c>
      <c r="E90" s="18" t="str">
        <f>IFERROR(__xludf.DUMMYFUNCTION("""COMPUTED_VALUE"""),"CV. Adil Prima Perkasa")</f>
        <v>CV. Adil Prima Perkasa</v>
      </c>
      <c r="F90" s="18" t="str">
        <f>IFERROR(__xludf.DUMMYFUNCTION("""COMPUTED_VALUE"""),"DRIVER DT H700ZY")</f>
        <v>DRIVER DT H700ZY</v>
      </c>
      <c r="G90" s="18" t="str">
        <f>IFERROR(__xludf.DUMMYFUNCTION("""COMPUTED_VALUE"""),"KENDARAAN &amp; UNIT SUPPORT")</f>
        <v>KENDARAAN &amp; UNIT SUPPORT</v>
      </c>
      <c r="H90" s="18" t="str">
        <f>IFERROR(__xludf.DUMMYFUNCTION("""COMPUTED_VALUE"""),"2024-03-31 07.43.30")</f>
        <v>2024-03-31 07.43.30</v>
      </c>
      <c r="I90" s="18" t="str">
        <f>IFERROR(__xludf.DUMMYFUNCTION("""COMPUTED_VALUE"""),"2024-03-31 17.57.56")</f>
        <v>2024-03-31 17.57.56</v>
      </c>
      <c r="J90" s="36">
        <f>IFERROR(__xludf.DUMMYFUNCTION("""COMPUTED_VALUE"""),31575.0)</f>
        <v>31575</v>
      </c>
      <c r="K90" s="37" t="str">
        <f t="shared" si="1"/>
        <v>[212211551] ASSE</v>
      </c>
    </row>
    <row r="91">
      <c r="A91" s="17">
        <f>IFERROR(__xludf.DUMMYFUNCTION("""COMPUTED_VALUE"""),1.12201311E8)</f>
        <v>112201311</v>
      </c>
      <c r="B91" s="18" t="str">
        <f>IFERROR(__xludf.DUMMYFUNCTION("""COMPUTED_VALUE"""),"ASTITI RAHAYU")</f>
        <v>ASTITI RAHAYU</v>
      </c>
      <c r="C91" s="18">
        <f>IFERROR(__xludf.DUMMYFUNCTION("""COMPUTED_VALUE"""),26.0)</f>
        <v>26</v>
      </c>
      <c r="D91" s="35" t="str">
        <f>IFERROR(__xludf.DUMMYFUNCTION("""COMPUTED_VALUE"""),"Islam")</f>
        <v>Islam</v>
      </c>
      <c r="E91" s="18" t="str">
        <f>IFERROR(__xludf.DUMMYFUNCTION("""COMPUTED_VALUE"""),"CV. SENTOSA ABADI")</f>
        <v>CV. SENTOSA ABADI</v>
      </c>
      <c r="F91" s="18" t="str">
        <f>IFERROR(__xludf.DUMMYFUNCTION("""COMPUTED_VALUE"""),"TREASURY (KASIR)")</f>
        <v>TREASURY (KASIR)</v>
      </c>
      <c r="G91" s="18" t="str">
        <f>IFERROR(__xludf.DUMMYFUNCTION("""COMPUTED_VALUE"""),"FINANCE")</f>
        <v>FINANCE</v>
      </c>
      <c r="H91" s="18" t="str">
        <f>IFERROR(__xludf.DUMMYFUNCTION("""COMPUTED_VALUE"""),"2024-03-31 08.25.07")</f>
        <v>2024-03-31 08.25.07</v>
      </c>
      <c r="I91" s="18" t="str">
        <f>IFERROR(__xludf.DUMMYFUNCTION("""COMPUTED_VALUE"""),"2024-03-31 08.25.07")</f>
        <v>2024-03-31 08.25.07</v>
      </c>
      <c r="J91" s="36"/>
      <c r="K91" s="37" t="str">
        <f t="shared" si="1"/>
        <v>[112201311] ASTITI RAHAYU</v>
      </c>
    </row>
    <row r="92">
      <c r="A92" s="17">
        <f>IFERROR(__xludf.DUMMYFUNCTION("""COMPUTED_VALUE"""),1.04211367E8)</f>
        <v>104211367</v>
      </c>
      <c r="B92" s="18" t="str">
        <f>IFERROR(__xludf.DUMMYFUNCTION("""COMPUTED_VALUE"""),"AWALUDIN")</f>
        <v>AWALUDIN</v>
      </c>
      <c r="C92" s="18">
        <f>IFERROR(__xludf.DUMMYFUNCTION("""COMPUTED_VALUE"""),28.0)</f>
        <v>28</v>
      </c>
      <c r="D92" s="35" t="str">
        <f>IFERROR(__xludf.DUMMYFUNCTION("""COMPUTED_VALUE"""),"Islam")</f>
        <v>Islam</v>
      </c>
      <c r="E92" s="18" t="str">
        <f>IFERROR(__xludf.DUMMYFUNCTION("""COMPUTED_VALUE"""),"CV. SENTOSA ABADI")</f>
        <v>CV. SENTOSA ABADI</v>
      </c>
      <c r="F92" s="18" t="str">
        <f>IFERROR(__xludf.DUMMYFUNCTION("""COMPUTED_VALUE"""),"DRIVER DT H700ZY")</f>
        <v>DRIVER DT H700ZY</v>
      </c>
      <c r="G92" s="18" t="str">
        <f>IFERROR(__xludf.DUMMYFUNCTION("""COMPUTED_VALUE"""),"KENDARAAN &amp; UNIT SUPPORT")</f>
        <v>KENDARAAN &amp; UNIT SUPPORT</v>
      </c>
      <c r="H92" s="18" t="str">
        <f>IFERROR(__xludf.DUMMYFUNCTION("""COMPUTED_VALUE"""),"2023-11-29 06.38.36")</f>
        <v>2023-11-29 06.38.36</v>
      </c>
      <c r="I92" s="18" t="str">
        <f>IFERROR(__xludf.DUMMYFUNCTION("""COMPUTED_VALUE"""),"2023-11-29 06.38.36")</f>
        <v>2023-11-29 06.38.36</v>
      </c>
      <c r="J92" s="36"/>
      <c r="K92" s="37" t="str">
        <f t="shared" si="1"/>
        <v>[104211367] AWALUDIN</v>
      </c>
    </row>
    <row r="93">
      <c r="A93" s="17">
        <f>IFERROR(__xludf.DUMMYFUNCTION("""COMPUTED_VALUE"""),1.072318E8)</f>
        <v>107231800</v>
      </c>
      <c r="B93" s="18" t="str">
        <f>IFERROR(__xludf.DUMMYFUNCTION("""COMPUTED_VALUE"""),"AWALUDIN MASAHENGKE")</f>
        <v>AWALUDIN MASAHENGKE</v>
      </c>
      <c r="C93" s="18">
        <f>IFERROR(__xludf.DUMMYFUNCTION("""COMPUTED_VALUE"""),47.0)</f>
        <v>47</v>
      </c>
      <c r="D93" s="35" t="str">
        <f>IFERROR(__xludf.DUMMYFUNCTION("""COMPUTED_VALUE"""),"Islam")</f>
        <v>Islam</v>
      </c>
      <c r="E93" s="18" t="str">
        <f>IFERROR(__xludf.DUMMYFUNCTION("""COMPUTED_VALUE"""),"CV. SENTOSA ABADI")</f>
        <v>CV. SENTOSA ABADI</v>
      </c>
      <c r="F93" s="18" t="str">
        <f>IFERROR(__xludf.DUMMYFUNCTION("""COMPUTED_VALUE"""),"SECURITY")</f>
        <v>SECURITY</v>
      </c>
      <c r="G93" s="18" t="str">
        <f>IFERROR(__xludf.DUMMYFUNCTION("""COMPUTED_VALUE"""),"HRD &amp; GA")</f>
        <v>HRD &amp; GA</v>
      </c>
      <c r="H93" s="18" t="str">
        <f>IFERROR(__xludf.DUMMYFUNCTION("""COMPUTED_VALUE"""),"2024-03-31 23.05.15")</f>
        <v>2024-03-31 23.05.15</v>
      </c>
      <c r="I93" s="18" t="str">
        <f>IFERROR(__xludf.DUMMYFUNCTION("""COMPUTED_VALUE"""),"2024-03-31 23.05.15")</f>
        <v>2024-03-31 23.05.15</v>
      </c>
      <c r="J93" s="36"/>
      <c r="K93" s="37" t="str">
        <f t="shared" si="1"/>
        <v>[107231800] AWALUDIN MASAHENGKE</v>
      </c>
    </row>
    <row r="94">
      <c r="A94" s="17"/>
      <c r="B94" s="18" t="str">
        <f>IFERROR(__xludf.DUMMYFUNCTION("""COMPUTED_VALUE"""),"Administrator")</f>
        <v>Administrator</v>
      </c>
      <c r="C94" s="18">
        <f>IFERROR(__xludf.DUMMYFUNCTION("""COMPUTED_VALUE"""),0.0)</f>
        <v>0</v>
      </c>
      <c r="D94" s="35"/>
      <c r="E94" s="18" t="str">
        <f>IFERROR(__xludf.DUMMYFUNCTION("""COMPUTED_VALUE"""),"CV. SENTOSA ABADI")</f>
        <v>CV. SENTOSA ABADI</v>
      </c>
      <c r="F94" s="18" t="str">
        <f>IFERROR(__xludf.DUMMYFUNCTION("""COMPUTED_VALUE"""),"FALSE")</f>
        <v>FALSE</v>
      </c>
      <c r="G94" s="18" t="str">
        <f>IFERROR(__xludf.DUMMYFUNCTION("""COMPUTED_VALUE"""),"FALSE")</f>
        <v>FALSE</v>
      </c>
      <c r="H94" s="18" t="str">
        <f>IFERROR(__xludf.DUMMYFUNCTION("""COMPUTED_VALUE"""),"2023-09-05 14.06.20")</f>
        <v>2023-09-05 14.06.20</v>
      </c>
      <c r="I94" s="18"/>
      <c r="J94" s="36"/>
      <c r="K94" s="37" t="str">
        <f t="shared" si="1"/>
        <v/>
      </c>
    </row>
    <row r="95">
      <c r="A95" s="17">
        <f>IFERROR(__xludf.DUMMYFUNCTION("""COMPUTED_VALUE"""),2.08201204E8)</f>
        <v>208201204</v>
      </c>
      <c r="B95" s="18" t="str">
        <f>IFERROR(__xludf.DUMMYFUNCTION("""COMPUTED_VALUE"""),"BAHARUDDIN")</f>
        <v>BAHARUDDIN</v>
      </c>
      <c r="C95" s="18">
        <f>IFERROR(__xludf.DUMMYFUNCTION("""COMPUTED_VALUE"""),46.0)</f>
        <v>46</v>
      </c>
      <c r="D95" s="35" t="str">
        <f>IFERROR(__xludf.DUMMYFUNCTION("""COMPUTED_VALUE"""),"Islam")</f>
        <v>Islam</v>
      </c>
      <c r="E95" s="18" t="str">
        <f>IFERROR(__xludf.DUMMYFUNCTION("""COMPUTED_VALUE"""),"CV. Adil Prima Perkasa")</f>
        <v>CV. Adil Prima Perkasa</v>
      </c>
      <c r="F95" s="18" t="str">
        <f>IFERROR(__xludf.DUMMYFUNCTION("""COMPUTED_VALUE"""),"DRIVER DT H700ZY")</f>
        <v>DRIVER DT H700ZY</v>
      </c>
      <c r="G95" s="18" t="str">
        <f>IFERROR(__xludf.DUMMYFUNCTION("""COMPUTED_VALUE"""),"KENDARAAN &amp; UNIT SUPPORT")</f>
        <v>KENDARAAN &amp; UNIT SUPPORT</v>
      </c>
      <c r="H95" s="18" t="str">
        <f>IFERROR(__xludf.DUMMYFUNCTION("""COMPUTED_VALUE"""),"2024-03-25 06.02.09")</f>
        <v>2024-03-25 06.02.09</v>
      </c>
      <c r="I95" s="18" t="str">
        <f>IFERROR(__xludf.DUMMYFUNCTION("""COMPUTED_VALUE"""),"2024-03-25 16.03.52")</f>
        <v>2024-03-25 16.03.52</v>
      </c>
      <c r="J95" s="36">
        <f>IFERROR(__xludf.DUMMYFUNCTION("""COMPUTED_VALUE"""),28668.0)</f>
        <v>28668</v>
      </c>
      <c r="K95" s="37" t="str">
        <f t="shared" si="1"/>
        <v>[208201204] BAHARUDDIN</v>
      </c>
    </row>
    <row r="96">
      <c r="A96" s="17">
        <f>IFERROR(__xludf.DUMMYFUNCTION("""COMPUTED_VALUE"""),2.02221585E8)</f>
        <v>202221585</v>
      </c>
      <c r="B96" s="18" t="str">
        <f>IFERROR(__xludf.DUMMYFUNCTION("""COMPUTED_VALUE"""),"BAHARUDDIN")</f>
        <v>BAHARUDDIN</v>
      </c>
      <c r="C96" s="18">
        <f>IFERROR(__xludf.DUMMYFUNCTION("""COMPUTED_VALUE"""),30.0)</f>
        <v>30</v>
      </c>
      <c r="D96" s="35" t="str">
        <f>IFERROR(__xludf.DUMMYFUNCTION("""COMPUTED_VALUE"""),"Islam")</f>
        <v>Islam</v>
      </c>
      <c r="E96" s="18" t="str">
        <f>IFERROR(__xludf.DUMMYFUNCTION("""COMPUTED_VALUE"""),"CV. Adil Prima Perkasa")</f>
        <v>CV. Adil Prima Perkasa</v>
      </c>
      <c r="F96" s="18" t="str">
        <f>IFERROR(__xludf.DUMMYFUNCTION("""COMPUTED_VALUE"""),"CREW PREPARASI")</f>
        <v>CREW PREPARASI</v>
      </c>
      <c r="G96" s="18" t="str">
        <f>IFERROR(__xludf.DUMMYFUNCTION("""COMPUTED_VALUE"""),"GRADE CONTROL")</f>
        <v>GRADE CONTROL</v>
      </c>
      <c r="H96" s="18" t="str">
        <f>IFERROR(__xludf.DUMMYFUNCTION("""COMPUTED_VALUE"""),"2023-11-22 05.55.48")</f>
        <v>2023-11-22 05.55.48</v>
      </c>
      <c r="I96" s="18" t="str">
        <f>IFERROR(__xludf.DUMMYFUNCTION("""COMPUTED_VALUE"""),"2023-11-22 19.15.01")</f>
        <v>2023-11-22 19.15.01</v>
      </c>
      <c r="J96" s="36">
        <f>IFERROR(__xludf.DUMMYFUNCTION("""COMPUTED_VALUE"""),34447.0)</f>
        <v>34447</v>
      </c>
      <c r="K96" s="37" t="str">
        <f t="shared" si="1"/>
        <v>[202221585] BAHARUDDIN</v>
      </c>
    </row>
    <row r="97">
      <c r="A97" s="17">
        <f>IFERROR(__xludf.DUMMYFUNCTION("""COMPUTED_VALUE"""),1.04211366E8)</f>
        <v>104211366</v>
      </c>
      <c r="B97" s="18" t="str">
        <f>IFERROR(__xludf.DUMMYFUNCTION("""COMPUTED_VALUE"""),"BAHARUDIN")</f>
        <v>BAHARUDIN</v>
      </c>
      <c r="C97" s="18">
        <f>IFERROR(__xludf.DUMMYFUNCTION("""COMPUTED_VALUE"""),63.0)</f>
        <v>63</v>
      </c>
      <c r="D97" s="35" t="str">
        <f>IFERROR(__xludf.DUMMYFUNCTION("""COMPUTED_VALUE"""),"Islam")</f>
        <v>Islam</v>
      </c>
      <c r="E97" s="18" t="str">
        <f>IFERROR(__xludf.DUMMYFUNCTION("""COMPUTED_VALUE"""),"CV. SENTOSA ABADI")</f>
        <v>CV. SENTOSA ABADI</v>
      </c>
      <c r="F97" s="18" t="str">
        <f>IFERROR(__xludf.DUMMYFUNCTION("""COMPUTED_VALUE"""),"DRIVER DT")</f>
        <v>DRIVER DT</v>
      </c>
      <c r="G97" s="18" t="str">
        <f>IFERROR(__xludf.DUMMYFUNCTION("""COMPUTED_VALUE"""),"KENDARAAN &amp; UNIT SUPPORT")</f>
        <v>KENDARAAN &amp; UNIT SUPPORT</v>
      </c>
      <c r="H97" s="18" t="str">
        <f>IFERROR(__xludf.DUMMYFUNCTION("""COMPUTED_VALUE"""),"2023-03-28 06.18.10")</f>
        <v>2023-03-28 06.18.10</v>
      </c>
      <c r="I97" s="18" t="str">
        <f>IFERROR(__xludf.DUMMYFUNCTION("""COMPUTED_VALUE"""),"2023-03-28 06.18.10")</f>
        <v>2023-03-28 06.18.10</v>
      </c>
      <c r="J97" s="36">
        <f>IFERROR(__xludf.DUMMYFUNCTION("""COMPUTED_VALUE"""),26455.0)</f>
        <v>26455</v>
      </c>
      <c r="K97" s="37" t="str">
        <f t="shared" si="1"/>
        <v>[104211366] BAHARUDIN</v>
      </c>
    </row>
    <row r="98">
      <c r="A98" s="17">
        <f>IFERROR(__xludf.DUMMYFUNCTION("""COMPUTED_VALUE"""),2.08231826E8)</f>
        <v>208231826</v>
      </c>
      <c r="B98" s="18" t="str">
        <f>IFERROR(__xludf.DUMMYFUNCTION("""COMPUTED_VALUE"""),"BAHRI")</f>
        <v>BAHRI</v>
      </c>
      <c r="C98" s="18">
        <f>IFERROR(__xludf.DUMMYFUNCTION("""COMPUTED_VALUE"""),30.0)</f>
        <v>30</v>
      </c>
      <c r="D98" s="35" t="str">
        <f>IFERROR(__xludf.DUMMYFUNCTION("""COMPUTED_VALUE"""),"Islam")</f>
        <v>Islam</v>
      </c>
      <c r="E98" s="18" t="str">
        <f>IFERROR(__xludf.DUMMYFUNCTION("""COMPUTED_VALUE"""),"CV. Adil Prima Perkasa")</f>
        <v>CV. Adil Prima Perkasa</v>
      </c>
      <c r="F98" s="18" t="str">
        <f>IFERROR(__xludf.DUMMYFUNCTION("""COMPUTED_VALUE"""),"DRIVER DT H500")</f>
        <v>DRIVER DT H500</v>
      </c>
      <c r="G98" s="18" t="str">
        <f>IFERROR(__xludf.DUMMYFUNCTION("""COMPUTED_VALUE"""),"KENDARAAN &amp; UNIT SUPPORT")</f>
        <v>KENDARAAN &amp; UNIT SUPPORT</v>
      </c>
      <c r="H98" s="18" t="str">
        <f>IFERROR(__xludf.DUMMYFUNCTION("""COMPUTED_VALUE"""),"2024-03-31 05.55.53")</f>
        <v>2024-03-31 05.55.53</v>
      </c>
      <c r="I98" s="18" t="str">
        <f>IFERROR(__xludf.DUMMYFUNCTION("""COMPUTED_VALUE"""),"2024-03-31 17.20.36")</f>
        <v>2024-03-31 17.20.36</v>
      </c>
      <c r="J98" s="36">
        <f>IFERROR(__xludf.DUMMYFUNCTION("""COMPUTED_VALUE"""),31361.0)</f>
        <v>31361</v>
      </c>
      <c r="K98" s="37" t="str">
        <f t="shared" si="1"/>
        <v>[208231826] BAHRI</v>
      </c>
    </row>
    <row r="99">
      <c r="A99" s="17">
        <f>IFERROR(__xludf.DUMMYFUNCTION("""COMPUTED_VALUE"""),2.03231734E8)</f>
        <v>203231734</v>
      </c>
      <c r="B99" s="18" t="str">
        <f>IFERROR(__xludf.DUMMYFUNCTION("""COMPUTED_VALUE"""),"BAKRI")</f>
        <v>BAKRI</v>
      </c>
      <c r="C99" s="18">
        <f>IFERROR(__xludf.DUMMYFUNCTION("""COMPUTED_VALUE"""),27.0)</f>
        <v>27</v>
      </c>
      <c r="D99" s="35" t="str">
        <f>IFERROR(__xludf.DUMMYFUNCTION("""COMPUTED_VALUE"""),"Islam")</f>
        <v>Islam</v>
      </c>
      <c r="E99" s="18" t="str">
        <f>IFERROR(__xludf.DUMMYFUNCTION("""COMPUTED_VALUE"""),"CV. Adil Prima Perkasa")</f>
        <v>CV. Adil Prima Perkasa</v>
      </c>
      <c r="F99" s="18" t="str">
        <f>IFERROR(__xludf.DUMMYFUNCTION("""COMPUTED_VALUE"""),"DRIVER DT H700ZS")</f>
        <v>DRIVER DT H700ZS</v>
      </c>
      <c r="G99" s="18" t="str">
        <f>IFERROR(__xludf.DUMMYFUNCTION("""COMPUTED_VALUE"""),"KENDARAAN &amp; UNIT SUPPORT")</f>
        <v>KENDARAAN &amp; UNIT SUPPORT</v>
      </c>
      <c r="H99" s="18" t="str">
        <f>IFERROR(__xludf.DUMMYFUNCTION("""COMPUTED_VALUE"""),"2024-03-31 08.30.31")</f>
        <v>2024-03-31 08.30.31</v>
      </c>
      <c r="I99" s="18" t="str">
        <f>IFERROR(__xludf.DUMMYFUNCTION("""COMPUTED_VALUE"""),"2024-03-31 15.59.51")</f>
        <v>2024-03-31 15.59.51</v>
      </c>
      <c r="J99" s="36">
        <f>IFERROR(__xludf.DUMMYFUNCTION("""COMPUTED_VALUE"""),35795.0)</f>
        <v>35795</v>
      </c>
      <c r="K99" s="37" t="str">
        <f t="shared" si="1"/>
        <v>[203231734] BAKRI</v>
      </c>
    </row>
    <row r="100">
      <c r="A100" s="17">
        <f>IFERROR(__xludf.DUMMYFUNCTION("""COMPUTED_VALUE"""),3.01210042E8)</f>
        <v>301210042</v>
      </c>
      <c r="B100" s="18" t="str">
        <f>IFERROR(__xludf.DUMMYFUNCTION("""COMPUTED_VALUE"""),"BAMBANG")</f>
        <v>BAMBANG</v>
      </c>
      <c r="C100" s="18">
        <f>IFERROR(__xludf.DUMMYFUNCTION("""COMPUTED_VALUE"""),45.0)</f>
        <v>45</v>
      </c>
      <c r="D100" s="35" t="str">
        <f>IFERROR(__xludf.DUMMYFUNCTION("""COMPUTED_VALUE"""),"Islam")</f>
        <v>Islam</v>
      </c>
      <c r="E100" s="18" t="str">
        <f>IFERROR(__xludf.DUMMYFUNCTION("""COMPUTED_VALUE"""),"CV. Monalisa")</f>
        <v>CV. Monalisa</v>
      </c>
      <c r="F100" s="18" t="str">
        <f>IFERROR(__xludf.DUMMYFUNCTION("""COMPUTED_VALUE"""),"OPERATOR EXCAVATOR")</f>
        <v>OPERATOR EXCAVATOR</v>
      </c>
      <c r="G100" s="18" t="str">
        <f>IFERROR(__xludf.DUMMYFUNCTION("""COMPUTED_VALUE"""),"PRODUKSI")</f>
        <v>PRODUKSI</v>
      </c>
      <c r="H100" s="18"/>
      <c r="I100" s="18"/>
      <c r="J100" s="36">
        <f>IFERROR(__xludf.DUMMYFUNCTION("""COMPUTED_VALUE"""),32486.0)</f>
        <v>32486</v>
      </c>
      <c r="K100" s="37" t="str">
        <f t="shared" si="1"/>
        <v/>
      </c>
    </row>
    <row r="101">
      <c r="A101" s="17">
        <f>IFERROR(__xludf.DUMMYFUNCTION("""COMPUTED_VALUE"""),2.11201297E8)</f>
        <v>211201297</v>
      </c>
      <c r="B101" s="18" t="str">
        <f>IFERROR(__xludf.DUMMYFUNCTION("""COMPUTED_VALUE"""),"BARTOLOMEUS")</f>
        <v>BARTOLOMEUS</v>
      </c>
      <c r="C101" s="18">
        <f>IFERROR(__xludf.DUMMYFUNCTION("""COMPUTED_VALUE"""),39.0)</f>
        <v>39</v>
      </c>
      <c r="D101" s="35" t="str">
        <f>IFERROR(__xludf.DUMMYFUNCTION("""COMPUTED_VALUE"""),"Kristen Khatolik")</f>
        <v>Kristen Khatolik</v>
      </c>
      <c r="E101" s="18" t="str">
        <f>IFERROR(__xludf.DUMMYFUNCTION("""COMPUTED_VALUE"""),"CV. Adil Prima Perkasa")</f>
        <v>CV. Adil Prima Perkasa</v>
      </c>
      <c r="F101" s="18" t="str">
        <f>IFERROR(__xludf.DUMMYFUNCTION("""COMPUTED_VALUE"""),"DRIVER DT H700ZY")</f>
        <v>DRIVER DT H700ZY</v>
      </c>
      <c r="G101" s="18" t="str">
        <f>IFERROR(__xludf.DUMMYFUNCTION("""COMPUTED_VALUE"""),"KENDARAAN &amp; UNIT SUPPORT")</f>
        <v>KENDARAAN &amp; UNIT SUPPORT</v>
      </c>
      <c r="H101" s="18" t="str">
        <f>IFERROR(__xludf.DUMMYFUNCTION("""COMPUTED_VALUE"""),"2024-03-31 05.42.09")</f>
        <v>2024-03-31 05.42.09</v>
      </c>
      <c r="I101" s="18" t="str">
        <f>IFERROR(__xludf.DUMMYFUNCTION("""COMPUTED_VALUE"""),"2024-03-31 16.06.58")</f>
        <v>2024-03-31 16.06.58</v>
      </c>
      <c r="J101" s="36"/>
      <c r="K101" s="37" t="str">
        <f t="shared" si="1"/>
        <v>[211201297] BARTOLOMEUS</v>
      </c>
    </row>
    <row r="102">
      <c r="A102" s="17">
        <f>IFERROR(__xludf.DUMMYFUNCTION("""COMPUTED_VALUE"""),2.08231814E8)</f>
        <v>208231814</v>
      </c>
      <c r="B102" s="18" t="str">
        <f>IFERROR(__xludf.DUMMYFUNCTION("""COMPUTED_VALUE"""),"BENO SANDA TODING")</f>
        <v>BENO SANDA TODING</v>
      </c>
      <c r="C102" s="18">
        <f>IFERROR(__xludf.DUMMYFUNCTION("""COMPUTED_VALUE"""),32.0)</f>
        <v>32</v>
      </c>
      <c r="D102" s="35" t="str">
        <f>IFERROR(__xludf.DUMMYFUNCTION("""COMPUTED_VALUE"""),"Kristen Khatolik")</f>
        <v>Kristen Khatolik</v>
      </c>
      <c r="E102" s="18" t="str">
        <f>IFERROR(__xludf.DUMMYFUNCTION("""COMPUTED_VALUE"""),"CV. Adil Prima Perkasa")</f>
        <v>CV. Adil Prima Perkasa</v>
      </c>
      <c r="F102" s="18" t="str">
        <f>IFERROR(__xludf.DUMMYFUNCTION("""COMPUTED_VALUE"""),"OPERATOR EXCAVATOR")</f>
        <v>OPERATOR EXCAVATOR</v>
      </c>
      <c r="G102" s="18" t="str">
        <f>IFERROR(__xludf.DUMMYFUNCTION("""COMPUTED_VALUE"""),"PRODUKSI")</f>
        <v>PRODUKSI</v>
      </c>
      <c r="H102" s="18" t="str">
        <f>IFERROR(__xludf.DUMMYFUNCTION("""COMPUTED_VALUE"""),"2023-08-11 06.34.29")</f>
        <v>2023-08-11 06.34.29</v>
      </c>
      <c r="I102" s="18" t="str">
        <f>IFERROR(__xludf.DUMMYFUNCTION("""COMPUTED_VALUE"""),"2023-08-11 06.34.29")</f>
        <v>2023-08-11 06.34.29</v>
      </c>
      <c r="J102" s="36"/>
      <c r="K102" s="37" t="str">
        <f t="shared" si="1"/>
        <v>[208231814] BENO SANDA TODING</v>
      </c>
    </row>
    <row r="103">
      <c r="A103" s="17">
        <f>IFERROR(__xludf.DUMMYFUNCTION("""COMPUTED_VALUE"""),2.03231739E8)</f>
        <v>203231739</v>
      </c>
      <c r="B103" s="18" t="str">
        <f>IFERROR(__xludf.DUMMYFUNCTION("""COMPUTED_VALUE"""),"BENYAMIN BUTTU")</f>
        <v>BENYAMIN BUTTU</v>
      </c>
      <c r="C103" s="18">
        <f>IFERROR(__xludf.DUMMYFUNCTION("""COMPUTED_VALUE"""),50.0)</f>
        <v>50</v>
      </c>
      <c r="D103" s="35" t="str">
        <f>IFERROR(__xludf.DUMMYFUNCTION("""COMPUTED_VALUE"""),"Kristen Protestan")</f>
        <v>Kristen Protestan</v>
      </c>
      <c r="E103" s="18" t="str">
        <f>IFERROR(__xludf.DUMMYFUNCTION("""COMPUTED_VALUE"""),"CV. Adil Prima Perkasa")</f>
        <v>CV. Adil Prima Perkasa</v>
      </c>
      <c r="F103" s="18" t="str">
        <f>IFERROR(__xludf.DUMMYFUNCTION("""COMPUTED_VALUE"""),"MEKANIK")</f>
        <v>MEKANIK</v>
      </c>
      <c r="G103" s="18" t="str">
        <f>IFERROR(__xludf.DUMMYFUNCTION("""COMPUTED_VALUE"""),"WORKSHOP")</f>
        <v>WORKSHOP</v>
      </c>
      <c r="H103" s="18" t="str">
        <f>IFERROR(__xludf.DUMMYFUNCTION("""COMPUTED_VALUE"""),"2023-11-30 06.23.57")</f>
        <v>2023-11-30 06.23.57</v>
      </c>
      <c r="I103" s="18" t="str">
        <f>IFERROR(__xludf.DUMMYFUNCTION("""COMPUTED_VALUE"""),"2023-11-30 16.49.31")</f>
        <v>2023-11-30 16.49.31</v>
      </c>
      <c r="J103" s="36">
        <f>IFERROR(__xludf.DUMMYFUNCTION("""COMPUTED_VALUE"""),28843.0)</f>
        <v>28843</v>
      </c>
      <c r="K103" s="37" t="str">
        <f t="shared" si="1"/>
        <v>[203231739] BENYAMIN BUTTU</v>
      </c>
    </row>
    <row r="104">
      <c r="A104" s="17">
        <f>IFERROR(__xludf.DUMMYFUNCTION("""COMPUTED_VALUE"""),1.08211459E8)</f>
        <v>108211459</v>
      </c>
      <c r="B104" s="18" t="str">
        <f>IFERROR(__xludf.DUMMYFUNCTION("""COMPUTED_VALUE"""),"BOBBY TUMBOL")</f>
        <v>BOBBY TUMBOL</v>
      </c>
      <c r="C104" s="18">
        <f>IFERROR(__xludf.DUMMYFUNCTION("""COMPUTED_VALUE"""),53.0)</f>
        <v>53</v>
      </c>
      <c r="D104" s="35" t="str">
        <f>IFERROR(__xludf.DUMMYFUNCTION("""COMPUTED_VALUE"""),"Kristen Protestan")</f>
        <v>Kristen Protestan</v>
      </c>
      <c r="E104" s="18" t="str">
        <f>IFERROR(__xludf.DUMMYFUNCTION("""COMPUTED_VALUE"""),"CV. SENTOSA ABADI")</f>
        <v>CV. SENTOSA ABADI</v>
      </c>
      <c r="F104" s="18" t="str">
        <f>IFERROR(__xludf.DUMMYFUNCTION("""COMPUTED_VALUE"""),"DRIVER DT H700ZY")</f>
        <v>DRIVER DT H700ZY</v>
      </c>
      <c r="G104" s="18" t="str">
        <f>IFERROR(__xludf.DUMMYFUNCTION("""COMPUTED_VALUE"""),"KENDARAAN &amp; UNIT SUPPORT")</f>
        <v>KENDARAAN &amp; UNIT SUPPORT</v>
      </c>
      <c r="H104" s="18" t="str">
        <f>IFERROR(__xludf.DUMMYFUNCTION("""COMPUTED_VALUE"""),"2024-03-31 06.30.12")</f>
        <v>2024-03-31 06.30.12</v>
      </c>
      <c r="I104" s="18" t="str">
        <f>IFERROR(__xludf.DUMMYFUNCTION("""COMPUTED_VALUE"""),"2024-03-31 17.10.56")</f>
        <v>2024-03-31 17.10.56</v>
      </c>
      <c r="J104" s="36">
        <f>IFERROR(__xludf.DUMMYFUNCTION("""COMPUTED_VALUE"""),26435.0)</f>
        <v>26435</v>
      </c>
      <c r="K104" s="37" t="str">
        <f t="shared" si="1"/>
        <v>[108211459] BOBBY TUMBOL</v>
      </c>
    </row>
    <row r="105">
      <c r="A105" s="17">
        <f>IFERROR(__xludf.DUMMYFUNCTION("""COMPUTED_VALUE"""),1.05130051E8)</f>
        <v>105130051</v>
      </c>
      <c r="B105" s="18" t="str">
        <f>IFERROR(__xludf.DUMMYFUNCTION("""COMPUTED_VALUE"""),"BOBI YAENTU")</f>
        <v>BOBI YAENTU</v>
      </c>
      <c r="C105" s="18">
        <f>IFERROR(__xludf.DUMMYFUNCTION("""COMPUTED_VALUE"""),42.0)</f>
        <v>42</v>
      </c>
      <c r="D105" s="35" t="str">
        <f>IFERROR(__xludf.DUMMYFUNCTION("""COMPUTED_VALUE"""),"Kristen Protestan")</f>
        <v>Kristen Protestan</v>
      </c>
      <c r="E105" s="18" t="str">
        <f>IFERROR(__xludf.DUMMYFUNCTION("""COMPUTED_VALUE"""),"CV. SENTOSA ABADI")</f>
        <v>CV. SENTOSA ABADI</v>
      </c>
      <c r="F105" s="18" t="str">
        <f>IFERROR(__xludf.DUMMYFUNCTION("""COMPUTED_VALUE"""),"HEAD OF WELDER")</f>
        <v>HEAD OF WELDER</v>
      </c>
      <c r="G105" s="18" t="str">
        <f>IFERROR(__xludf.DUMMYFUNCTION("""COMPUTED_VALUE"""),"WORKSHOP")</f>
        <v>WORKSHOP</v>
      </c>
      <c r="H105" s="18" t="str">
        <f>IFERROR(__xludf.DUMMYFUNCTION("""COMPUTED_VALUE"""),"2023-11-30 14.04.41")</f>
        <v>2023-11-30 14.04.41</v>
      </c>
      <c r="I105" s="18" t="str">
        <f>IFERROR(__xludf.DUMMYFUNCTION("""COMPUTED_VALUE"""),"2023-11-30 14.04.41")</f>
        <v>2023-11-30 14.04.41</v>
      </c>
      <c r="J105" s="36"/>
      <c r="K105" s="37" t="str">
        <f t="shared" si="1"/>
        <v>[105130051] BOBI YAENTU</v>
      </c>
    </row>
    <row r="106">
      <c r="A106" s="17">
        <f>IFERROR(__xludf.DUMMYFUNCTION("""COMPUTED_VALUE"""),2.01221569E8)</f>
        <v>201221569</v>
      </c>
      <c r="B106" s="18" t="str">
        <f>IFERROR(__xludf.DUMMYFUNCTION("""COMPUTED_VALUE"""),"BUNASE")</f>
        <v>BUNASE</v>
      </c>
      <c r="C106" s="18">
        <f>IFERROR(__xludf.DUMMYFUNCTION("""COMPUTED_VALUE"""),45.0)</f>
        <v>45</v>
      </c>
      <c r="D106" s="35" t="str">
        <f>IFERROR(__xludf.DUMMYFUNCTION("""COMPUTED_VALUE"""),"Islam")</f>
        <v>Islam</v>
      </c>
      <c r="E106" s="18" t="str">
        <f>IFERROR(__xludf.DUMMYFUNCTION("""COMPUTED_VALUE"""),"CV. Adil Prima Perkasa")</f>
        <v>CV. Adil Prima Perkasa</v>
      </c>
      <c r="F106" s="18" t="str">
        <f>IFERROR(__xludf.DUMMYFUNCTION("""COMPUTED_VALUE"""),"DRIVER DT H700ZY")</f>
        <v>DRIVER DT H700ZY</v>
      </c>
      <c r="G106" s="18" t="str">
        <f>IFERROR(__xludf.DUMMYFUNCTION("""COMPUTED_VALUE"""),"KENDARAAN &amp; UNIT SUPPORT")</f>
        <v>KENDARAAN &amp; UNIT SUPPORT</v>
      </c>
      <c r="H106" s="18" t="str">
        <f>IFERROR(__xludf.DUMMYFUNCTION("""COMPUTED_VALUE"""),"2024-03-31 17.21.15")</f>
        <v>2024-03-31 17.21.15</v>
      </c>
      <c r="I106" s="18" t="str">
        <f>IFERROR(__xludf.DUMMYFUNCTION("""COMPUTED_VALUE"""),"2024-03-31 17.21.15")</f>
        <v>2024-03-31 17.21.15</v>
      </c>
      <c r="J106" s="36">
        <f>IFERROR(__xludf.DUMMYFUNCTION("""COMPUTED_VALUE"""),31763.0)</f>
        <v>31763</v>
      </c>
      <c r="K106" s="37" t="str">
        <f t="shared" si="1"/>
        <v>[201221569] BUNASE</v>
      </c>
    </row>
    <row r="107">
      <c r="A107" s="17">
        <f>IFERROR(__xludf.DUMMYFUNCTION("""COMPUTED_VALUE"""),1.12191115E8)</f>
        <v>112191115</v>
      </c>
      <c r="B107" s="18" t="str">
        <f>IFERROR(__xludf.DUMMYFUNCTION("""COMPUTED_VALUE"""),"BUSMAN")</f>
        <v>BUSMAN</v>
      </c>
      <c r="C107" s="18">
        <f>IFERROR(__xludf.DUMMYFUNCTION("""COMPUTED_VALUE"""),49.0)</f>
        <v>49</v>
      </c>
      <c r="D107" s="35" t="str">
        <f>IFERROR(__xludf.DUMMYFUNCTION("""COMPUTED_VALUE"""),"Islam")</f>
        <v>Islam</v>
      </c>
      <c r="E107" s="18" t="str">
        <f>IFERROR(__xludf.DUMMYFUNCTION("""COMPUTED_VALUE"""),"CV. SENTOSA ABADI")</f>
        <v>CV. SENTOSA ABADI</v>
      </c>
      <c r="F107" s="18" t="str">
        <f>IFERROR(__xludf.DUMMYFUNCTION("""COMPUTED_VALUE"""),"DRIVER DT H700ZY")</f>
        <v>DRIVER DT H700ZY</v>
      </c>
      <c r="G107" s="18" t="str">
        <f>IFERROR(__xludf.DUMMYFUNCTION("""COMPUTED_VALUE"""),"KENDARAAN &amp; UNIT SUPPORT")</f>
        <v>KENDARAAN &amp; UNIT SUPPORT</v>
      </c>
      <c r="H107" s="18" t="str">
        <f>IFERROR(__xludf.DUMMYFUNCTION("""COMPUTED_VALUE"""),"2024-03-31 06.00.33")</f>
        <v>2024-03-31 06.00.33</v>
      </c>
      <c r="I107" s="18" t="str">
        <f>IFERROR(__xludf.DUMMYFUNCTION("""COMPUTED_VALUE"""),"2024-03-31 06.00.33")</f>
        <v>2024-03-31 06.00.33</v>
      </c>
      <c r="J107" s="36"/>
      <c r="K107" s="37" t="str">
        <f t="shared" si="1"/>
        <v>[112191115] BUSMAN</v>
      </c>
    </row>
    <row r="108">
      <c r="A108" s="17">
        <f>IFERROR(__xludf.DUMMYFUNCTION("""COMPUTED_VALUE"""),2.09150698E8)</f>
        <v>209150698</v>
      </c>
      <c r="B108" s="18" t="str">
        <f>IFERROR(__xludf.DUMMYFUNCTION("""COMPUTED_VALUE"""),"BUSTAN")</f>
        <v>BUSTAN</v>
      </c>
      <c r="C108" s="18">
        <f>IFERROR(__xludf.DUMMYFUNCTION("""COMPUTED_VALUE"""),46.0)</f>
        <v>46</v>
      </c>
      <c r="D108" s="35" t="str">
        <f>IFERROR(__xludf.DUMMYFUNCTION("""COMPUTED_VALUE"""),"Islam")</f>
        <v>Islam</v>
      </c>
      <c r="E108" s="18" t="str">
        <f>IFERROR(__xludf.DUMMYFUNCTION("""COMPUTED_VALUE"""),"CV. Adil Prima Perkasa")</f>
        <v>CV. Adil Prima Perkasa</v>
      </c>
      <c r="F108" s="18" t="str">
        <f>IFERROR(__xludf.DUMMYFUNCTION("""COMPUTED_VALUE"""),"DRIVER DT H700ZY")</f>
        <v>DRIVER DT H700ZY</v>
      </c>
      <c r="G108" s="18" t="str">
        <f>IFERROR(__xludf.DUMMYFUNCTION("""COMPUTED_VALUE"""),"KENDARAAN &amp; UNIT SUPPORT")</f>
        <v>KENDARAAN &amp; UNIT SUPPORT</v>
      </c>
      <c r="H108" s="18" t="str">
        <f>IFERROR(__xludf.DUMMYFUNCTION("""COMPUTED_VALUE"""),"2023-11-29 15.24.01")</f>
        <v>2023-11-29 15.24.01</v>
      </c>
      <c r="I108" s="18" t="str">
        <f>IFERROR(__xludf.DUMMYFUNCTION("""COMPUTED_VALUE"""),"2023-11-29 15.24.01")</f>
        <v>2023-11-29 15.24.01</v>
      </c>
      <c r="J108" s="36">
        <f>IFERROR(__xludf.DUMMYFUNCTION("""COMPUTED_VALUE"""),29512.0)</f>
        <v>29512</v>
      </c>
      <c r="K108" s="37" t="str">
        <f t="shared" si="1"/>
        <v>[209150698] BUSTAN</v>
      </c>
    </row>
    <row r="109">
      <c r="A109" s="17">
        <f>IFERROR(__xludf.DUMMYFUNCTION("""COMPUTED_VALUE"""),2.07231812E8)</f>
        <v>207231812</v>
      </c>
      <c r="B109" s="18" t="str">
        <f>IFERROR(__xludf.DUMMYFUNCTION("""COMPUTED_VALUE"""),"CHANDRA KRISTOVEL LORE")</f>
        <v>CHANDRA KRISTOVEL LORE</v>
      </c>
      <c r="C109" s="18">
        <f>IFERROR(__xludf.DUMMYFUNCTION("""COMPUTED_VALUE"""),33.0)</f>
        <v>33</v>
      </c>
      <c r="D109" s="35" t="str">
        <f>IFERROR(__xludf.DUMMYFUNCTION("""COMPUTED_VALUE"""),"Kristen Protestan")</f>
        <v>Kristen Protestan</v>
      </c>
      <c r="E109" s="18" t="str">
        <f>IFERROR(__xludf.DUMMYFUNCTION("""COMPUTED_VALUE"""),"CV. Adil Prima Perkasa")</f>
        <v>CV. Adil Prima Perkasa</v>
      </c>
      <c r="F109" s="18" t="str">
        <f>IFERROR(__xludf.DUMMYFUNCTION("""COMPUTED_VALUE"""),"DRIVER LV")</f>
        <v>DRIVER LV</v>
      </c>
      <c r="G109" s="18" t="str">
        <f>IFERROR(__xludf.DUMMYFUNCTION("""COMPUTED_VALUE"""),"KENDARAAN &amp; UNIT SUPPORT")</f>
        <v>KENDARAAN &amp; UNIT SUPPORT</v>
      </c>
      <c r="H109" s="18" t="str">
        <f>IFERROR(__xludf.DUMMYFUNCTION("""COMPUTED_VALUE"""),"2024-03-31 06.00.25")</f>
        <v>2024-03-31 06.00.25</v>
      </c>
      <c r="I109" s="18" t="str">
        <f>IFERROR(__xludf.DUMMYFUNCTION("""COMPUTED_VALUE"""),"2024-03-31 21.38.14")</f>
        <v>2024-03-31 21.38.14</v>
      </c>
      <c r="J109" s="36"/>
      <c r="K109" s="37" t="str">
        <f t="shared" si="1"/>
        <v>[207231812] CHANDRA KRISTOVEL LORE</v>
      </c>
    </row>
    <row r="110">
      <c r="A110" s="17">
        <f>IFERROR(__xludf.DUMMYFUNCTION("""COMPUTED_VALUE"""),2.05241925E8)</f>
        <v>205241925</v>
      </c>
      <c r="B110" s="18" t="str">
        <f>IFERROR(__xludf.DUMMYFUNCTION("""COMPUTED_VALUE"""),"CORNELIUS RANNU RASYD")</f>
        <v>CORNELIUS RANNU RASYD</v>
      </c>
      <c r="C110" s="18">
        <f>IFERROR(__xludf.DUMMYFUNCTION("""COMPUTED_VALUE"""),37.0)</f>
        <v>37</v>
      </c>
      <c r="D110" s="35" t="str">
        <f>IFERROR(__xludf.DUMMYFUNCTION("""COMPUTED_VALUE"""),"Kristen Protestan")</f>
        <v>Kristen Protestan</v>
      </c>
      <c r="E110" s="18" t="str">
        <f>IFERROR(__xludf.DUMMYFUNCTION("""COMPUTED_VALUE"""),"CV. Adil Prima Perkasa")</f>
        <v>CV. Adil Prima Perkasa</v>
      </c>
      <c r="F110" s="18" t="str">
        <f>IFERROR(__xludf.DUMMYFUNCTION("""COMPUTED_VALUE"""),"DRIVER DT H500")</f>
        <v>DRIVER DT H500</v>
      </c>
      <c r="G110" s="18" t="str">
        <f>IFERROR(__xludf.DUMMYFUNCTION("""COMPUTED_VALUE"""),"KENDARAAN &amp; UNIT SUPPORT")</f>
        <v>KENDARAAN &amp; UNIT SUPPORT</v>
      </c>
      <c r="H110" s="18"/>
      <c r="I110" s="18"/>
      <c r="J110" s="36"/>
      <c r="K110" s="37" t="str">
        <f t="shared" si="1"/>
        <v/>
      </c>
    </row>
    <row r="111">
      <c r="A111" s="17">
        <f>IFERROR(__xludf.DUMMYFUNCTION("""COMPUTED_VALUE"""),2.07231802E8)</f>
        <v>207231802</v>
      </c>
      <c r="B111" s="18" t="str">
        <f>IFERROR(__xludf.DUMMYFUNCTION("""COMPUTED_VALUE"""),"CRISMAN PAMUSU")</f>
        <v>CRISMAN PAMUSU</v>
      </c>
      <c r="C111" s="18">
        <f>IFERROR(__xludf.DUMMYFUNCTION("""COMPUTED_VALUE"""),22.0)</f>
        <v>22</v>
      </c>
      <c r="D111" s="35" t="str">
        <f>IFERROR(__xludf.DUMMYFUNCTION("""COMPUTED_VALUE"""),"Kristen Protestan")</f>
        <v>Kristen Protestan</v>
      </c>
      <c r="E111" s="18" t="str">
        <f>IFERROR(__xludf.DUMMYFUNCTION("""COMPUTED_VALUE"""),"CV. Adil Prima Perkasa")</f>
        <v>CV. Adil Prima Perkasa</v>
      </c>
      <c r="F111" s="18" t="str">
        <f>IFERROR(__xludf.DUMMYFUNCTION("""COMPUTED_VALUE"""),"BAGIAN UMUM")</f>
        <v>BAGIAN UMUM</v>
      </c>
      <c r="G111" s="18" t="str">
        <f>IFERROR(__xludf.DUMMYFUNCTION("""COMPUTED_VALUE"""),"HRD &amp; GA")</f>
        <v>HRD &amp; GA</v>
      </c>
      <c r="H111" s="18" t="str">
        <f>IFERROR(__xludf.DUMMYFUNCTION("""COMPUTED_VALUE"""),"2024-03-30 07.11.17")</f>
        <v>2024-03-30 07.11.17</v>
      </c>
      <c r="I111" s="18" t="str">
        <f>IFERROR(__xludf.DUMMYFUNCTION("""COMPUTED_VALUE"""),"2024-03-30 18.06.12")</f>
        <v>2024-03-30 18.06.12</v>
      </c>
      <c r="J111" s="36"/>
      <c r="K111" s="37" t="str">
        <f t="shared" si="1"/>
        <v>[207231802] CRISMAN PAMUSU</v>
      </c>
    </row>
    <row r="112">
      <c r="A112" s="17">
        <f>IFERROR(__xludf.DUMMYFUNCTION("""COMPUTED_VALUE"""),1.10211509E8)</f>
        <v>110211509</v>
      </c>
      <c r="B112" s="18" t="str">
        <f>IFERROR(__xludf.DUMMYFUNCTION("""COMPUTED_VALUE"""),"DAHLAN BIN RABBI")</f>
        <v>DAHLAN BIN RABBI</v>
      </c>
      <c r="C112" s="18">
        <f>IFERROR(__xludf.DUMMYFUNCTION("""COMPUTED_VALUE"""),46.0)</f>
        <v>46</v>
      </c>
      <c r="D112" s="35" t="str">
        <f>IFERROR(__xludf.DUMMYFUNCTION("""COMPUTED_VALUE"""),"Islam")</f>
        <v>Islam</v>
      </c>
      <c r="E112" s="18" t="str">
        <f>IFERROR(__xludf.DUMMYFUNCTION("""COMPUTED_VALUE"""),"CV. SENTOSA ABADI")</f>
        <v>CV. SENTOSA ABADI</v>
      </c>
      <c r="F112" s="18" t="str">
        <f>IFERROR(__xludf.DUMMYFUNCTION("""COMPUTED_VALUE"""),"DRIVER DT H700ZY")</f>
        <v>DRIVER DT H700ZY</v>
      </c>
      <c r="G112" s="18" t="str">
        <f>IFERROR(__xludf.DUMMYFUNCTION("""COMPUTED_VALUE"""),"KENDARAAN &amp; UNIT SUPPORT")</f>
        <v>KENDARAAN &amp; UNIT SUPPORT</v>
      </c>
      <c r="H112" s="18" t="str">
        <f>IFERROR(__xludf.DUMMYFUNCTION("""COMPUTED_VALUE"""),"2024-03-27 18.40.41")</f>
        <v>2024-03-27 18.40.41</v>
      </c>
      <c r="I112" s="18" t="str">
        <f>IFERROR(__xludf.DUMMYFUNCTION("""COMPUTED_VALUE"""),"2024-03-27 18.40.41")</f>
        <v>2024-03-27 18.40.41</v>
      </c>
      <c r="J112" s="36">
        <f>IFERROR(__xludf.DUMMYFUNCTION("""COMPUTED_VALUE"""),29428.0)</f>
        <v>29428</v>
      </c>
      <c r="K112" s="37" t="str">
        <f t="shared" si="1"/>
        <v>[110211509] DAHLAN BIN RABBI</v>
      </c>
    </row>
    <row r="113">
      <c r="A113" s="17">
        <f>IFERROR(__xludf.DUMMYFUNCTION("""COMPUTED_VALUE"""),2.08231816E8)</f>
        <v>208231816</v>
      </c>
      <c r="B113" s="18" t="str">
        <f>IFERROR(__xludf.DUMMYFUNCTION("""COMPUTED_VALUE"""),"DANDI SAPUTRA")</f>
        <v>DANDI SAPUTRA</v>
      </c>
      <c r="C113" s="18">
        <f>IFERROR(__xludf.DUMMYFUNCTION("""COMPUTED_VALUE"""),22.0)</f>
        <v>22</v>
      </c>
      <c r="D113" s="35" t="str">
        <f>IFERROR(__xludf.DUMMYFUNCTION("""COMPUTED_VALUE"""),"Islam")</f>
        <v>Islam</v>
      </c>
      <c r="E113" s="18" t="str">
        <f>IFERROR(__xludf.DUMMYFUNCTION("""COMPUTED_VALUE"""),"CV. Adil Prima Perkasa")</f>
        <v>CV. Adil Prima Perkasa</v>
      </c>
      <c r="F113" s="18" t="str">
        <f>IFERROR(__xludf.DUMMYFUNCTION("""COMPUTED_VALUE"""),"HELPER MAINTENANCE")</f>
        <v>HELPER MAINTENANCE</v>
      </c>
      <c r="G113" s="18" t="str">
        <f>IFERROR(__xludf.DUMMYFUNCTION("""COMPUTED_VALUE"""),"WORKSHOP")</f>
        <v>WORKSHOP</v>
      </c>
      <c r="H113" s="18" t="str">
        <f>IFERROR(__xludf.DUMMYFUNCTION("""COMPUTED_VALUE"""),"2023-11-29 06.00.00")</f>
        <v>2023-11-29 06.00.00</v>
      </c>
      <c r="I113" s="18" t="str">
        <f>IFERROR(__xludf.DUMMYFUNCTION("""COMPUTED_VALUE"""),"2023-11-29 22.55.27")</f>
        <v>2023-11-29 22.55.27</v>
      </c>
      <c r="J113" s="36"/>
      <c r="K113" s="37" t="str">
        <f t="shared" si="1"/>
        <v>[208231816] DANDI SAPUTRA</v>
      </c>
    </row>
    <row r="114">
      <c r="A114" s="17">
        <f>IFERROR(__xludf.DUMMYFUNCTION("""COMPUTED_VALUE"""),3.11200015E8)</f>
        <v>311200015</v>
      </c>
      <c r="B114" s="18" t="str">
        <f>IFERROR(__xludf.DUMMYFUNCTION("""COMPUTED_VALUE"""),"DANIEL BENY MANTOUW")</f>
        <v>DANIEL BENY MANTOUW</v>
      </c>
      <c r="C114" s="18">
        <f>IFERROR(__xludf.DUMMYFUNCTION("""COMPUTED_VALUE"""),51.0)</f>
        <v>51</v>
      </c>
      <c r="D114" s="35" t="str">
        <f>IFERROR(__xludf.DUMMYFUNCTION("""COMPUTED_VALUE"""),"Kristen Protestan")</f>
        <v>Kristen Protestan</v>
      </c>
      <c r="E114" s="18" t="str">
        <f>IFERROR(__xludf.DUMMYFUNCTION("""COMPUTED_VALUE"""),"CV. Monalisa")</f>
        <v>CV. Monalisa</v>
      </c>
      <c r="F114" s="18" t="str">
        <f>IFERROR(__xludf.DUMMYFUNCTION("""COMPUTED_VALUE"""),"DRIVER DT")</f>
        <v>DRIVER DT</v>
      </c>
      <c r="G114" s="18" t="str">
        <f>IFERROR(__xludf.DUMMYFUNCTION("""COMPUTED_VALUE"""),"KENDARAAN &amp; UNIT SUPPORT")</f>
        <v>KENDARAAN &amp; UNIT SUPPORT</v>
      </c>
      <c r="H114" s="18"/>
      <c r="I114" s="18"/>
      <c r="J114" s="36"/>
      <c r="K114" s="37" t="str">
        <f t="shared" si="1"/>
        <v/>
      </c>
    </row>
    <row r="115">
      <c r="A115" s="17">
        <f>IFERROR(__xludf.DUMMYFUNCTION("""COMPUTED_VALUE"""),3.01210044E8)</f>
        <v>301210044</v>
      </c>
      <c r="B115" s="18" t="str">
        <f>IFERROR(__xludf.DUMMYFUNCTION("""COMPUTED_VALUE"""),"DANIEL SAMPE TODING")</f>
        <v>DANIEL SAMPE TODING</v>
      </c>
      <c r="C115" s="18">
        <f>IFERROR(__xludf.DUMMYFUNCTION("""COMPUTED_VALUE"""),50.0)</f>
        <v>50</v>
      </c>
      <c r="D115" s="35" t="str">
        <f>IFERROR(__xludf.DUMMYFUNCTION("""COMPUTED_VALUE"""),"Kristen Protestan")</f>
        <v>Kristen Protestan</v>
      </c>
      <c r="E115" s="18" t="str">
        <f>IFERROR(__xludf.DUMMYFUNCTION("""COMPUTED_VALUE"""),"CV. Monalisa")</f>
        <v>CV. Monalisa</v>
      </c>
      <c r="F115" s="18" t="str">
        <f>IFERROR(__xludf.DUMMYFUNCTION("""COMPUTED_VALUE"""),"OPERATOR EXCAVATOR")</f>
        <v>OPERATOR EXCAVATOR</v>
      </c>
      <c r="G115" s="18" t="str">
        <f>IFERROR(__xludf.DUMMYFUNCTION("""COMPUTED_VALUE"""),"PRODUKSI")</f>
        <v>PRODUKSI</v>
      </c>
      <c r="H115" s="18" t="str">
        <f>IFERROR(__xludf.DUMMYFUNCTION("""COMPUTED_VALUE"""),"2023-11-30 04.51.34")</f>
        <v>2023-11-30 04.51.34</v>
      </c>
      <c r="I115" s="18" t="str">
        <f>IFERROR(__xludf.DUMMYFUNCTION("""COMPUTED_VALUE"""),"2023-11-30 17.05.37")</f>
        <v>2023-11-30 17.05.37</v>
      </c>
      <c r="J115" s="36">
        <f>IFERROR(__xludf.DUMMYFUNCTION("""COMPUTED_VALUE"""),30108.0)</f>
        <v>30108</v>
      </c>
      <c r="K115" s="37" t="str">
        <f t="shared" si="1"/>
        <v>[301210044] DANIEL SAMPE TODING</v>
      </c>
    </row>
    <row r="116">
      <c r="A116" s="17">
        <f>IFERROR(__xludf.DUMMYFUNCTION("""COMPUTED_VALUE"""),3.03210054E8)</f>
        <v>303210054</v>
      </c>
      <c r="B116" s="18" t="str">
        <f>IFERROR(__xludf.DUMMYFUNCTION("""COMPUTED_VALUE"""),"DANIEL TABANG")</f>
        <v>DANIEL TABANG</v>
      </c>
      <c r="C116" s="18">
        <f>IFERROR(__xludf.DUMMYFUNCTION("""COMPUTED_VALUE"""),34.0)</f>
        <v>34</v>
      </c>
      <c r="D116" s="35" t="str">
        <f>IFERROR(__xludf.DUMMYFUNCTION("""COMPUTED_VALUE"""),"Kristen Protestan")</f>
        <v>Kristen Protestan</v>
      </c>
      <c r="E116" s="18" t="str">
        <f>IFERROR(__xludf.DUMMYFUNCTION("""COMPUTED_VALUE"""),"CV. Monalisa")</f>
        <v>CV. Monalisa</v>
      </c>
      <c r="F116" s="18" t="str">
        <f>IFERROR(__xludf.DUMMYFUNCTION("""COMPUTED_VALUE"""),"DRIVER DT")</f>
        <v>DRIVER DT</v>
      </c>
      <c r="G116" s="18" t="str">
        <f>IFERROR(__xludf.DUMMYFUNCTION("""COMPUTED_VALUE"""),"KENDARAAN &amp; UNIT SUPPORT")</f>
        <v>KENDARAAN &amp; UNIT SUPPORT</v>
      </c>
      <c r="H116" s="18"/>
      <c r="I116" s="18"/>
      <c r="J116" s="36"/>
      <c r="K116" s="37" t="str">
        <f t="shared" si="1"/>
        <v/>
      </c>
    </row>
    <row r="117">
      <c r="A117" s="17">
        <f>IFERROR(__xludf.DUMMYFUNCTION("""COMPUTED_VALUE"""),2.03231733E8)</f>
        <v>203231733</v>
      </c>
      <c r="B117" s="18" t="str">
        <f>IFERROR(__xludf.DUMMYFUNCTION("""COMPUTED_VALUE"""),"DARMAN")</f>
        <v>DARMAN</v>
      </c>
      <c r="C117" s="18">
        <f>IFERROR(__xludf.DUMMYFUNCTION("""COMPUTED_VALUE"""),0.0)</f>
        <v>0</v>
      </c>
      <c r="D117" s="35"/>
      <c r="E117" s="18" t="str">
        <f>IFERROR(__xludf.DUMMYFUNCTION("""COMPUTED_VALUE"""),"CV. Adil Prima Perkasa")</f>
        <v>CV. Adil Prima Perkasa</v>
      </c>
      <c r="F117" s="18" t="str">
        <f>IFERROR(__xludf.DUMMYFUNCTION("""COMPUTED_VALUE"""),"DRIVER DT H700ZS")</f>
        <v>DRIVER DT H700ZS</v>
      </c>
      <c r="G117" s="18" t="str">
        <f>IFERROR(__xludf.DUMMYFUNCTION("""COMPUTED_VALUE"""),"KENDARAAN &amp; UNIT SUPPORT")</f>
        <v>KENDARAAN &amp; UNIT SUPPORT</v>
      </c>
      <c r="H117" s="18" t="str">
        <f>IFERROR(__xludf.DUMMYFUNCTION("""COMPUTED_VALUE"""),"2024-03-31 06.44.26")</f>
        <v>2024-03-31 06.44.26</v>
      </c>
      <c r="I117" s="18" t="str">
        <f>IFERROR(__xludf.DUMMYFUNCTION("""COMPUTED_VALUE"""),"2024-03-31 16.00.33")</f>
        <v>2024-03-31 16.00.33</v>
      </c>
      <c r="J117" s="36"/>
      <c r="K117" s="37" t="str">
        <f t="shared" si="1"/>
        <v>[203231733] DARMAN</v>
      </c>
    </row>
    <row r="118">
      <c r="A118" s="17">
        <f>IFERROR(__xludf.DUMMYFUNCTION("""COMPUTED_VALUE"""),2.08231829E8)</f>
        <v>208231829</v>
      </c>
      <c r="B118" s="18" t="str">
        <f>IFERROR(__xludf.DUMMYFUNCTION("""COMPUTED_VALUE"""),"DASNAL PUTRA LANGGARA")</f>
        <v>DASNAL PUTRA LANGGARA</v>
      </c>
      <c r="C118" s="18">
        <f>IFERROR(__xludf.DUMMYFUNCTION("""COMPUTED_VALUE"""),21.0)</f>
        <v>21</v>
      </c>
      <c r="D118" s="35" t="str">
        <f>IFERROR(__xludf.DUMMYFUNCTION("""COMPUTED_VALUE"""),"Kristen Protestan")</f>
        <v>Kristen Protestan</v>
      </c>
      <c r="E118" s="18" t="str">
        <f>IFERROR(__xludf.DUMMYFUNCTION("""COMPUTED_VALUE"""),"CV. Adil Prima Perkasa")</f>
        <v>CV. Adil Prima Perkasa</v>
      </c>
      <c r="F118" s="18" t="str">
        <f>IFERROR(__xludf.DUMMYFUNCTION("""COMPUTED_VALUE"""),"CHECKER PRODUKSI")</f>
        <v>CHECKER PRODUKSI</v>
      </c>
      <c r="G118" s="18" t="str">
        <f>IFERROR(__xludf.DUMMYFUNCTION("""COMPUTED_VALUE"""),"PRODUKSI")</f>
        <v>PRODUKSI</v>
      </c>
      <c r="H118" s="18" t="str">
        <f>IFERROR(__xludf.DUMMYFUNCTION("""COMPUTED_VALUE"""),"2023-11-30 05.56.20")</f>
        <v>2023-11-30 05.56.20</v>
      </c>
      <c r="I118" s="18" t="str">
        <f>IFERROR(__xludf.DUMMYFUNCTION("""COMPUTED_VALUE"""),"2023-11-30 05.56.20")</f>
        <v>2023-11-30 05.56.20</v>
      </c>
      <c r="J118" s="36"/>
      <c r="K118" s="37" t="str">
        <f t="shared" si="1"/>
        <v>[208231829] DASNAL PUTRA LANGGARA</v>
      </c>
    </row>
    <row r="119">
      <c r="A119" s="17">
        <f>IFERROR(__xludf.DUMMYFUNCTION("""COMPUTED_VALUE"""),2.06231778E8)</f>
        <v>206231778</v>
      </c>
      <c r="B119" s="18" t="str">
        <f>IFERROR(__xludf.DUMMYFUNCTION("""COMPUTED_VALUE"""),"DAVID")</f>
        <v>DAVID</v>
      </c>
      <c r="C119" s="18">
        <f>IFERROR(__xludf.DUMMYFUNCTION("""COMPUTED_VALUE"""),23.0)</f>
        <v>23</v>
      </c>
      <c r="D119" s="35" t="str">
        <f>IFERROR(__xludf.DUMMYFUNCTION("""COMPUTED_VALUE"""),"Kristen Protestan")</f>
        <v>Kristen Protestan</v>
      </c>
      <c r="E119" s="18" t="str">
        <f>IFERROR(__xludf.DUMMYFUNCTION("""COMPUTED_VALUE"""),"CV. Adil Prima Perkasa")</f>
        <v>CV. Adil Prima Perkasa</v>
      </c>
      <c r="F119" s="18" t="str">
        <f>IFERROR(__xludf.DUMMYFUNCTION("""COMPUTED_VALUE"""),"HELPER MECHANIC DT OTR")</f>
        <v>HELPER MECHANIC DT OTR</v>
      </c>
      <c r="G119" s="18" t="str">
        <f>IFERROR(__xludf.DUMMYFUNCTION("""COMPUTED_VALUE"""),"WORKSHOP")</f>
        <v>WORKSHOP</v>
      </c>
      <c r="H119" s="18" t="str">
        <f>IFERROR(__xludf.DUMMYFUNCTION("""COMPUTED_VALUE"""),"2023-12-29 07.12.13")</f>
        <v>2023-12-29 07.12.13</v>
      </c>
      <c r="I119" s="18" t="str">
        <f>IFERROR(__xludf.DUMMYFUNCTION("""COMPUTED_VALUE"""),"2023-12-29 07.12.13")</f>
        <v>2023-12-29 07.12.13</v>
      </c>
      <c r="J119" s="36"/>
      <c r="K119" s="37" t="str">
        <f t="shared" si="1"/>
        <v>[206231778] DAVID</v>
      </c>
    </row>
    <row r="120">
      <c r="A120" s="17">
        <f>IFERROR(__xludf.DUMMYFUNCTION("""COMPUTED_VALUE"""),1.09201221E8)</f>
        <v>109201221</v>
      </c>
      <c r="B120" s="18" t="str">
        <f>IFERROR(__xludf.DUMMYFUNCTION("""COMPUTED_VALUE"""),"DEDI YUDHA K. T")</f>
        <v>DEDI YUDHA K. T</v>
      </c>
      <c r="C120" s="18">
        <f>IFERROR(__xludf.DUMMYFUNCTION("""COMPUTED_VALUE"""),32.0)</f>
        <v>32</v>
      </c>
      <c r="D120" s="35" t="str">
        <f>IFERROR(__xludf.DUMMYFUNCTION("""COMPUTED_VALUE"""),"Kristen Protestan")</f>
        <v>Kristen Protestan</v>
      </c>
      <c r="E120" s="18" t="str">
        <f>IFERROR(__xludf.DUMMYFUNCTION("""COMPUTED_VALUE"""),"CV. SENTOSA ABADI")</f>
        <v>CV. SENTOSA ABADI</v>
      </c>
      <c r="F120" s="18" t="str">
        <f>IFERROR(__xludf.DUMMYFUNCTION("""COMPUTED_VALUE"""),"ADMIN WORKSHOP")</f>
        <v>ADMIN WORKSHOP</v>
      </c>
      <c r="G120" s="18" t="str">
        <f>IFERROR(__xludf.DUMMYFUNCTION("""COMPUTED_VALUE"""),"WORKSHOP")</f>
        <v>WORKSHOP</v>
      </c>
      <c r="H120" s="18" t="str">
        <f>IFERROR(__xludf.DUMMYFUNCTION("""COMPUTED_VALUE"""),"2023-11-30 07.03.09")</f>
        <v>2023-11-30 07.03.09</v>
      </c>
      <c r="I120" s="18" t="str">
        <f>IFERROR(__xludf.DUMMYFUNCTION("""COMPUTED_VALUE"""),"2023-11-30 21.38.44")</f>
        <v>2023-11-30 21.38.44</v>
      </c>
      <c r="J120" s="36"/>
      <c r="K120" s="37" t="str">
        <f t="shared" si="1"/>
        <v>[109201221] DEDI YUDHA K. T</v>
      </c>
    </row>
    <row r="121">
      <c r="A121" s="17">
        <f>IFERROR(__xludf.DUMMYFUNCTION("""COMPUTED_VALUE"""),2.02241911E8)</f>
        <v>202241911</v>
      </c>
      <c r="B121" s="18" t="str">
        <f>IFERROR(__xludf.DUMMYFUNCTION("""COMPUTED_VALUE"""),"DEFRI AFRIANSA RETEA")</f>
        <v>DEFRI AFRIANSA RETEA</v>
      </c>
      <c r="C121" s="18">
        <f>IFERROR(__xludf.DUMMYFUNCTION("""COMPUTED_VALUE"""),0.0)</f>
        <v>0</v>
      </c>
      <c r="D121" s="35"/>
      <c r="E121" s="18" t="str">
        <f>IFERROR(__xludf.DUMMYFUNCTION("""COMPUTED_VALUE"""),"CV. Adil Prima Perkasa")</f>
        <v>CV. Adil Prima Perkasa</v>
      </c>
      <c r="F121" s="18" t="str">
        <f>IFERROR(__xludf.DUMMYFUNCTION("""COMPUTED_VALUE"""),"HELPER TYRE")</f>
        <v>HELPER TYRE</v>
      </c>
      <c r="G121" s="18" t="str">
        <f>IFERROR(__xludf.DUMMYFUNCTION("""COMPUTED_VALUE"""),"WORKSHOP")</f>
        <v>WORKSHOP</v>
      </c>
      <c r="H121" s="18"/>
      <c r="I121" s="18"/>
      <c r="J121" s="36"/>
      <c r="K121" s="37" t="str">
        <f t="shared" si="1"/>
        <v/>
      </c>
    </row>
    <row r="122">
      <c r="A122" s="17">
        <f>IFERROR(__xludf.DUMMYFUNCTION("""COMPUTED_VALUE"""),1.04211373E8)</f>
        <v>104211373</v>
      </c>
      <c r="B122" s="18" t="str">
        <f>IFERROR(__xludf.DUMMYFUNCTION("""COMPUTED_VALUE"""),"DELVIYANTO PERUPA")</f>
        <v>DELVIYANTO PERUPA</v>
      </c>
      <c r="C122" s="18">
        <f>IFERROR(__xludf.DUMMYFUNCTION("""COMPUTED_VALUE"""),44.0)</f>
        <v>44</v>
      </c>
      <c r="D122" s="35" t="str">
        <f>IFERROR(__xludf.DUMMYFUNCTION("""COMPUTED_VALUE"""),"Kristen Protestan")</f>
        <v>Kristen Protestan</v>
      </c>
      <c r="E122" s="18" t="str">
        <f>IFERROR(__xludf.DUMMYFUNCTION("""COMPUTED_VALUE"""),"CV. SENTOSA ABADI")</f>
        <v>CV. SENTOSA ABADI</v>
      </c>
      <c r="F122" s="18" t="str">
        <f>IFERROR(__xludf.DUMMYFUNCTION("""COMPUTED_VALUE"""),"OPERATOR ADT")</f>
        <v>OPERATOR ADT</v>
      </c>
      <c r="G122" s="18" t="str">
        <f>IFERROR(__xludf.DUMMYFUNCTION("""COMPUTED_VALUE"""),"PRODUKSI")</f>
        <v>PRODUKSI</v>
      </c>
      <c r="H122" s="18" t="str">
        <f>IFERROR(__xludf.DUMMYFUNCTION("""COMPUTED_VALUE"""),"2023-11-30 05.56.28")</f>
        <v>2023-11-30 05.56.28</v>
      </c>
      <c r="I122" s="18" t="str">
        <f>IFERROR(__xludf.DUMMYFUNCTION("""COMPUTED_VALUE"""),"2023-11-30 05.56.28")</f>
        <v>2023-11-30 05.56.28</v>
      </c>
      <c r="J122" s="36">
        <f>IFERROR(__xludf.DUMMYFUNCTION("""COMPUTED_VALUE"""),38528.0)</f>
        <v>38528</v>
      </c>
      <c r="K122" s="37" t="str">
        <f t="shared" si="1"/>
        <v>[104211373] DELVIYANTO PERUPA</v>
      </c>
    </row>
    <row r="123">
      <c r="A123" s="17">
        <f>IFERROR(__xludf.DUMMYFUNCTION("""COMPUTED_VALUE"""),2.07231801E8)</f>
        <v>207231801</v>
      </c>
      <c r="B123" s="18" t="str">
        <f>IFERROR(__xludf.DUMMYFUNCTION("""COMPUTED_VALUE"""),"DENI PENGKE")</f>
        <v>DENI PENGKE</v>
      </c>
      <c r="C123" s="18">
        <f>IFERROR(__xludf.DUMMYFUNCTION("""COMPUTED_VALUE"""),38.0)</f>
        <v>38</v>
      </c>
      <c r="D123" s="35" t="str">
        <f>IFERROR(__xludf.DUMMYFUNCTION("""COMPUTED_VALUE"""),"Kristen Protestan")</f>
        <v>Kristen Protestan</v>
      </c>
      <c r="E123" s="18" t="str">
        <f>IFERROR(__xludf.DUMMYFUNCTION("""COMPUTED_VALUE"""),"CV. Adil Prima Perkasa")</f>
        <v>CV. Adil Prima Perkasa</v>
      </c>
      <c r="F123" s="18" t="str">
        <f>IFERROR(__xludf.DUMMYFUNCTION("""COMPUTED_VALUE"""),"CHECKER KENDARAAN")</f>
        <v>CHECKER KENDARAAN</v>
      </c>
      <c r="G123" s="18" t="str">
        <f>IFERROR(__xludf.DUMMYFUNCTION("""COMPUTED_VALUE"""),"KENDARAAN &amp; UNIT SUPPORT")</f>
        <v>KENDARAAN &amp; UNIT SUPPORT</v>
      </c>
      <c r="H123" s="18" t="str">
        <f>IFERROR(__xludf.DUMMYFUNCTION("""COMPUTED_VALUE"""),"2024-03-20 04.51.56")</f>
        <v>2024-03-20 04.51.56</v>
      </c>
      <c r="I123" s="18" t="str">
        <f>IFERROR(__xludf.DUMMYFUNCTION("""COMPUTED_VALUE"""),"2024-03-20 04.51.56")</f>
        <v>2024-03-20 04.51.56</v>
      </c>
      <c r="J123" s="36">
        <f>IFERROR(__xludf.DUMMYFUNCTION("""COMPUTED_VALUE"""),29790.0)</f>
        <v>29790</v>
      </c>
      <c r="K123" s="37" t="str">
        <f t="shared" si="1"/>
        <v>[207231801] DENI PENGKE</v>
      </c>
    </row>
    <row r="124">
      <c r="A124" s="17">
        <f>IFERROR(__xludf.DUMMYFUNCTION("""COMPUTED_VALUE"""),3.12200028E8)</f>
        <v>312200028</v>
      </c>
      <c r="B124" s="18" t="str">
        <f>IFERROR(__xludf.DUMMYFUNCTION("""COMPUTED_VALUE"""),"DENIEL MOSIPATE")</f>
        <v>DENIEL MOSIPATE</v>
      </c>
      <c r="C124" s="18">
        <f>IFERROR(__xludf.DUMMYFUNCTION("""COMPUTED_VALUE"""),50.0)</f>
        <v>50</v>
      </c>
      <c r="D124" s="35" t="str">
        <f>IFERROR(__xludf.DUMMYFUNCTION("""COMPUTED_VALUE"""),"Kristen Protestan")</f>
        <v>Kristen Protestan</v>
      </c>
      <c r="E124" s="18" t="str">
        <f>IFERROR(__xludf.DUMMYFUNCTION("""COMPUTED_VALUE"""),"CV. Monalisa")</f>
        <v>CV. Monalisa</v>
      </c>
      <c r="F124" s="18" t="str">
        <f>IFERROR(__xludf.DUMMYFUNCTION("""COMPUTED_VALUE"""),"DRIVER DT")</f>
        <v>DRIVER DT</v>
      </c>
      <c r="G124" s="18" t="str">
        <f>IFERROR(__xludf.DUMMYFUNCTION("""COMPUTED_VALUE"""),"KENDARAAN &amp; UNIT SUPPORT")</f>
        <v>KENDARAAN &amp; UNIT SUPPORT</v>
      </c>
      <c r="H124" s="18"/>
      <c r="I124" s="18"/>
      <c r="J124" s="36">
        <f>IFERROR(__xludf.DUMMYFUNCTION("""COMPUTED_VALUE"""),28393.0)</f>
        <v>28393</v>
      </c>
      <c r="K124" s="37" t="str">
        <f t="shared" si="1"/>
        <v/>
      </c>
    </row>
    <row r="125">
      <c r="A125" s="17">
        <f>IFERROR(__xludf.DUMMYFUNCTION("""COMPUTED_VALUE"""),1.03211354E8)</f>
        <v>103211354</v>
      </c>
      <c r="B125" s="18" t="str">
        <f>IFERROR(__xludf.DUMMYFUNCTION("""COMPUTED_VALUE"""),"DERIKSON LAUGI")</f>
        <v>DERIKSON LAUGI</v>
      </c>
      <c r="C125" s="18">
        <f>IFERROR(__xludf.DUMMYFUNCTION("""COMPUTED_VALUE"""),31.0)</f>
        <v>31</v>
      </c>
      <c r="D125" s="35" t="str">
        <f>IFERROR(__xludf.DUMMYFUNCTION("""COMPUTED_VALUE"""),"Kristen Protestan")</f>
        <v>Kristen Protestan</v>
      </c>
      <c r="E125" s="18" t="str">
        <f>IFERROR(__xludf.DUMMYFUNCTION("""COMPUTED_VALUE"""),"CV. SENTOSA ABADI")</f>
        <v>CV. SENTOSA ABADI</v>
      </c>
      <c r="F125" s="18" t="str">
        <f>IFERROR(__xludf.DUMMYFUNCTION("""COMPUTED_VALUE"""),"KOORDINATOR MAINTENANCE")</f>
        <v>KOORDINATOR MAINTENANCE</v>
      </c>
      <c r="G125" s="18" t="str">
        <f>IFERROR(__xludf.DUMMYFUNCTION("""COMPUTED_VALUE"""),"WORKSHOP")</f>
        <v>WORKSHOP</v>
      </c>
      <c r="H125" s="18" t="str">
        <f>IFERROR(__xludf.DUMMYFUNCTION("""COMPUTED_VALUE"""),"2023-11-25 04.03.38")</f>
        <v>2023-11-25 04.03.38</v>
      </c>
      <c r="I125" s="18" t="str">
        <f>IFERROR(__xludf.DUMMYFUNCTION("""COMPUTED_VALUE"""),"2023-11-25 04.03.38")</f>
        <v>2023-11-25 04.03.38</v>
      </c>
      <c r="J125" s="36"/>
      <c r="K125" s="37" t="str">
        <f t="shared" si="1"/>
        <v>[103211354] DERIKSON LAUGI</v>
      </c>
    </row>
    <row r="126">
      <c r="A126" s="17">
        <f>IFERROR(__xludf.DUMMYFUNCTION("""COMPUTED_VALUE"""),2.04241913E8)</f>
        <v>204241913</v>
      </c>
      <c r="B126" s="18" t="str">
        <f>IFERROR(__xludf.DUMMYFUNCTION("""COMPUTED_VALUE"""),"DEVERSON BUGI")</f>
        <v>DEVERSON BUGI</v>
      </c>
      <c r="C126" s="18">
        <f>IFERROR(__xludf.DUMMYFUNCTION("""COMPUTED_VALUE"""),0.0)</f>
        <v>0</v>
      </c>
      <c r="D126" s="35"/>
      <c r="E126" s="18" t="str">
        <f>IFERROR(__xludf.DUMMYFUNCTION("""COMPUTED_VALUE"""),"CV. Adil Prima Perkasa")</f>
        <v>CV. Adil Prima Perkasa</v>
      </c>
      <c r="F126" s="18" t="str">
        <f>IFERROR(__xludf.DUMMYFUNCTION("""COMPUTED_VALUE"""),"SECURITY")</f>
        <v>SECURITY</v>
      </c>
      <c r="G126" s="18" t="str">
        <f>IFERROR(__xludf.DUMMYFUNCTION("""COMPUTED_VALUE"""),"HRD &amp; GA")</f>
        <v>HRD &amp; GA</v>
      </c>
      <c r="H126" s="18"/>
      <c r="I126" s="18"/>
      <c r="J126" s="36"/>
      <c r="K126" s="37" t="str">
        <f t="shared" si="1"/>
        <v/>
      </c>
    </row>
    <row r="127">
      <c r="A127" s="17">
        <f>IFERROR(__xludf.DUMMYFUNCTION("""COMPUTED_VALUE"""),1.08221664E8)</f>
        <v>108221664</v>
      </c>
      <c r="B127" s="18" t="str">
        <f>IFERROR(__xludf.DUMMYFUNCTION("""COMPUTED_VALUE"""),"DEVI SIMAN")</f>
        <v>DEVI SIMAN</v>
      </c>
      <c r="C127" s="18">
        <f>IFERROR(__xludf.DUMMYFUNCTION("""COMPUTED_VALUE"""),45.0)</f>
        <v>45</v>
      </c>
      <c r="D127" s="35" t="str">
        <f>IFERROR(__xludf.DUMMYFUNCTION("""COMPUTED_VALUE"""),"Islam")</f>
        <v>Islam</v>
      </c>
      <c r="E127" s="18" t="str">
        <f>IFERROR(__xludf.DUMMYFUNCTION("""COMPUTED_VALUE"""),"CV. SENTOSA ABADI")</f>
        <v>CV. SENTOSA ABADI</v>
      </c>
      <c r="F127" s="18" t="str">
        <f>IFERROR(__xludf.DUMMYFUNCTION("""COMPUTED_VALUE"""),"HEAD OF SECURITY")</f>
        <v>HEAD OF SECURITY</v>
      </c>
      <c r="G127" s="18" t="str">
        <f>IFERROR(__xludf.DUMMYFUNCTION("""COMPUTED_VALUE"""),"HRD &amp; GA")</f>
        <v>HRD &amp; GA</v>
      </c>
      <c r="H127" s="18" t="str">
        <f>IFERROR(__xludf.DUMMYFUNCTION("""COMPUTED_VALUE"""),"2024-03-31 03.56.13")</f>
        <v>2024-03-31 03.56.13</v>
      </c>
      <c r="I127" s="18" t="str">
        <f>IFERROR(__xludf.DUMMYFUNCTION("""COMPUTED_VALUE"""),"2024-03-31 16.05.25")</f>
        <v>2024-03-31 16.05.25</v>
      </c>
      <c r="J127" s="36">
        <f>IFERROR(__xludf.DUMMYFUNCTION("""COMPUTED_VALUE"""),29549.0)</f>
        <v>29549</v>
      </c>
      <c r="K127" s="37" t="str">
        <f t="shared" si="1"/>
        <v>[108221664] DEVI SIMAN</v>
      </c>
    </row>
    <row r="128">
      <c r="A128" s="17">
        <f>IFERROR(__xludf.DUMMYFUNCTION("""COMPUTED_VALUE"""),2.05231757E8)</f>
        <v>205231757</v>
      </c>
      <c r="B128" s="18" t="str">
        <f>IFERROR(__xludf.DUMMYFUNCTION("""COMPUTED_VALUE"""),"DIVATD AGRISTO POLOWIWI")</f>
        <v>DIVATD AGRISTO POLOWIWI</v>
      </c>
      <c r="C128" s="18">
        <f>IFERROR(__xludf.DUMMYFUNCTION("""COMPUTED_VALUE"""),20.0)</f>
        <v>20</v>
      </c>
      <c r="D128" s="35" t="str">
        <f>IFERROR(__xludf.DUMMYFUNCTION("""COMPUTED_VALUE"""),"Kristen Protestan")</f>
        <v>Kristen Protestan</v>
      </c>
      <c r="E128" s="18" t="str">
        <f>IFERROR(__xludf.DUMMYFUNCTION("""COMPUTED_VALUE"""),"CV. Adil Prima Perkasa")</f>
        <v>CV. Adil Prima Perkasa</v>
      </c>
      <c r="F128" s="18" t="str">
        <f>IFERROR(__xludf.DUMMYFUNCTION("""COMPUTED_VALUE"""),"CHECKER PRODUKSI")</f>
        <v>CHECKER PRODUKSI</v>
      </c>
      <c r="G128" s="18" t="str">
        <f>IFERROR(__xludf.DUMMYFUNCTION("""COMPUTED_VALUE"""),"PRODUKSI")</f>
        <v>PRODUKSI</v>
      </c>
      <c r="H128" s="18" t="str">
        <f>IFERROR(__xludf.DUMMYFUNCTION("""COMPUTED_VALUE"""),"2023-11-30 05.53.38")</f>
        <v>2023-11-30 05.53.38</v>
      </c>
      <c r="I128" s="18" t="str">
        <f>IFERROR(__xludf.DUMMYFUNCTION("""COMPUTED_VALUE"""),"2023-11-30 19.30.00")</f>
        <v>2023-11-30 19.30.00</v>
      </c>
      <c r="J128" s="36"/>
      <c r="K128" s="37" t="str">
        <f t="shared" si="1"/>
        <v>[205231757] DIVATD AGRISTO POLOWIWI</v>
      </c>
    </row>
    <row r="129">
      <c r="A129" s="17">
        <f>IFERROR(__xludf.DUMMYFUNCTION("""COMPUTED_VALUE"""),2.08211463E8)</f>
        <v>208211463</v>
      </c>
      <c r="B129" s="18" t="str">
        <f>IFERROR(__xludf.DUMMYFUNCTION("""COMPUTED_VALUE"""),"DOMINGGUS")</f>
        <v>DOMINGGUS</v>
      </c>
      <c r="C129" s="18">
        <f>IFERROR(__xludf.DUMMYFUNCTION("""COMPUTED_VALUE"""),43.0)</f>
        <v>43</v>
      </c>
      <c r="D129" s="35" t="str">
        <f>IFERROR(__xludf.DUMMYFUNCTION("""COMPUTED_VALUE"""),"Kristen Protestan")</f>
        <v>Kristen Protestan</v>
      </c>
      <c r="E129" s="18" t="str">
        <f>IFERROR(__xludf.DUMMYFUNCTION("""COMPUTED_VALUE"""),"CV. Adil Prima Perkasa")</f>
        <v>CV. Adil Prima Perkasa</v>
      </c>
      <c r="F129" s="18" t="str">
        <f>IFERROR(__xludf.DUMMYFUNCTION("""COMPUTED_VALUE"""),"OPERATOR EXCAVATOR")</f>
        <v>OPERATOR EXCAVATOR</v>
      </c>
      <c r="G129" s="18" t="str">
        <f>IFERROR(__xludf.DUMMYFUNCTION("""COMPUTED_VALUE"""),"PRODUKSI")</f>
        <v>PRODUKSI</v>
      </c>
      <c r="H129" s="18" t="str">
        <f>IFERROR(__xludf.DUMMYFUNCTION("""COMPUTED_VALUE"""),"2023-11-30 05.22.56")</f>
        <v>2023-11-30 05.22.56</v>
      </c>
      <c r="I129" s="18" t="str">
        <f>IFERROR(__xludf.DUMMYFUNCTION("""COMPUTED_VALUE"""),"2023-11-30 05.22.56")</f>
        <v>2023-11-30 05.22.56</v>
      </c>
      <c r="J129" s="36"/>
      <c r="K129" s="37" t="str">
        <f t="shared" si="1"/>
        <v>[208211463] DOMINGGUS</v>
      </c>
    </row>
    <row r="130">
      <c r="A130" s="17">
        <f>IFERROR(__xludf.DUMMYFUNCTION("""COMPUTED_VALUE"""),2.04211376E8)</f>
        <v>204211376</v>
      </c>
      <c r="B130" s="18" t="str">
        <f>IFERROR(__xludf.DUMMYFUNCTION("""COMPUTED_VALUE"""),"DOMINGGUS PATIUNG")</f>
        <v>DOMINGGUS PATIUNG</v>
      </c>
      <c r="C130" s="18">
        <f>IFERROR(__xludf.DUMMYFUNCTION("""COMPUTED_VALUE"""),56.0)</f>
        <v>56</v>
      </c>
      <c r="D130" s="35" t="str">
        <f>IFERROR(__xludf.DUMMYFUNCTION("""COMPUTED_VALUE"""),"Kristen Protestan")</f>
        <v>Kristen Protestan</v>
      </c>
      <c r="E130" s="18" t="str">
        <f>IFERROR(__xludf.DUMMYFUNCTION("""COMPUTED_VALUE"""),"CV. Adil Prima Perkasa")</f>
        <v>CV. Adil Prima Perkasa</v>
      </c>
      <c r="F130" s="18" t="str">
        <f>IFERROR(__xludf.DUMMYFUNCTION("""COMPUTED_VALUE"""),"OPERATOR EXCAVATOR")</f>
        <v>OPERATOR EXCAVATOR</v>
      </c>
      <c r="G130" s="18" t="str">
        <f>IFERROR(__xludf.DUMMYFUNCTION("""COMPUTED_VALUE"""),"PRODUKSI")</f>
        <v>PRODUKSI</v>
      </c>
      <c r="H130" s="18" t="str">
        <f>IFERROR(__xludf.DUMMYFUNCTION("""COMPUTED_VALUE"""),"2023-11-30 04.19.10")</f>
        <v>2023-11-30 04.19.10</v>
      </c>
      <c r="I130" s="18" t="str">
        <f>IFERROR(__xludf.DUMMYFUNCTION("""COMPUTED_VALUE"""),"2023-11-30 16.22.38")</f>
        <v>2023-11-30 16.22.38</v>
      </c>
      <c r="J130" s="36"/>
      <c r="K130" s="37" t="str">
        <f t="shared" si="1"/>
        <v>[204211376] DOMINGGUS PATIUNG</v>
      </c>
    </row>
    <row r="131">
      <c r="A131" s="17">
        <f>IFERROR(__xludf.DUMMYFUNCTION("""COMPUTED_VALUE"""),1.03110065E8)</f>
        <v>103110065</v>
      </c>
      <c r="B131" s="18" t="str">
        <f>IFERROR(__xludf.DUMMYFUNCTION("""COMPUTED_VALUE"""),"DOMINIKUS MITEN LARANTUKAN")</f>
        <v>DOMINIKUS MITEN LARANTUKAN</v>
      </c>
      <c r="C131" s="18">
        <f>IFERROR(__xludf.DUMMYFUNCTION("""COMPUTED_VALUE"""),58.0)</f>
        <v>58</v>
      </c>
      <c r="D131" s="35" t="str">
        <f>IFERROR(__xludf.DUMMYFUNCTION("""COMPUTED_VALUE"""),"Kristen Protestan")</f>
        <v>Kristen Protestan</v>
      </c>
      <c r="E131" s="18" t="str">
        <f>IFERROR(__xludf.DUMMYFUNCTION("""COMPUTED_VALUE"""),"CV. SENTOSA ABADI")</f>
        <v>CV. SENTOSA ABADI</v>
      </c>
      <c r="F131" s="18" t="str">
        <f>IFERROR(__xludf.DUMMYFUNCTION("""COMPUTED_VALUE"""),"HEAD OF FUEL")</f>
        <v>HEAD OF FUEL</v>
      </c>
      <c r="G131" s="18" t="str">
        <f>IFERROR(__xludf.DUMMYFUNCTION("""COMPUTED_VALUE"""),"MPE")</f>
        <v>MPE</v>
      </c>
      <c r="H131" s="18" t="str">
        <f>IFERROR(__xludf.DUMMYFUNCTION("""COMPUTED_VALUE"""),"2023-10-27 23.31.29")</f>
        <v>2023-10-27 23.31.29</v>
      </c>
      <c r="I131" s="18" t="str">
        <f>IFERROR(__xludf.DUMMYFUNCTION("""COMPUTED_VALUE"""),"2023-10-27 23.31.29")</f>
        <v>2023-10-27 23.31.29</v>
      </c>
      <c r="J131" s="36"/>
      <c r="K131" s="37" t="str">
        <f t="shared" si="1"/>
        <v>[103110065] DOMINIKUS MITEN LARANTUKAN</v>
      </c>
    </row>
    <row r="132">
      <c r="A132" s="17">
        <f>IFERROR(__xludf.DUMMYFUNCTION("""COMPUTED_VALUE"""),1.12120067E8)</f>
        <v>112120067</v>
      </c>
      <c r="B132" s="18" t="str">
        <f>IFERROR(__xludf.DUMMYFUNCTION("""COMPUTED_VALUE"""),"DONI ARDIYANSAH")</f>
        <v>DONI ARDIYANSAH</v>
      </c>
      <c r="C132" s="18">
        <f>IFERROR(__xludf.DUMMYFUNCTION("""COMPUTED_VALUE"""),44.0)</f>
        <v>44</v>
      </c>
      <c r="D132" s="35" t="str">
        <f>IFERROR(__xludf.DUMMYFUNCTION("""COMPUTED_VALUE"""),"Islam")</f>
        <v>Islam</v>
      </c>
      <c r="E132" s="18" t="str">
        <f>IFERROR(__xludf.DUMMYFUNCTION("""COMPUTED_VALUE"""),"CV. SENTOSA ABADI")</f>
        <v>CV. SENTOSA ABADI</v>
      </c>
      <c r="F132" s="18" t="str">
        <f>IFERROR(__xludf.DUMMYFUNCTION("""COMPUTED_VALUE"""),"DRIVER DT H700ZY")</f>
        <v>DRIVER DT H700ZY</v>
      </c>
      <c r="G132" s="18" t="str">
        <f>IFERROR(__xludf.DUMMYFUNCTION("""COMPUTED_VALUE"""),"KENDARAAN &amp; UNIT SUPPORT")</f>
        <v>KENDARAAN &amp; UNIT SUPPORT</v>
      </c>
      <c r="H132" s="18" t="str">
        <f>IFERROR(__xludf.DUMMYFUNCTION("""COMPUTED_VALUE"""),"2023-11-30 04.48.09")</f>
        <v>2023-11-30 04.48.09</v>
      </c>
      <c r="I132" s="18" t="str">
        <f>IFERROR(__xludf.DUMMYFUNCTION("""COMPUTED_VALUE"""),"2023-11-30 04.48.09")</f>
        <v>2023-11-30 04.48.09</v>
      </c>
      <c r="J132" s="36">
        <f>IFERROR(__xludf.DUMMYFUNCTION("""COMPUTED_VALUE"""),35297.0)</f>
        <v>35297</v>
      </c>
      <c r="K132" s="37" t="str">
        <f t="shared" si="1"/>
        <v>[112120067] DONI ARDIYANSAH</v>
      </c>
    </row>
    <row r="133">
      <c r="A133" s="17">
        <f>IFERROR(__xludf.DUMMYFUNCTION("""COMPUTED_VALUE"""),2.03241899E8)</f>
        <v>203241899</v>
      </c>
      <c r="B133" s="18" t="str">
        <f>IFERROR(__xludf.DUMMYFUNCTION("""COMPUTED_VALUE"""),"DORIS TIKU PADANG")</f>
        <v>DORIS TIKU PADANG</v>
      </c>
      <c r="C133" s="18">
        <f>IFERROR(__xludf.DUMMYFUNCTION("""COMPUTED_VALUE"""),25.0)</f>
        <v>25</v>
      </c>
      <c r="D133" s="35" t="str">
        <f>IFERROR(__xludf.DUMMYFUNCTION("""COMPUTED_VALUE"""),"Kristen Protestan")</f>
        <v>Kristen Protestan</v>
      </c>
      <c r="E133" s="18" t="str">
        <f>IFERROR(__xludf.DUMMYFUNCTION("""COMPUTED_VALUE"""),"CV. Adil Prima Perkasa")</f>
        <v>CV. Adil Prima Perkasa</v>
      </c>
      <c r="F133" s="18" t="str">
        <f>IFERROR(__xludf.DUMMYFUNCTION("""COMPUTED_VALUE"""),"STAFF GA")</f>
        <v>STAFF GA</v>
      </c>
      <c r="G133" s="18" t="str">
        <f>IFERROR(__xludf.DUMMYFUNCTION("""COMPUTED_VALUE"""),"HRD &amp; GA")</f>
        <v>HRD &amp; GA</v>
      </c>
      <c r="H133" s="18" t="str">
        <f>IFERROR(__xludf.DUMMYFUNCTION("""COMPUTED_VALUE"""),"2024-03-31 06.57.57")</f>
        <v>2024-03-31 06.57.57</v>
      </c>
      <c r="I133" s="18" t="str">
        <f>IFERROR(__xludf.DUMMYFUNCTION("""COMPUTED_VALUE"""),"2024-03-31 17.02.25")</f>
        <v>2024-03-31 17.02.25</v>
      </c>
      <c r="J133" s="36"/>
      <c r="K133" s="37" t="str">
        <f t="shared" si="1"/>
        <v>[203241899] DORIS TIKU PADANG</v>
      </c>
    </row>
    <row r="134">
      <c r="A134" s="17"/>
      <c r="B134" s="18" t="str">
        <f>IFERROR(__xludf.DUMMYFUNCTION("""COMPUTED_VALUE"""),"DORIS TIKU PADANG")</f>
        <v>DORIS TIKU PADANG</v>
      </c>
      <c r="C134" s="18">
        <f>IFERROR(__xludf.DUMMYFUNCTION("""COMPUTED_VALUE"""),25.0)</f>
        <v>25</v>
      </c>
      <c r="D134" s="35"/>
      <c r="E134" s="18" t="str">
        <f>IFERROR(__xludf.DUMMYFUNCTION("""COMPUTED_VALUE"""),"CV. Adil Prima Perkasa")</f>
        <v>CV. Adil Prima Perkasa</v>
      </c>
      <c r="F134" s="18" t="str">
        <f>IFERROR(__xludf.DUMMYFUNCTION("""COMPUTED_VALUE"""),"FALSE")</f>
        <v>FALSE</v>
      </c>
      <c r="G134" s="18" t="str">
        <f>IFERROR(__xludf.DUMMYFUNCTION("""COMPUTED_VALUE"""),"HRD &amp; GA")</f>
        <v>HRD &amp; GA</v>
      </c>
      <c r="H134" s="18"/>
      <c r="I134" s="18"/>
      <c r="J134" s="36"/>
      <c r="K134" s="37" t="str">
        <f t="shared" si="1"/>
        <v/>
      </c>
    </row>
    <row r="135">
      <c r="A135" s="17">
        <f>IFERROR(__xludf.DUMMYFUNCTION("""COMPUTED_VALUE"""),2.05190879E8)</f>
        <v>205190879</v>
      </c>
      <c r="B135" s="18" t="str">
        <f>IFERROR(__xludf.DUMMYFUNCTION("""COMPUTED_VALUE"""),"DUAR KASWANDAR")</f>
        <v>DUAR KASWANDAR</v>
      </c>
      <c r="C135" s="18">
        <f>IFERROR(__xludf.DUMMYFUNCTION("""COMPUTED_VALUE"""),32.0)</f>
        <v>32</v>
      </c>
      <c r="D135" s="35" t="str">
        <f>IFERROR(__xludf.DUMMYFUNCTION("""COMPUTED_VALUE"""),"Islam")</f>
        <v>Islam</v>
      </c>
      <c r="E135" s="18" t="str">
        <f>IFERROR(__xludf.DUMMYFUNCTION("""COMPUTED_VALUE"""),"CV. Adil Prima Perkasa")</f>
        <v>CV. Adil Prima Perkasa</v>
      </c>
      <c r="F135" s="18" t="str">
        <f>IFERROR(__xludf.DUMMYFUNCTION("""COMPUTED_VALUE"""),"CHECKER KENDARAAN")</f>
        <v>CHECKER KENDARAAN</v>
      </c>
      <c r="G135" s="18" t="str">
        <f>IFERROR(__xludf.DUMMYFUNCTION("""COMPUTED_VALUE"""),"KENDARAAN &amp; UNIT SUPPORT")</f>
        <v>KENDARAAN &amp; UNIT SUPPORT</v>
      </c>
      <c r="H135" s="18" t="str">
        <f>IFERROR(__xludf.DUMMYFUNCTION("""COMPUTED_VALUE"""),"2024-03-31 05.08.03")</f>
        <v>2024-03-31 05.08.03</v>
      </c>
      <c r="I135" s="18" t="str">
        <f>IFERROR(__xludf.DUMMYFUNCTION("""COMPUTED_VALUE"""),"2024-03-31 17.48.10")</f>
        <v>2024-03-31 17.48.10</v>
      </c>
      <c r="J135" s="36"/>
      <c r="K135" s="37" t="str">
        <f t="shared" si="1"/>
        <v>[205190879] DUAR KASWANDAR</v>
      </c>
    </row>
    <row r="136">
      <c r="A136" s="17">
        <f>IFERROR(__xludf.DUMMYFUNCTION("""COMPUTED_VALUE"""),2.05231768E8)</f>
        <v>205231768</v>
      </c>
      <c r="B136" s="18" t="str">
        <f>IFERROR(__xludf.DUMMYFUNCTION("""COMPUTED_VALUE"""),"DWI RIANTO PANIDI PUTRA")</f>
        <v>DWI RIANTO PANIDI PUTRA</v>
      </c>
      <c r="C136" s="18">
        <f>IFERROR(__xludf.DUMMYFUNCTION("""COMPUTED_VALUE"""),0.0)</f>
        <v>0</v>
      </c>
      <c r="D136" s="35"/>
      <c r="E136" s="18" t="str">
        <f>IFERROR(__xludf.DUMMYFUNCTION("""COMPUTED_VALUE"""),"CV. Adil Prima Perkasa")</f>
        <v>CV. Adil Prima Perkasa</v>
      </c>
      <c r="F136" s="18" t="str">
        <f>IFERROR(__xludf.DUMMYFUNCTION("""COMPUTED_VALUE"""),"HELPER TYRE")</f>
        <v>HELPER TYRE</v>
      </c>
      <c r="G136" s="18" t="str">
        <f>IFERROR(__xludf.DUMMYFUNCTION("""COMPUTED_VALUE"""),"WORKSHOP")</f>
        <v>WORKSHOP</v>
      </c>
      <c r="H136" s="18"/>
      <c r="I136" s="18"/>
      <c r="J136" s="36"/>
      <c r="K136" s="37" t="str">
        <f t="shared" si="1"/>
        <v/>
      </c>
    </row>
    <row r="137">
      <c r="A137" s="17"/>
      <c r="B137" s="18" t="str">
        <f>IFERROR(__xludf.DUMMYFUNCTION("""COMPUTED_VALUE"""),"E")</f>
        <v>E</v>
      </c>
      <c r="C137" s="18">
        <f>IFERROR(__xludf.DUMMYFUNCTION("""COMPUTED_VALUE"""),0.0)</f>
        <v>0</v>
      </c>
      <c r="D137" s="35"/>
      <c r="E137" s="18" t="str">
        <f>IFERROR(__xludf.DUMMYFUNCTION("""COMPUTED_VALUE"""),"CV. SENTOSA ABADI")</f>
        <v>CV. SENTOSA ABADI</v>
      </c>
      <c r="F137" s="18" t="str">
        <f>IFERROR(__xludf.DUMMYFUNCTION("""COMPUTED_VALUE"""),"FALSE")</f>
        <v>FALSE</v>
      </c>
      <c r="G137" s="18" t="str">
        <f>IFERROR(__xludf.DUMMYFUNCTION("""COMPUTED_VALUE"""),"FALSE")</f>
        <v>FALSE</v>
      </c>
      <c r="H137" s="18"/>
      <c r="I137" s="18"/>
      <c r="J137" s="36"/>
      <c r="K137" s="37" t="str">
        <f t="shared" si="1"/>
        <v/>
      </c>
    </row>
    <row r="138">
      <c r="A138" s="17">
        <f>IFERROR(__xludf.DUMMYFUNCTION("""COMPUTED_VALUE"""),1.12191117E8)</f>
        <v>112191117</v>
      </c>
      <c r="B138" s="18" t="str">
        <f>IFERROR(__xludf.DUMMYFUNCTION("""COMPUTED_VALUE"""),"EDUARDUS KUTENG")</f>
        <v>EDUARDUS KUTENG</v>
      </c>
      <c r="C138" s="18">
        <f>IFERROR(__xludf.DUMMYFUNCTION("""COMPUTED_VALUE"""),33.0)</f>
        <v>33</v>
      </c>
      <c r="D138" s="35" t="str">
        <f>IFERROR(__xludf.DUMMYFUNCTION("""COMPUTED_VALUE"""),"Kristen Khatolik")</f>
        <v>Kristen Khatolik</v>
      </c>
      <c r="E138" s="18" t="str">
        <f>IFERROR(__xludf.DUMMYFUNCTION("""COMPUTED_VALUE"""),"CV. SENTOSA ABADI")</f>
        <v>CV. SENTOSA ABADI</v>
      </c>
      <c r="F138" s="18" t="str">
        <f>IFERROR(__xludf.DUMMYFUNCTION("""COMPUTED_VALUE"""),"OPERATOR ADT")</f>
        <v>OPERATOR ADT</v>
      </c>
      <c r="G138" s="18" t="str">
        <f>IFERROR(__xludf.DUMMYFUNCTION("""COMPUTED_VALUE"""),"PRODUKSI")</f>
        <v>PRODUKSI</v>
      </c>
      <c r="H138" s="18" t="str">
        <f>IFERROR(__xludf.DUMMYFUNCTION("""COMPUTED_VALUE"""),"2023-11-30 04.44.00")</f>
        <v>2023-11-30 04.44.00</v>
      </c>
      <c r="I138" s="18" t="str">
        <f>IFERROR(__xludf.DUMMYFUNCTION("""COMPUTED_VALUE"""),"2023-11-30 07.13.15")</f>
        <v>2023-11-30 07.13.15</v>
      </c>
      <c r="J138" s="36"/>
      <c r="K138" s="37" t="str">
        <f t="shared" si="1"/>
        <v>[112191117] EDUARDUS KUTENG</v>
      </c>
    </row>
    <row r="139">
      <c r="A139" s="17">
        <f>IFERROR(__xludf.DUMMYFUNCTION("""COMPUTED_VALUE"""),2.08160688E8)</f>
        <v>208160688</v>
      </c>
      <c r="B139" s="18" t="str">
        <f>IFERROR(__xludf.DUMMYFUNCTION("""COMPUTED_VALUE"""),"EDUARDUS NARANG")</f>
        <v>EDUARDUS NARANG</v>
      </c>
      <c r="C139" s="18">
        <f>IFERROR(__xludf.DUMMYFUNCTION("""COMPUTED_VALUE"""),29.0)</f>
        <v>29</v>
      </c>
      <c r="D139" s="35" t="str">
        <f>IFERROR(__xludf.DUMMYFUNCTION("""COMPUTED_VALUE"""),"Kristen Khatolik")</f>
        <v>Kristen Khatolik</v>
      </c>
      <c r="E139" s="18" t="str">
        <f>IFERROR(__xludf.DUMMYFUNCTION("""COMPUTED_VALUE"""),"CV. Adil Prima Perkasa")</f>
        <v>CV. Adil Prima Perkasa</v>
      </c>
      <c r="F139" s="18" t="str">
        <f>IFERROR(__xludf.DUMMYFUNCTION("""COMPUTED_VALUE"""),"OPERATOR COMPACTOR")</f>
        <v>OPERATOR COMPACTOR</v>
      </c>
      <c r="G139" s="18" t="str">
        <f>IFERROR(__xludf.DUMMYFUNCTION("""COMPUTED_VALUE"""),"PRODUKSI")</f>
        <v>PRODUKSI</v>
      </c>
      <c r="H139" s="18" t="str">
        <f>IFERROR(__xludf.DUMMYFUNCTION("""COMPUTED_VALUE"""),"2023-11-29 17.00.14")</f>
        <v>2023-11-29 17.00.14</v>
      </c>
      <c r="I139" s="18" t="str">
        <f>IFERROR(__xludf.DUMMYFUNCTION("""COMPUTED_VALUE"""),"2023-11-29 17.00.14")</f>
        <v>2023-11-29 17.00.14</v>
      </c>
      <c r="J139" s="36">
        <f>IFERROR(__xludf.DUMMYFUNCTION("""COMPUTED_VALUE"""),36137.0)</f>
        <v>36137</v>
      </c>
      <c r="K139" s="37" t="str">
        <f t="shared" si="1"/>
        <v>[208160688] EDUARDUS NARANG</v>
      </c>
    </row>
    <row r="140">
      <c r="A140" s="17">
        <f>IFERROR(__xludf.DUMMYFUNCTION("""COMPUTED_VALUE"""),2.07231805E8)</f>
        <v>207231805</v>
      </c>
      <c r="B140" s="18" t="str">
        <f>IFERROR(__xludf.DUMMYFUNCTION("""COMPUTED_VALUE"""),"EFENDY")</f>
        <v>EFENDY</v>
      </c>
      <c r="C140" s="18">
        <f>IFERROR(__xludf.DUMMYFUNCTION("""COMPUTED_VALUE"""),31.0)</f>
        <v>31</v>
      </c>
      <c r="D140" s="35" t="str">
        <f>IFERROR(__xludf.DUMMYFUNCTION("""COMPUTED_VALUE"""),"Kristen Protestan")</f>
        <v>Kristen Protestan</v>
      </c>
      <c r="E140" s="18" t="str">
        <f>IFERROR(__xludf.DUMMYFUNCTION("""COMPUTED_VALUE"""),"CV. Adil Prima Perkasa")</f>
        <v>CV. Adil Prima Perkasa</v>
      </c>
      <c r="F140" s="18" t="str">
        <f>IFERROR(__xludf.DUMMYFUNCTION("""COMPUTED_VALUE"""),"DRIVER LV")</f>
        <v>DRIVER LV</v>
      </c>
      <c r="G140" s="18" t="str">
        <f>IFERROR(__xludf.DUMMYFUNCTION("""COMPUTED_VALUE"""),"KENDARAAN &amp; UNIT SUPPORT")</f>
        <v>KENDARAAN &amp; UNIT SUPPORT</v>
      </c>
      <c r="H140" s="18" t="str">
        <f>IFERROR(__xludf.DUMMYFUNCTION("""COMPUTED_VALUE"""),"2024-03-31 06.47.31")</f>
        <v>2024-03-31 06.47.31</v>
      </c>
      <c r="I140" s="18" t="str">
        <f>IFERROR(__xludf.DUMMYFUNCTION("""COMPUTED_VALUE"""),"2024-03-31 21.17.19")</f>
        <v>2024-03-31 21.17.19</v>
      </c>
      <c r="J140" s="36"/>
      <c r="K140" s="37" t="str">
        <f t="shared" si="1"/>
        <v>[207231805] EFENDY</v>
      </c>
    </row>
    <row r="141">
      <c r="A141" s="17">
        <f>IFERROR(__xludf.DUMMYFUNCTION("""COMPUTED_VALUE"""),1.05211401E8)</f>
        <v>105211401</v>
      </c>
      <c r="B141" s="18" t="str">
        <f>IFERROR(__xludf.DUMMYFUNCTION("""COMPUTED_VALUE"""),"EFRAN RARE'A")</f>
        <v>EFRAN RARE'A</v>
      </c>
      <c r="C141" s="18">
        <f>IFERROR(__xludf.DUMMYFUNCTION("""COMPUTED_VALUE"""),40.0)</f>
        <v>40</v>
      </c>
      <c r="D141" s="35" t="str">
        <f>IFERROR(__xludf.DUMMYFUNCTION("""COMPUTED_VALUE"""),"Kristen Protestan")</f>
        <v>Kristen Protestan</v>
      </c>
      <c r="E141" s="18" t="str">
        <f>IFERROR(__xludf.DUMMYFUNCTION("""COMPUTED_VALUE"""),"CV. SENTOSA ABADI")</f>
        <v>CV. SENTOSA ABADI</v>
      </c>
      <c r="F141" s="18" t="str">
        <f>IFERROR(__xludf.DUMMYFUNCTION("""COMPUTED_VALUE"""),"DRIVER DT H500")</f>
        <v>DRIVER DT H500</v>
      </c>
      <c r="G141" s="18" t="str">
        <f>IFERROR(__xludf.DUMMYFUNCTION("""COMPUTED_VALUE"""),"KENDARAAN &amp; UNIT SUPPORT")</f>
        <v>KENDARAAN &amp; UNIT SUPPORT</v>
      </c>
      <c r="H141" s="18" t="str">
        <f>IFERROR(__xludf.DUMMYFUNCTION("""COMPUTED_VALUE"""),"2022-10-27 06.32.04")</f>
        <v>2022-10-27 06.32.04</v>
      </c>
      <c r="I141" s="18" t="str">
        <f>IFERROR(__xludf.DUMMYFUNCTION("""COMPUTED_VALUE"""),"2022-10-27 06.32.04")</f>
        <v>2022-10-27 06.32.04</v>
      </c>
      <c r="J141" s="36">
        <f>IFERROR(__xludf.DUMMYFUNCTION("""COMPUTED_VALUE"""),28755.0)</f>
        <v>28755</v>
      </c>
      <c r="K141" s="37" t="str">
        <f t="shared" si="1"/>
        <v>[105211401] EFRAN RARE'A</v>
      </c>
    </row>
    <row r="142">
      <c r="A142" s="17">
        <f>IFERROR(__xludf.DUMMYFUNCTION("""COMPUTED_VALUE"""),1.01190626E8)</f>
        <v>101190626</v>
      </c>
      <c r="B142" s="18" t="str">
        <f>IFERROR(__xludf.DUMMYFUNCTION("""COMPUTED_VALUE"""),"EFRONIUS TEOK")</f>
        <v>EFRONIUS TEOK</v>
      </c>
      <c r="C142" s="18">
        <f>IFERROR(__xludf.DUMMYFUNCTION("""COMPUTED_VALUE"""),26.0)</f>
        <v>26</v>
      </c>
      <c r="D142" s="35" t="str">
        <f>IFERROR(__xludf.DUMMYFUNCTION("""COMPUTED_VALUE"""),"Kristen Khatolik")</f>
        <v>Kristen Khatolik</v>
      </c>
      <c r="E142" s="18" t="str">
        <f>IFERROR(__xludf.DUMMYFUNCTION("""COMPUTED_VALUE"""),"CV. SENTOSA ABADI")</f>
        <v>CV. SENTOSA ABADI</v>
      </c>
      <c r="F142" s="18" t="str">
        <f>IFERROR(__xludf.DUMMYFUNCTION("""COMPUTED_VALUE"""),"OPERATOR EXCAVATOR")</f>
        <v>OPERATOR EXCAVATOR</v>
      </c>
      <c r="G142" s="18" t="str">
        <f>IFERROR(__xludf.DUMMYFUNCTION("""COMPUTED_VALUE"""),"PRODUKSI")</f>
        <v>PRODUKSI</v>
      </c>
      <c r="H142" s="18" t="str">
        <f>IFERROR(__xludf.DUMMYFUNCTION("""COMPUTED_VALUE"""),"2023-11-29 05.45.19")</f>
        <v>2023-11-29 05.45.19</v>
      </c>
      <c r="I142" s="18" t="str">
        <f>IFERROR(__xludf.DUMMYFUNCTION("""COMPUTED_VALUE"""),"2023-11-29 05.45.19")</f>
        <v>2023-11-29 05.45.19</v>
      </c>
      <c r="J142" s="36"/>
      <c r="K142" s="37" t="str">
        <f t="shared" si="1"/>
        <v>[101190626] EFRONIUS TEOK</v>
      </c>
    </row>
    <row r="143">
      <c r="A143" s="17">
        <f>IFERROR(__xludf.DUMMYFUNCTION("""COMPUTED_VALUE"""),1.05190864E8)</f>
        <v>105190864</v>
      </c>
      <c r="B143" s="18" t="str">
        <f>IFERROR(__xludf.DUMMYFUNCTION("""COMPUTED_VALUE"""),"EKELESIA BALIGOMBO")</f>
        <v>EKELESIA BALIGOMBO</v>
      </c>
      <c r="C143" s="18">
        <f>IFERROR(__xludf.DUMMYFUNCTION("""COMPUTED_VALUE"""),57.0)</f>
        <v>57</v>
      </c>
      <c r="D143" s="35" t="str">
        <f>IFERROR(__xludf.DUMMYFUNCTION("""COMPUTED_VALUE"""),"Kristen Protestan")</f>
        <v>Kristen Protestan</v>
      </c>
      <c r="E143" s="18" t="str">
        <f>IFERROR(__xludf.DUMMYFUNCTION("""COMPUTED_VALUE"""),"CV. SENTOSA ABADI")</f>
        <v>CV. SENTOSA ABADI</v>
      </c>
      <c r="F143" s="18" t="str">
        <f>IFERROR(__xludf.DUMMYFUNCTION("""COMPUTED_VALUE"""),"DRIVER DT H700ZY")</f>
        <v>DRIVER DT H700ZY</v>
      </c>
      <c r="G143" s="18" t="str">
        <f>IFERROR(__xludf.DUMMYFUNCTION("""COMPUTED_VALUE"""),"KENDARAAN &amp; UNIT SUPPORT")</f>
        <v>KENDARAAN &amp; UNIT SUPPORT</v>
      </c>
      <c r="H143" s="18" t="str">
        <f>IFERROR(__xludf.DUMMYFUNCTION("""COMPUTED_VALUE"""),"2024-03-31 05.10.03")</f>
        <v>2024-03-31 05.10.03</v>
      </c>
      <c r="I143" s="18" t="str">
        <f>IFERROR(__xludf.DUMMYFUNCTION("""COMPUTED_VALUE"""),"2024-03-31 15.59.59")</f>
        <v>2024-03-31 15.59.59</v>
      </c>
      <c r="J143" s="36">
        <f>IFERROR(__xludf.DUMMYFUNCTION("""COMPUTED_VALUE"""),25969.0)</f>
        <v>25969</v>
      </c>
      <c r="K143" s="37" t="str">
        <f t="shared" si="1"/>
        <v>[105190864] EKELESIA BALIGOMBO</v>
      </c>
    </row>
    <row r="144">
      <c r="A144" s="17">
        <f>IFERROR(__xludf.DUMMYFUNCTION("""COMPUTED_VALUE"""),1.12211555E8)</f>
        <v>112211555</v>
      </c>
      <c r="B144" s="18" t="str">
        <f>IFERROR(__xludf.DUMMYFUNCTION("""COMPUTED_VALUE"""),"EKI SURAHMAN")</f>
        <v>EKI SURAHMAN</v>
      </c>
      <c r="C144" s="18">
        <f>IFERROR(__xludf.DUMMYFUNCTION("""COMPUTED_VALUE"""),27.0)</f>
        <v>27</v>
      </c>
      <c r="D144" s="35" t="str">
        <f>IFERROR(__xludf.DUMMYFUNCTION("""COMPUTED_VALUE"""),"Islam")</f>
        <v>Islam</v>
      </c>
      <c r="E144" s="18" t="str">
        <f>IFERROR(__xludf.DUMMYFUNCTION("""COMPUTED_VALUE"""),"CV. SENTOSA ABADI")</f>
        <v>CV. SENTOSA ABADI</v>
      </c>
      <c r="F144" s="18" t="str">
        <f>IFERROR(__xludf.DUMMYFUNCTION("""COMPUTED_VALUE"""),"HELPER TYRE")</f>
        <v>HELPER TYRE</v>
      </c>
      <c r="G144" s="18" t="str">
        <f>IFERROR(__xludf.DUMMYFUNCTION("""COMPUTED_VALUE"""),"WORKSHOP")</f>
        <v>WORKSHOP</v>
      </c>
      <c r="H144" s="18" t="str">
        <f>IFERROR(__xludf.DUMMYFUNCTION("""COMPUTED_VALUE"""),"2023-11-30 07.09.22")</f>
        <v>2023-11-30 07.09.22</v>
      </c>
      <c r="I144" s="18" t="str">
        <f>IFERROR(__xludf.DUMMYFUNCTION("""COMPUTED_VALUE"""),"2023-11-30 19.19.01")</f>
        <v>2023-11-30 19.19.01</v>
      </c>
      <c r="J144" s="36"/>
      <c r="K144" s="37" t="str">
        <f t="shared" si="1"/>
        <v>[112211555] EKI SURAHMAN</v>
      </c>
    </row>
    <row r="145">
      <c r="A145" s="17">
        <f>IFERROR(__xludf.DUMMYFUNCTION("""COMPUTED_VALUE"""),2.10180647E8)</f>
        <v>210180647</v>
      </c>
      <c r="B145" s="18" t="str">
        <f>IFERROR(__xludf.DUMMYFUNCTION("""COMPUTED_VALUE"""),"EKKI HIDIN")</f>
        <v>EKKI HIDIN</v>
      </c>
      <c r="C145" s="18">
        <f>IFERROR(__xludf.DUMMYFUNCTION("""COMPUTED_VALUE"""),26.0)</f>
        <v>26</v>
      </c>
      <c r="D145" s="35" t="str">
        <f>IFERROR(__xludf.DUMMYFUNCTION("""COMPUTED_VALUE"""),"Islam")</f>
        <v>Islam</v>
      </c>
      <c r="E145" s="18" t="str">
        <f>IFERROR(__xludf.DUMMYFUNCTION("""COMPUTED_VALUE"""),"CV. Adil Prima Perkasa")</f>
        <v>CV. Adil Prima Perkasa</v>
      </c>
      <c r="F145" s="18" t="str">
        <f>IFERROR(__xludf.DUMMYFUNCTION("""COMPUTED_VALUE"""),"OPERATOR EXCAVATOR")</f>
        <v>OPERATOR EXCAVATOR</v>
      </c>
      <c r="G145" s="18" t="str">
        <f>IFERROR(__xludf.DUMMYFUNCTION("""COMPUTED_VALUE"""),"PRODUKSI")</f>
        <v>PRODUKSI</v>
      </c>
      <c r="H145" s="18" t="str">
        <f>IFERROR(__xludf.DUMMYFUNCTION("""COMPUTED_VALUE"""),"2023-11-30 16.55.06")</f>
        <v>2023-11-30 16.55.06</v>
      </c>
      <c r="I145" s="18" t="str">
        <f>IFERROR(__xludf.DUMMYFUNCTION("""COMPUTED_VALUE"""),"2023-11-30 16.55.06")</f>
        <v>2023-11-30 16.55.06</v>
      </c>
      <c r="J145" s="36"/>
      <c r="K145" s="37" t="str">
        <f t="shared" si="1"/>
        <v>[210180647] EKKI HIDIN</v>
      </c>
    </row>
    <row r="146">
      <c r="A146" s="17">
        <f>IFERROR(__xludf.DUMMYFUNCTION("""COMPUTED_VALUE"""),1.02150007E8)</f>
        <v>102150007</v>
      </c>
      <c r="B146" s="18" t="str">
        <f>IFERROR(__xludf.DUMMYFUNCTION("""COMPUTED_VALUE"""),"EKY SIDIK PRATAMA, ST")</f>
        <v>EKY SIDIK PRATAMA, ST</v>
      </c>
      <c r="C146" s="18">
        <f>IFERROR(__xludf.DUMMYFUNCTION("""COMPUTED_VALUE"""),35.0)</f>
        <v>35</v>
      </c>
      <c r="D146" s="35" t="str">
        <f>IFERROR(__xludf.DUMMYFUNCTION("""COMPUTED_VALUE"""),"Islam")</f>
        <v>Islam</v>
      </c>
      <c r="E146" s="18" t="str">
        <f>IFERROR(__xludf.DUMMYFUNCTION("""COMPUTED_VALUE"""),"CV. SENTOSA ABADI")</f>
        <v>CV. SENTOSA ABADI</v>
      </c>
      <c r="F146" s="18" t="str">
        <f>IFERROR(__xludf.DUMMYFUNCTION("""COMPUTED_VALUE"""),"HEAD OF PPC")</f>
        <v>HEAD OF PPC</v>
      </c>
      <c r="G146" s="18" t="str">
        <f>IFERROR(__xludf.DUMMYFUNCTION("""COMPUTED_VALUE"""),"MPE")</f>
        <v>MPE</v>
      </c>
      <c r="H146" s="18" t="str">
        <f>IFERROR(__xludf.DUMMYFUNCTION("""COMPUTED_VALUE"""),"2023-11-30 07.29.46")</f>
        <v>2023-11-30 07.29.46</v>
      </c>
      <c r="I146" s="18" t="str">
        <f>IFERROR(__xludf.DUMMYFUNCTION("""COMPUTED_VALUE"""),"2023-11-30 07.29.46")</f>
        <v>2023-11-30 07.29.46</v>
      </c>
      <c r="J146" s="36">
        <f>IFERROR(__xludf.DUMMYFUNCTION("""COMPUTED_VALUE"""),34346.0)</f>
        <v>34346</v>
      </c>
      <c r="K146" s="37" t="str">
        <f t="shared" si="1"/>
        <v>[102150007] EKY SIDIK PRATAMA, ST</v>
      </c>
    </row>
    <row r="147">
      <c r="A147" s="17"/>
      <c r="B147" s="18" t="str">
        <f>IFERROR(__xludf.DUMMYFUNCTION("""COMPUTED_VALUE"""),"EL YASIB SAMAILI")</f>
        <v>EL YASIB SAMAILI</v>
      </c>
      <c r="C147" s="18">
        <f>IFERROR(__xludf.DUMMYFUNCTION("""COMPUTED_VALUE"""),0.0)</f>
        <v>0</v>
      </c>
      <c r="D147" s="35"/>
      <c r="E147" s="18" t="str">
        <f>IFERROR(__xludf.DUMMYFUNCTION("""COMPUTED_VALUE"""),"CV. Monalisa")</f>
        <v>CV. Monalisa</v>
      </c>
      <c r="F147" s="18" t="str">
        <f>IFERROR(__xludf.DUMMYFUNCTION("""COMPUTED_VALUE"""),"FALSE")</f>
        <v>FALSE</v>
      </c>
      <c r="G147" s="18" t="str">
        <f>IFERROR(__xludf.DUMMYFUNCTION("""COMPUTED_VALUE"""),"FINANCE")</f>
        <v>FINANCE</v>
      </c>
      <c r="H147" s="18"/>
      <c r="I147" s="18"/>
      <c r="J147" s="36"/>
      <c r="K147" s="37" t="str">
        <f t="shared" si="1"/>
        <v/>
      </c>
    </row>
    <row r="148">
      <c r="A148" s="17">
        <f>IFERROR(__xludf.DUMMYFUNCTION("""COMPUTED_VALUE"""),1.11231853E8)</f>
        <v>111231853</v>
      </c>
      <c r="B148" s="18" t="str">
        <f>IFERROR(__xludf.DUMMYFUNCTION("""COMPUTED_VALUE"""),"ELIM SIMON BIU")</f>
        <v>ELIM SIMON BIU</v>
      </c>
      <c r="C148" s="18">
        <f>IFERROR(__xludf.DUMMYFUNCTION("""COMPUTED_VALUE"""),42.0)</f>
        <v>42</v>
      </c>
      <c r="D148" s="35" t="str">
        <f>IFERROR(__xludf.DUMMYFUNCTION("""COMPUTED_VALUE"""),"Kristen Protestan")</f>
        <v>Kristen Protestan</v>
      </c>
      <c r="E148" s="18" t="str">
        <f>IFERROR(__xludf.DUMMYFUNCTION("""COMPUTED_VALUE"""),"CV. SENTOSA ABADI")</f>
        <v>CV. SENTOSA ABADI</v>
      </c>
      <c r="F148" s="18" t="str">
        <f>IFERROR(__xludf.DUMMYFUNCTION("""COMPUTED_VALUE"""),"DRIVER DT H500")</f>
        <v>DRIVER DT H500</v>
      </c>
      <c r="G148" s="18" t="str">
        <f>IFERROR(__xludf.DUMMYFUNCTION("""COMPUTED_VALUE"""),"KENDARAAN &amp; UNIT SUPPORT")</f>
        <v>KENDARAAN &amp; UNIT SUPPORT</v>
      </c>
      <c r="H148" s="18" t="str">
        <f>IFERROR(__xludf.DUMMYFUNCTION("""COMPUTED_VALUE"""),"2024-03-28 06.30.12")</f>
        <v>2024-03-28 06.30.12</v>
      </c>
      <c r="I148" s="18" t="str">
        <f>IFERROR(__xludf.DUMMYFUNCTION("""COMPUTED_VALUE"""),"2024-03-28 16.55.19")</f>
        <v>2024-03-28 16.55.19</v>
      </c>
      <c r="J148" s="36"/>
      <c r="K148" s="37" t="str">
        <f t="shared" si="1"/>
        <v>[111231853] ELIM SIMON BIU</v>
      </c>
    </row>
    <row r="149">
      <c r="A149" s="17">
        <f>IFERROR(__xludf.DUMMYFUNCTION("""COMPUTED_VALUE"""),2.07201163E8)</f>
        <v>207201163</v>
      </c>
      <c r="B149" s="18" t="str">
        <f>IFERROR(__xludf.DUMMYFUNCTION("""COMPUTED_VALUE"""),"ELSA SABE")</f>
        <v>ELSA SABE</v>
      </c>
      <c r="C149" s="18">
        <f>IFERROR(__xludf.DUMMYFUNCTION("""COMPUTED_VALUE"""),31.0)</f>
        <v>31</v>
      </c>
      <c r="D149" s="35" t="str">
        <f>IFERROR(__xludf.DUMMYFUNCTION("""COMPUTED_VALUE"""),"Kristen Protestan")</f>
        <v>Kristen Protestan</v>
      </c>
      <c r="E149" s="18" t="str">
        <f>IFERROR(__xludf.DUMMYFUNCTION("""COMPUTED_VALUE"""),"CV. Adil Prima Perkasa")</f>
        <v>CV. Adil Prima Perkasa</v>
      </c>
      <c r="F149" s="18" t="str">
        <f>IFERROR(__xludf.DUMMYFUNCTION("""COMPUTED_VALUE"""),"OPERATOR EXCAVATOR")</f>
        <v>OPERATOR EXCAVATOR</v>
      </c>
      <c r="G149" s="18" t="str">
        <f>IFERROR(__xludf.DUMMYFUNCTION("""COMPUTED_VALUE"""),"PRODUKSI")</f>
        <v>PRODUKSI</v>
      </c>
      <c r="H149" s="18" t="str">
        <f>IFERROR(__xludf.DUMMYFUNCTION("""COMPUTED_VALUE"""),"2023-11-30 04.59.23")</f>
        <v>2023-11-30 04.59.23</v>
      </c>
      <c r="I149" s="18" t="str">
        <f>IFERROR(__xludf.DUMMYFUNCTION("""COMPUTED_VALUE"""),"2023-11-30 16.55.28")</f>
        <v>2023-11-30 16.55.28</v>
      </c>
      <c r="J149" s="36">
        <f>IFERROR(__xludf.DUMMYFUNCTION("""COMPUTED_VALUE"""),44663.0)</f>
        <v>44663</v>
      </c>
      <c r="K149" s="37" t="str">
        <f t="shared" si="1"/>
        <v>[207201163] ELSA SABE</v>
      </c>
    </row>
    <row r="150">
      <c r="A150" s="17">
        <f>IFERROR(__xludf.DUMMYFUNCTION("""COMPUTED_VALUE"""),1.02201134E8)</f>
        <v>102201134</v>
      </c>
      <c r="B150" s="18" t="str">
        <f>IFERROR(__xludf.DUMMYFUNCTION("""COMPUTED_VALUE"""),"EMMA FEBRIANTI SINU")</f>
        <v>EMMA FEBRIANTI SINU</v>
      </c>
      <c r="C150" s="18">
        <f>IFERROR(__xludf.DUMMYFUNCTION("""COMPUTED_VALUE"""),37.0)</f>
        <v>37</v>
      </c>
      <c r="D150" s="35" t="str">
        <f>IFERROR(__xludf.DUMMYFUNCTION("""COMPUTED_VALUE"""),"Kristen Protestan")</f>
        <v>Kristen Protestan</v>
      </c>
      <c r="E150" s="18" t="str">
        <f>IFERROR(__xludf.DUMMYFUNCTION("""COMPUTED_VALUE"""),"CV. SENTOSA ABADI")</f>
        <v>CV. SENTOSA ABADI</v>
      </c>
      <c r="F150" s="18" t="str">
        <f>IFERROR(__xludf.DUMMYFUNCTION("""COMPUTED_VALUE"""),"STOCKER")</f>
        <v>STOCKER</v>
      </c>
      <c r="G150" s="18" t="str">
        <f>IFERROR(__xludf.DUMMYFUNCTION("""COMPUTED_VALUE"""),"HRD &amp; GA")</f>
        <v>HRD &amp; GA</v>
      </c>
      <c r="H150" s="18" t="str">
        <f>IFERROR(__xludf.DUMMYFUNCTION("""COMPUTED_VALUE"""),"2024-03-31 06.47.16")</f>
        <v>2024-03-31 06.47.16</v>
      </c>
      <c r="I150" s="18" t="str">
        <f>IFERROR(__xludf.DUMMYFUNCTION("""COMPUTED_VALUE"""),"2024-03-31 19.03.05")</f>
        <v>2024-03-31 19.03.05</v>
      </c>
      <c r="J150" s="36"/>
      <c r="K150" s="37" t="str">
        <f t="shared" si="1"/>
        <v>[102201134] EMMA FEBRIANTI SINU</v>
      </c>
    </row>
    <row r="151">
      <c r="A151" s="17">
        <f>IFERROR(__xludf.DUMMYFUNCTION("""COMPUTED_VALUE"""),1.11160071E8)</f>
        <v>111160071</v>
      </c>
      <c r="B151" s="18" t="str">
        <f>IFERROR(__xludf.DUMMYFUNCTION("""COMPUTED_VALUE"""),"EMMY")</f>
        <v>EMMY</v>
      </c>
      <c r="C151" s="18">
        <f>IFERROR(__xludf.DUMMYFUNCTION("""COMPUTED_VALUE"""),58.0)</f>
        <v>58</v>
      </c>
      <c r="D151" s="35" t="str">
        <f>IFERROR(__xludf.DUMMYFUNCTION("""COMPUTED_VALUE"""),"Kristen Protestan")</f>
        <v>Kristen Protestan</v>
      </c>
      <c r="E151" s="18" t="str">
        <f>IFERROR(__xludf.DUMMYFUNCTION("""COMPUTED_VALUE"""),"CV. SENTOSA ABADI")</f>
        <v>CV. SENTOSA ABADI</v>
      </c>
      <c r="F151" s="18" t="str">
        <f>IFERROR(__xludf.DUMMYFUNCTION("""COMPUTED_VALUE"""),"OPERATOR COMPACTOR")</f>
        <v>OPERATOR COMPACTOR</v>
      </c>
      <c r="G151" s="18" t="str">
        <f>IFERROR(__xludf.DUMMYFUNCTION("""COMPUTED_VALUE"""),"PRODUKSI")</f>
        <v>PRODUKSI</v>
      </c>
      <c r="H151" s="18" t="str">
        <f>IFERROR(__xludf.DUMMYFUNCTION("""COMPUTED_VALUE"""),"2023-03-23 04.31.53")</f>
        <v>2023-03-23 04.31.53</v>
      </c>
      <c r="I151" s="18" t="str">
        <f>IFERROR(__xludf.DUMMYFUNCTION("""COMPUTED_VALUE"""),"2023-03-23 04.31.53")</f>
        <v>2023-03-23 04.31.53</v>
      </c>
      <c r="J151" s="36">
        <f>IFERROR(__xludf.DUMMYFUNCTION("""COMPUTED_VALUE"""),25070.0)</f>
        <v>25070</v>
      </c>
      <c r="K151" s="37" t="str">
        <f t="shared" si="1"/>
        <v>[111160071] EMMY</v>
      </c>
    </row>
    <row r="152">
      <c r="A152" s="17">
        <f>IFERROR(__xludf.DUMMYFUNCTION("""COMPUTED_VALUE"""),2.04241912E8)</f>
        <v>204241912</v>
      </c>
      <c r="B152" s="18" t="str">
        <f>IFERROR(__xludf.DUMMYFUNCTION("""COMPUTED_VALUE"""),"ENAL TOLIMBA")</f>
        <v>ENAL TOLIMBA</v>
      </c>
      <c r="C152" s="18">
        <f>IFERROR(__xludf.DUMMYFUNCTION("""COMPUTED_VALUE"""),0.0)</f>
        <v>0</v>
      </c>
      <c r="D152" s="35"/>
      <c r="E152" s="18" t="str">
        <f>IFERROR(__xludf.DUMMYFUNCTION("""COMPUTED_VALUE"""),"CV. Adil Prima Perkasa")</f>
        <v>CV. Adil Prima Perkasa</v>
      </c>
      <c r="F152" s="18" t="str">
        <f>IFERROR(__xludf.DUMMYFUNCTION("""COMPUTED_VALUE"""),"SECURITY")</f>
        <v>SECURITY</v>
      </c>
      <c r="G152" s="18" t="str">
        <f>IFERROR(__xludf.DUMMYFUNCTION("""COMPUTED_VALUE"""),"HRD &amp; GA")</f>
        <v>HRD &amp; GA</v>
      </c>
      <c r="H152" s="18"/>
      <c r="I152" s="18"/>
      <c r="J152" s="36"/>
      <c r="K152" s="37" t="str">
        <f t="shared" si="1"/>
        <v/>
      </c>
    </row>
    <row r="153">
      <c r="A153" s="17">
        <f>IFERROR(__xludf.DUMMYFUNCTION("""COMPUTED_VALUE"""),1.08191037E8)</f>
        <v>108191037</v>
      </c>
      <c r="B153" s="18" t="str">
        <f>IFERROR(__xludf.DUMMYFUNCTION("""COMPUTED_VALUE"""),"ERNIE FRISLIA")</f>
        <v>ERNIE FRISLIA</v>
      </c>
      <c r="C153" s="18">
        <f>IFERROR(__xludf.DUMMYFUNCTION("""COMPUTED_VALUE"""),43.0)</f>
        <v>43</v>
      </c>
      <c r="D153" s="35" t="str">
        <f>IFERROR(__xludf.DUMMYFUNCTION("""COMPUTED_VALUE"""),"Kristen Protestan")</f>
        <v>Kristen Protestan</v>
      </c>
      <c r="E153" s="18" t="str">
        <f>IFERROR(__xludf.DUMMYFUNCTION("""COMPUTED_VALUE"""),"CV. SENTOSA ABADI")</f>
        <v>CV. SENTOSA ABADI</v>
      </c>
      <c r="F153" s="18" t="str">
        <f>IFERROR(__xludf.DUMMYFUNCTION("""COMPUTED_VALUE"""),"HEAD OF HRGA")</f>
        <v>HEAD OF HRGA</v>
      </c>
      <c r="G153" s="18" t="str">
        <f>IFERROR(__xludf.DUMMYFUNCTION("""COMPUTED_VALUE"""),"HRD &amp; GA")</f>
        <v>HRD &amp; GA</v>
      </c>
      <c r="H153" s="18" t="str">
        <f>IFERROR(__xludf.DUMMYFUNCTION("""COMPUTED_VALUE"""),"2024-03-31 07.26.56")</f>
        <v>2024-03-31 07.26.56</v>
      </c>
      <c r="I153" s="18" t="str">
        <f>IFERROR(__xludf.DUMMYFUNCTION("""COMPUTED_VALUE"""),"2024-03-31 17.56.19")</f>
        <v>2024-03-31 17.56.19</v>
      </c>
      <c r="J153" s="36"/>
      <c r="K153" s="37" t="str">
        <f t="shared" si="1"/>
        <v>[108191037] ERNIE FRISLIA</v>
      </c>
    </row>
    <row r="154">
      <c r="A154" s="17">
        <f>IFERROR(__xludf.DUMMYFUNCTION("""COMPUTED_VALUE"""),1.03201137E8)</f>
        <v>103201137</v>
      </c>
      <c r="B154" s="18" t="str">
        <f>IFERROR(__xludf.DUMMYFUNCTION("""COMPUTED_VALUE"""),"ERNUS ESAN")</f>
        <v>ERNUS ESAN</v>
      </c>
      <c r="C154" s="18">
        <f>IFERROR(__xludf.DUMMYFUNCTION("""COMPUTED_VALUE"""),32.0)</f>
        <v>32</v>
      </c>
      <c r="D154" s="35" t="str">
        <f>IFERROR(__xludf.DUMMYFUNCTION("""COMPUTED_VALUE"""),"Kristen Khatolik")</f>
        <v>Kristen Khatolik</v>
      </c>
      <c r="E154" s="18" t="str">
        <f>IFERROR(__xludf.DUMMYFUNCTION("""COMPUTED_VALUE"""),"CV. SENTOSA ABADI")</f>
        <v>CV. SENTOSA ABADI</v>
      </c>
      <c r="F154" s="18" t="str">
        <f>IFERROR(__xludf.DUMMYFUNCTION("""COMPUTED_VALUE"""),"OPERATOR BULLDOZER")</f>
        <v>OPERATOR BULLDOZER</v>
      </c>
      <c r="G154" s="18" t="str">
        <f>IFERROR(__xludf.DUMMYFUNCTION("""COMPUTED_VALUE"""),"PRODUKSI")</f>
        <v>PRODUKSI</v>
      </c>
      <c r="H154" s="18" t="str">
        <f>IFERROR(__xludf.DUMMYFUNCTION("""COMPUTED_VALUE"""),"2023-11-26 16.27.31")</f>
        <v>2023-11-26 16.27.31</v>
      </c>
      <c r="I154" s="18" t="str">
        <f>IFERROR(__xludf.DUMMYFUNCTION("""COMPUTED_VALUE"""),"2023-11-26 16.27.31")</f>
        <v>2023-11-26 16.27.31</v>
      </c>
      <c r="J154" s="36">
        <f>IFERROR(__xludf.DUMMYFUNCTION("""COMPUTED_VALUE"""),34459.0)</f>
        <v>34459</v>
      </c>
      <c r="K154" s="37" t="str">
        <f t="shared" si="1"/>
        <v>[103201137] ERNUS ESAN</v>
      </c>
    </row>
    <row r="155">
      <c r="A155" s="17">
        <f>IFERROR(__xludf.DUMMYFUNCTION("""COMPUTED_VALUE"""),2.03241896E8)</f>
        <v>203241896</v>
      </c>
      <c r="B155" s="18" t="str">
        <f>IFERROR(__xludf.DUMMYFUNCTION("""COMPUTED_VALUE"""),"ERWIN")</f>
        <v>ERWIN</v>
      </c>
      <c r="C155" s="18">
        <f>IFERROR(__xludf.DUMMYFUNCTION("""COMPUTED_VALUE"""),0.0)</f>
        <v>0</v>
      </c>
      <c r="D155" s="35"/>
      <c r="E155" s="18" t="str">
        <f>IFERROR(__xludf.DUMMYFUNCTION("""COMPUTED_VALUE"""),"CV. Adil Prima Perkasa")</f>
        <v>CV. Adil Prima Perkasa</v>
      </c>
      <c r="F155" s="18" t="str">
        <f>IFERROR(__xludf.DUMMYFUNCTION("""COMPUTED_VALUE"""),"FALSE")</f>
        <v>FALSE</v>
      </c>
      <c r="G155" s="18" t="str">
        <f>IFERROR(__xludf.DUMMYFUNCTION("""COMPUTED_VALUE"""),"KENDARAAN &amp; UNIT SUPPORT")</f>
        <v>KENDARAAN &amp; UNIT SUPPORT</v>
      </c>
      <c r="H155" s="18" t="str">
        <f>IFERROR(__xludf.DUMMYFUNCTION("""COMPUTED_VALUE"""),"2024-03-31 05.59.31")</f>
        <v>2024-03-31 05.59.31</v>
      </c>
      <c r="I155" s="18" t="str">
        <f>IFERROR(__xludf.DUMMYFUNCTION("""COMPUTED_VALUE"""),"2024-03-31 18.44.23")</f>
        <v>2024-03-31 18.44.23</v>
      </c>
      <c r="J155" s="36"/>
      <c r="K155" s="37" t="str">
        <f t="shared" si="1"/>
        <v>[203241896] ERWIN</v>
      </c>
    </row>
    <row r="156">
      <c r="A156" s="17">
        <f>IFERROR(__xludf.DUMMYFUNCTION("""COMPUTED_VALUE"""),1.01190758E8)</f>
        <v>101190758</v>
      </c>
      <c r="B156" s="18" t="str">
        <f>IFERROR(__xludf.DUMMYFUNCTION("""COMPUTED_VALUE"""),"ERWIN PASALI")</f>
        <v>ERWIN PASALI</v>
      </c>
      <c r="C156" s="18">
        <f>IFERROR(__xludf.DUMMYFUNCTION("""COMPUTED_VALUE"""),0.0)</f>
        <v>0</v>
      </c>
      <c r="D156" s="35"/>
      <c r="E156" s="18" t="str">
        <f>IFERROR(__xludf.DUMMYFUNCTION("""COMPUTED_VALUE"""),"CV. SENTOSA ABADI")</f>
        <v>CV. SENTOSA ABADI</v>
      </c>
      <c r="F156" s="18" t="str">
        <f>IFERROR(__xludf.DUMMYFUNCTION("""COMPUTED_VALUE"""),"HEAD OF HRGA")</f>
        <v>HEAD OF HRGA</v>
      </c>
      <c r="G156" s="18" t="str">
        <f>IFERROR(__xludf.DUMMYFUNCTION("""COMPUTED_VALUE"""),"HRD &amp; GA")</f>
        <v>HRD &amp; GA</v>
      </c>
      <c r="H156" s="18" t="str">
        <f>IFERROR(__xludf.DUMMYFUNCTION("""COMPUTED_VALUE"""),"2022-03-23 05.17.22")</f>
        <v>2022-03-23 05.17.22</v>
      </c>
      <c r="I156" s="18" t="str">
        <f>IFERROR(__xludf.DUMMYFUNCTION("""COMPUTED_VALUE"""),"2022-03-23 05.17.22")</f>
        <v>2022-03-23 05.17.22</v>
      </c>
      <c r="J156" s="36"/>
      <c r="K156" s="37" t="str">
        <f t="shared" si="1"/>
        <v>[101190758] ERWIN PASALI</v>
      </c>
    </row>
    <row r="157">
      <c r="A157" s="17">
        <f>IFERROR(__xludf.DUMMYFUNCTION("""COMPUTED_VALUE"""),1.02150008E8)</f>
        <v>102150008</v>
      </c>
      <c r="B157" s="18" t="str">
        <f>IFERROR(__xludf.DUMMYFUNCTION("""COMPUTED_VALUE"""),"ERWIN SAPA")</f>
        <v>ERWIN SAPA</v>
      </c>
      <c r="C157" s="18">
        <f>IFERROR(__xludf.DUMMYFUNCTION("""COMPUTED_VALUE"""),38.0)</f>
        <v>38</v>
      </c>
      <c r="D157" s="35" t="str">
        <f>IFERROR(__xludf.DUMMYFUNCTION("""COMPUTED_VALUE"""),"Islam")</f>
        <v>Islam</v>
      </c>
      <c r="E157" s="18" t="str">
        <f>IFERROR(__xludf.DUMMYFUNCTION("""COMPUTED_VALUE"""),"CV. SENTOSA ABADI")</f>
        <v>CV. SENTOSA ABADI</v>
      </c>
      <c r="F157" s="18" t="str">
        <f>IFERROR(__xludf.DUMMYFUNCTION("""COMPUTED_VALUE"""),"FIELD ENGINEERING")</f>
        <v>FIELD ENGINEERING</v>
      </c>
      <c r="G157" s="18" t="str">
        <f>IFERROR(__xludf.DUMMYFUNCTION("""COMPUTED_VALUE"""),"MPE")</f>
        <v>MPE</v>
      </c>
      <c r="H157" s="18" t="str">
        <f>IFERROR(__xludf.DUMMYFUNCTION("""COMPUTED_VALUE"""),"2023-11-30 07.41.33")</f>
        <v>2023-11-30 07.41.33</v>
      </c>
      <c r="I157" s="18" t="str">
        <f>IFERROR(__xludf.DUMMYFUNCTION("""COMPUTED_VALUE"""),"2023-11-30 17.09.57")</f>
        <v>2023-11-30 17.09.57</v>
      </c>
      <c r="J157" s="36">
        <f>IFERROR(__xludf.DUMMYFUNCTION("""COMPUTED_VALUE"""),33832.0)</f>
        <v>33832</v>
      </c>
      <c r="K157" s="37" t="str">
        <f t="shared" si="1"/>
        <v>[102150008] ERWIN SAPA</v>
      </c>
    </row>
    <row r="158">
      <c r="A158" s="17">
        <f>IFERROR(__xludf.DUMMYFUNCTION("""COMPUTED_VALUE"""),2.11201294E8)</f>
        <v>211201294</v>
      </c>
      <c r="B158" s="18" t="str">
        <f>IFERROR(__xludf.DUMMYFUNCTION("""COMPUTED_VALUE"""),"ERWINSYAH LAMBEJA")</f>
        <v>ERWINSYAH LAMBEJA</v>
      </c>
      <c r="C158" s="18">
        <f>IFERROR(__xludf.DUMMYFUNCTION("""COMPUTED_VALUE"""),28.0)</f>
        <v>28</v>
      </c>
      <c r="D158" s="35" t="str">
        <f>IFERROR(__xludf.DUMMYFUNCTION("""COMPUTED_VALUE"""),"Islam")</f>
        <v>Islam</v>
      </c>
      <c r="E158" s="18" t="str">
        <f>IFERROR(__xludf.DUMMYFUNCTION("""COMPUTED_VALUE"""),"CV. Adil Prima Perkasa")</f>
        <v>CV. Adil Prima Perkasa</v>
      </c>
      <c r="F158" s="18" t="str">
        <f>IFERROR(__xludf.DUMMYFUNCTION("""COMPUTED_VALUE"""),"FOREMAN GRADE CONTROL")</f>
        <v>FOREMAN GRADE CONTROL</v>
      </c>
      <c r="G158" s="18" t="str">
        <f>IFERROR(__xludf.DUMMYFUNCTION("""COMPUTED_VALUE"""),"GRADE CONTROL")</f>
        <v>GRADE CONTROL</v>
      </c>
      <c r="H158" s="18" t="str">
        <f>IFERROR(__xludf.DUMMYFUNCTION("""COMPUTED_VALUE"""),"2023-11-30 06.48.20")</f>
        <v>2023-11-30 06.48.20</v>
      </c>
      <c r="I158" s="18" t="str">
        <f>IFERROR(__xludf.DUMMYFUNCTION("""COMPUTED_VALUE"""),"2023-11-30 06.48.20")</f>
        <v>2023-11-30 06.48.20</v>
      </c>
      <c r="J158" s="36"/>
      <c r="K158" s="37" t="str">
        <f t="shared" si="1"/>
        <v>[211201294] ERWINSYAH LAMBEJA</v>
      </c>
    </row>
    <row r="159">
      <c r="A159" s="17">
        <f>IFERROR(__xludf.DUMMYFUNCTION("""COMPUTED_VALUE"""),2.08191034E8)</f>
        <v>208191034</v>
      </c>
      <c r="B159" s="18" t="str">
        <f>IFERROR(__xludf.DUMMYFUNCTION("""COMPUTED_VALUE"""),"EVANTINUS IRWANDI MAHAL")</f>
        <v>EVANTINUS IRWANDI MAHAL</v>
      </c>
      <c r="C159" s="18">
        <f>IFERROR(__xludf.DUMMYFUNCTION("""COMPUTED_VALUE"""),25.0)</f>
        <v>25</v>
      </c>
      <c r="D159" s="35" t="str">
        <f>IFERROR(__xludf.DUMMYFUNCTION("""COMPUTED_VALUE"""),"Kristen Khatolik")</f>
        <v>Kristen Khatolik</v>
      </c>
      <c r="E159" s="18" t="str">
        <f>IFERROR(__xludf.DUMMYFUNCTION("""COMPUTED_VALUE"""),"CV. Adil Prima Perkasa")</f>
        <v>CV. Adil Prima Perkasa</v>
      </c>
      <c r="F159" s="18" t="str">
        <f>IFERROR(__xludf.DUMMYFUNCTION("""COMPUTED_VALUE"""),"OPERATOR EXCAVATOR")</f>
        <v>OPERATOR EXCAVATOR</v>
      </c>
      <c r="G159" s="18" t="str">
        <f>IFERROR(__xludf.DUMMYFUNCTION("""COMPUTED_VALUE"""),"PRODUKSI")</f>
        <v>PRODUKSI</v>
      </c>
      <c r="H159" s="18" t="str">
        <f>IFERROR(__xludf.DUMMYFUNCTION("""COMPUTED_VALUE"""),"2023-11-28 21.52.53")</f>
        <v>2023-11-28 21.52.53</v>
      </c>
      <c r="I159" s="18" t="str">
        <f>IFERROR(__xludf.DUMMYFUNCTION("""COMPUTED_VALUE"""),"2023-11-28 21.52.53")</f>
        <v>2023-11-28 21.52.53</v>
      </c>
      <c r="J159" s="36"/>
      <c r="K159" s="37" t="str">
        <f t="shared" si="1"/>
        <v>[208191034] EVANTINUS IRWANDI MAHAL</v>
      </c>
    </row>
    <row r="160">
      <c r="A160" s="17">
        <f>IFERROR(__xludf.DUMMYFUNCTION("""COMPUTED_VALUE"""),1.09160076E8)</f>
        <v>109160076</v>
      </c>
      <c r="B160" s="18" t="str">
        <f>IFERROR(__xludf.DUMMYFUNCTION("""COMPUTED_VALUE"""),"EVERSON LONTOE")</f>
        <v>EVERSON LONTOE</v>
      </c>
      <c r="C160" s="18">
        <f>IFERROR(__xludf.DUMMYFUNCTION("""COMPUTED_VALUE"""),52.0)</f>
        <v>52</v>
      </c>
      <c r="D160" s="35" t="str">
        <f>IFERROR(__xludf.DUMMYFUNCTION("""COMPUTED_VALUE"""),"Kristen Protestan")</f>
        <v>Kristen Protestan</v>
      </c>
      <c r="E160" s="18" t="str">
        <f>IFERROR(__xludf.DUMMYFUNCTION("""COMPUTED_VALUE"""),"CV. SENTOSA ABADI")</f>
        <v>CV. SENTOSA ABADI</v>
      </c>
      <c r="F160" s="18" t="str">
        <f>IFERROR(__xludf.DUMMYFUNCTION("""COMPUTED_VALUE"""),"DRIVER DT H700ZY")</f>
        <v>DRIVER DT H700ZY</v>
      </c>
      <c r="G160" s="18" t="str">
        <f>IFERROR(__xludf.DUMMYFUNCTION("""COMPUTED_VALUE"""),"KENDARAAN &amp; UNIT SUPPORT")</f>
        <v>KENDARAAN &amp; UNIT SUPPORT</v>
      </c>
      <c r="H160" s="18" t="str">
        <f>IFERROR(__xludf.DUMMYFUNCTION("""COMPUTED_VALUE"""),"2023-11-30 05.42.38")</f>
        <v>2023-11-30 05.42.38</v>
      </c>
      <c r="I160" s="18" t="str">
        <f>IFERROR(__xludf.DUMMYFUNCTION("""COMPUTED_VALUE"""),"2023-11-30 05.42.38")</f>
        <v>2023-11-30 05.42.38</v>
      </c>
      <c r="J160" s="36"/>
      <c r="K160" s="37" t="str">
        <f t="shared" si="1"/>
        <v>[109160076] EVERSON LONTOE</v>
      </c>
    </row>
    <row r="161">
      <c r="A161" s="17">
        <f>IFERROR(__xludf.DUMMYFUNCTION("""COMPUTED_VALUE"""),1.12180617E8)</f>
        <v>112180617</v>
      </c>
      <c r="B161" s="18" t="str">
        <f>IFERROR(__xludf.DUMMYFUNCTION("""COMPUTED_VALUE"""),"EVIL HARIANTO")</f>
        <v>EVIL HARIANTO</v>
      </c>
      <c r="C161" s="18">
        <f>IFERROR(__xludf.DUMMYFUNCTION("""COMPUTED_VALUE"""),39.0)</f>
        <v>39</v>
      </c>
      <c r="D161" s="35" t="str">
        <f>IFERROR(__xludf.DUMMYFUNCTION("""COMPUTED_VALUE"""),"Islam")</f>
        <v>Islam</v>
      </c>
      <c r="E161" s="18" t="str">
        <f>IFERROR(__xludf.DUMMYFUNCTION("""COMPUTED_VALUE"""),"CV. SENTOSA ABADI")</f>
        <v>CV. SENTOSA ABADI</v>
      </c>
      <c r="F161" s="18" t="str">
        <f>IFERROR(__xludf.DUMMYFUNCTION("""COMPUTED_VALUE"""),"HELPER MEKANIK ALAT BERAT")</f>
        <v>HELPER MEKANIK ALAT BERAT</v>
      </c>
      <c r="G161" s="18" t="str">
        <f>IFERROR(__xludf.DUMMYFUNCTION("""COMPUTED_VALUE"""),"WORKSHOP")</f>
        <v>WORKSHOP</v>
      </c>
      <c r="H161" s="18" t="str">
        <f>IFERROR(__xludf.DUMMYFUNCTION("""COMPUTED_VALUE"""),"2023-11-30 06.49.17")</f>
        <v>2023-11-30 06.49.17</v>
      </c>
      <c r="I161" s="18" t="str">
        <f>IFERROR(__xludf.DUMMYFUNCTION("""COMPUTED_VALUE"""),"2023-11-30 19.45.30")</f>
        <v>2023-11-30 19.45.30</v>
      </c>
      <c r="J161" s="36">
        <f>IFERROR(__xludf.DUMMYFUNCTION("""COMPUTED_VALUE"""),33608.0)</f>
        <v>33608</v>
      </c>
      <c r="K161" s="37" t="str">
        <f t="shared" si="1"/>
        <v>[112180617] EVIL HARIANTO</v>
      </c>
    </row>
    <row r="162">
      <c r="A162" s="17">
        <f>IFERROR(__xludf.DUMMYFUNCTION("""COMPUTED_VALUE"""),1.10201256E8)</f>
        <v>110201256</v>
      </c>
      <c r="B162" s="18" t="str">
        <f>IFERROR(__xludf.DUMMYFUNCTION("""COMPUTED_VALUE"""),"FADLI KUSDIATNO SIMBANGU")</f>
        <v>FADLI KUSDIATNO SIMBANGU</v>
      </c>
      <c r="C162" s="18">
        <f>IFERROR(__xludf.DUMMYFUNCTION("""COMPUTED_VALUE"""),40.0)</f>
        <v>40</v>
      </c>
      <c r="D162" s="35" t="str">
        <f>IFERROR(__xludf.DUMMYFUNCTION("""COMPUTED_VALUE"""),"Kristen Protestan")</f>
        <v>Kristen Protestan</v>
      </c>
      <c r="E162" s="18" t="str">
        <f>IFERROR(__xludf.DUMMYFUNCTION("""COMPUTED_VALUE"""),"CV. SENTOSA ABADI")</f>
        <v>CV. SENTOSA ABADI</v>
      </c>
      <c r="F162" s="18" t="str">
        <f>IFERROR(__xludf.DUMMYFUNCTION("""COMPUTED_VALUE"""),"HELPER BODY REPAIR")</f>
        <v>HELPER BODY REPAIR</v>
      </c>
      <c r="G162" s="18" t="str">
        <f>IFERROR(__xludf.DUMMYFUNCTION("""COMPUTED_VALUE"""),"WORKSHOP")</f>
        <v>WORKSHOP</v>
      </c>
      <c r="H162" s="18" t="str">
        <f>IFERROR(__xludf.DUMMYFUNCTION("""COMPUTED_VALUE"""),"2023-11-29 18.06.09")</f>
        <v>2023-11-29 18.06.09</v>
      </c>
      <c r="I162" s="18" t="str">
        <f>IFERROR(__xludf.DUMMYFUNCTION("""COMPUTED_VALUE"""),"2023-11-29 18.06.09")</f>
        <v>2023-11-29 18.06.09</v>
      </c>
      <c r="J162" s="36"/>
      <c r="K162" s="37" t="str">
        <f t="shared" si="1"/>
        <v>[110201256] FADLI KUSDIATNO SIMBANGU</v>
      </c>
    </row>
    <row r="163">
      <c r="A163" s="17">
        <f>IFERROR(__xludf.DUMMYFUNCTION("""COMPUTED_VALUE"""),2.01241877E8)</f>
        <v>201241877</v>
      </c>
      <c r="B163" s="18" t="str">
        <f>IFERROR(__xludf.DUMMYFUNCTION("""COMPUTED_VALUE"""),"FAIZAL RAMADHAN BAKRI")</f>
        <v>FAIZAL RAMADHAN BAKRI</v>
      </c>
      <c r="C163" s="18">
        <f>IFERROR(__xludf.DUMMYFUNCTION("""COMPUTED_VALUE"""),0.0)</f>
        <v>0</v>
      </c>
      <c r="D163" s="35"/>
      <c r="E163" s="18" t="str">
        <f>IFERROR(__xludf.DUMMYFUNCTION("""COMPUTED_VALUE"""),"CV. Adil Prima Perkasa")</f>
        <v>CV. Adil Prima Perkasa</v>
      </c>
      <c r="F163" s="18" t="str">
        <f>IFERROR(__xludf.DUMMYFUNCTION("""COMPUTED_VALUE"""),"ELECTRICIAN")</f>
        <v>ELECTRICIAN</v>
      </c>
      <c r="G163" s="18" t="str">
        <f>IFERROR(__xludf.DUMMYFUNCTION("""COMPUTED_VALUE"""),"WORKSHOP")</f>
        <v>WORKSHOP</v>
      </c>
      <c r="H163" s="18"/>
      <c r="I163" s="18"/>
      <c r="J163" s="36"/>
      <c r="K163" s="37" t="str">
        <f t="shared" si="1"/>
        <v/>
      </c>
    </row>
    <row r="164">
      <c r="A164" s="17">
        <f>IFERROR(__xludf.DUMMYFUNCTION("""COMPUTED_VALUE"""),2.05241932E8)</f>
        <v>205241932</v>
      </c>
      <c r="B164" s="18" t="str">
        <f>IFERROR(__xludf.DUMMYFUNCTION("""COMPUTED_VALUE"""),"FAJAR BASRI")</f>
        <v>FAJAR BASRI</v>
      </c>
      <c r="C164" s="18">
        <f>IFERROR(__xludf.DUMMYFUNCTION("""COMPUTED_VALUE"""),0.0)</f>
        <v>0</v>
      </c>
      <c r="D164" s="35"/>
      <c r="E164" s="18" t="str">
        <f>IFERROR(__xludf.DUMMYFUNCTION("""COMPUTED_VALUE"""),"CV. Adil Prima Perkasa")</f>
        <v>CV. Adil Prima Perkasa</v>
      </c>
      <c r="F164" s="18" t="str">
        <f>IFERROR(__xludf.DUMMYFUNCTION("""COMPUTED_VALUE"""),"STAFF GA")</f>
        <v>STAFF GA</v>
      </c>
      <c r="G164" s="18" t="str">
        <f>IFERROR(__xludf.DUMMYFUNCTION("""COMPUTED_VALUE"""),"HRD &amp; GA")</f>
        <v>HRD &amp; GA</v>
      </c>
      <c r="H164" s="18"/>
      <c r="I164" s="18"/>
      <c r="J164" s="36"/>
      <c r="K164" s="37" t="str">
        <f t="shared" si="1"/>
        <v/>
      </c>
    </row>
    <row r="165">
      <c r="A165" s="17">
        <f>IFERROR(__xludf.DUMMYFUNCTION("""COMPUTED_VALUE"""),1.06190914E8)</f>
        <v>106190914</v>
      </c>
      <c r="B165" s="18" t="str">
        <f>IFERROR(__xludf.DUMMYFUNCTION("""COMPUTED_VALUE"""),"FALDI HULOPI")</f>
        <v>FALDI HULOPI</v>
      </c>
      <c r="C165" s="18">
        <f>IFERROR(__xludf.DUMMYFUNCTION("""COMPUTED_VALUE"""),33.0)</f>
        <v>33</v>
      </c>
      <c r="D165" s="35" t="str">
        <f>IFERROR(__xludf.DUMMYFUNCTION("""COMPUTED_VALUE"""),"Islam")</f>
        <v>Islam</v>
      </c>
      <c r="E165" s="18" t="str">
        <f>IFERROR(__xludf.DUMMYFUNCTION("""COMPUTED_VALUE"""),"CV. SENTOSA ABADI")</f>
        <v>CV. SENTOSA ABADI</v>
      </c>
      <c r="F165" s="18" t="str">
        <f>IFERROR(__xludf.DUMMYFUNCTION("""COMPUTED_VALUE"""),"DRIVER DT H700ZY")</f>
        <v>DRIVER DT H700ZY</v>
      </c>
      <c r="G165" s="18" t="str">
        <f>IFERROR(__xludf.DUMMYFUNCTION("""COMPUTED_VALUE"""),"KENDARAAN &amp; UNIT SUPPORT")</f>
        <v>KENDARAAN &amp; UNIT SUPPORT</v>
      </c>
      <c r="H165" s="18" t="str">
        <f>IFERROR(__xludf.DUMMYFUNCTION("""COMPUTED_VALUE"""),"2024-03-30 05.41.29")</f>
        <v>2024-03-30 05.41.29</v>
      </c>
      <c r="I165" s="18" t="str">
        <f>IFERROR(__xludf.DUMMYFUNCTION("""COMPUTED_VALUE"""),"2024-03-30 17.37.57")</f>
        <v>2024-03-30 17.37.57</v>
      </c>
      <c r="J165" s="36">
        <f>IFERROR(__xludf.DUMMYFUNCTION("""COMPUTED_VALUE"""),35396.0)</f>
        <v>35396</v>
      </c>
      <c r="K165" s="37" t="str">
        <f t="shared" si="1"/>
        <v>[106190914] FALDI HULOPI</v>
      </c>
    </row>
    <row r="166">
      <c r="A166" s="17">
        <f>IFERROR(__xludf.DUMMYFUNCTION("""COMPUTED_VALUE"""),1.09191106E8)</f>
        <v>109191106</v>
      </c>
      <c r="B166" s="18" t="str">
        <f>IFERROR(__xludf.DUMMYFUNCTION("""COMPUTED_VALUE"""),"FARID S. NENTO")</f>
        <v>FARID S. NENTO</v>
      </c>
      <c r="C166" s="18">
        <f>IFERROR(__xludf.DUMMYFUNCTION("""COMPUTED_VALUE"""),26.0)</f>
        <v>26</v>
      </c>
      <c r="D166" s="35" t="str">
        <f>IFERROR(__xludf.DUMMYFUNCTION("""COMPUTED_VALUE"""),"Islam")</f>
        <v>Islam</v>
      </c>
      <c r="E166" s="18" t="str">
        <f>IFERROR(__xludf.DUMMYFUNCTION("""COMPUTED_VALUE"""),"CV. SENTOSA ABADI")</f>
        <v>CV. SENTOSA ABADI</v>
      </c>
      <c r="F166" s="18" t="str">
        <f>IFERROR(__xludf.DUMMYFUNCTION("""COMPUTED_VALUE"""),"DRIVER DT H500")</f>
        <v>DRIVER DT H500</v>
      </c>
      <c r="G166" s="18" t="str">
        <f>IFERROR(__xludf.DUMMYFUNCTION("""COMPUTED_VALUE"""),"KENDARAAN &amp; UNIT SUPPORT")</f>
        <v>KENDARAAN &amp; UNIT SUPPORT</v>
      </c>
      <c r="H166" s="18" t="str">
        <f>IFERROR(__xludf.DUMMYFUNCTION("""COMPUTED_VALUE"""),"2024-03-31 07.18.11")</f>
        <v>2024-03-31 07.18.11</v>
      </c>
      <c r="I166" s="18" t="str">
        <f>IFERROR(__xludf.DUMMYFUNCTION("""COMPUTED_VALUE"""),"2024-03-31 16.27.06")</f>
        <v>2024-03-31 16.27.06</v>
      </c>
      <c r="J166" s="36">
        <f>IFERROR(__xludf.DUMMYFUNCTION("""COMPUTED_VALUE"""),36886.0)</f>
        <v>36886</v>
      </c>
      <c r="K166" s="37" t="str">
        <f t="shared" si="1"/>
        <v>[109191106] FARID S. NENTO</v>
      </c>
    </row>
    <row r="167">
      <c r="A167" s="17"/>
      <c r="B167" s="18" t="str">
        <f>IFERROR(__xludf.DUMMYFUNCTION("""COMPUTED_VALUE"""),"FAT")</f>
        <v>FAT</v>
      </c>
      <c r="C167" s="18">
        <f>IFERROR(__xludf.DUMMYFUNCTION("""COMPUTED_VALUE"""),0.0)</f>
        <v>0</v>
      </c>
      <c r="D167" s="35"/>
      <c r="E167" s="18" t="str">
        <f>IFERROR(__xludf.DUMMYFUNCTION("""COMPUTED_VALUE"""),"CV. SENTOSA ABADI")</f>
        <v>CV. SENTOSA ABADI</v>
      </c>
      <c r="F167" s="18" t="str">
        <f>IFERROR(__xludf.DUMMYFUNCTION("""COMPUTED_VALUE"""),"FALSE")</f>
        <v>FALSE</v>
      </c>
      <c r="G167" s="18" t="str">
        <f>IFERROR(__xludf.DUMMYFUNCTION("""COMPUTED_VALUE"""),"FALSE")</f>
        <v>FALSE</v>
      </c>
      <c r="H167" s="18"/>
      <c r="I167" s="18"/>
      <c r="J167" s="36"/>
      <c r="K167" s="37" t="str">
        <f t="shared" si="1"/>
        <v/>
      </c>
    </row>
    <row r="168">
      <c r="A168" s="17">
        <f>IFERROR(__xludf.DUMMYFUNCTION("""COMPUTED_VALUE"""),3.11200021E8)</f>
        <v>311200021</v>
      </c>
      <c r="B168" s="18" t="str">
        <f>IFERROR(__xludf.DUMMYFUNCTION("""COMPUTED_VALUE"""),"FELISINO VINCENSIUS NAHAK")</f>
        <v>FELISINO VINCENSIUS NAHAK</v>
      </c>
      <c r="C168" s="18">
        <f>IFERROR(__xludf.DUMMYFUNCTION("""COMPUTED_VALUE"""),45.0)</f>
        <v>45</v>
      </c>
      <c r="D168" s="35" t="str">
        <f>IFERROR(__xludf.DUMMYFUNCTION("""COMPUTED_VALUE"""),"Kristen Khatolik")</f>
        <v>Kristen Khatolik</v>
      </c>
      <c r="E168" s="18" t="str">
        <f>IFERROR(__xludf.DUMMYFUNCTION("""COMPUTED_VALUE"""),"CV. Monalisa")</f>
        <v>CV. Monalisa</v>
      </c>
      <c r="F168" s="18" t="str">
        <f>IFERROR(__xludf.DUMMYFUNCTION("""COMPUTED_VALUE"""),"ENGINEERING")</f>
        <v>ENGINEERING</v>
      </c>
      <c r="G168" s="18" t="str">
        <f>IFERROR(__xludf.DUMMYFUNCTION("""COMPUTED_VALUE"""),"INFRASTRUKTUR")</f>
        <v>INFRASTRUKTUR</v>
      </c>
      <c r="H168" s="18"/>
      <c r="I168" s="18"/>
      <c r="J168" s="36">
        <f>IFERROR(__xludf.DUMMYFUNCTION("""COMPUTED_VALUE"""),31198.0)</f>
        <v>31198</v>
      </c>
      <c r="K168" s="37" t="str">
        <f t="shared" si="1"/>
        <v/>
      </c>
    </row>
    <row r="169">
      <c r="A169" s="17">
        <f>IFERROR(__xludf.DUMMYFUNCTION("""COMPUTED_VALUE"""),1.08201179E8)</f>
        <v>108201179</v>
      </c>
      <c r="B169" s="18" t="str">
        <f>IFERROR(__xludf.DUMMYFUNCTION("""COMPUTED_VALUE"""),"FERDIANSYAH")</f>
        <v>FERDIANSYAH</v>
      </c>
      <c r="C169" s="18">
        <f>IFERROR(__xludf.DUMMYFUNCTION("""COMPUTED_VALUE"""),27.0)</f>
        <v>27</v>
      </c>
      <c r="D169" s="35" t="str">
        <f>IFERROR(__xludf.DUMMYFUNCTION("""COMPUTED_VALUE"""),"Islam")</f>
        <v>Islam</v>
      </c>
      <c r="E169" s="18" t="str">
        <f>IFERROR(__xludf.DUMMYFUNCTION("""COMPUTED_VALUE"""),"CV. SENTOSA ABADI")</f>
        <v>CV. SENTOSA ABADI</v>
      </c>
      <c r="F169" s="18" t="str">
        <f>IFERROR(__xludf.DUMMYFUNCTION("""COMPUTED_VALUE"""),"OPERATOR EXCAVATOR")</f>
        <v>OPERATOR EXCAVATOR</v>
      </c>
      <c r="G169" s="18" t="str">
        <f>IFERROR(__xludf.DUMMYFUNCTION("""COMPUTED_VALUE"""),"PRODUKSI")</f>
        <v>PRODUKSI</v>
      </c>
      <c r="H169" s="18" t="str">
        <f>IFERROR(__xludf.DUMMYFUNCTION("""COMPUTED_VALUE"""),"2023-11-29 06.09.07")</f>
        <v>2023-11-29 06.09.07</v>
      </c>
      <c r="I169" s="18" t="str">
        <f>IFERROR(__xludf.DUMMYFUNCTION("""COMPUTED_VALUE"""),"2023-11-29 06.09.07")</f>
        <v>2023-11-29 06.09.07</v>
      </c>
      <c r="J169" s="36">
        <f>IFERROR(__xludf.DUMMYFUNCTION("""COMPUTED_VALUE"""),35280.0)</f>
        <v>35280</v>
      </c>
      <c r="K169" s="37" t="str">
        <f t="shared" si="1"/>
        <v>[108201179] FERDIANSYAH</v>
      </c>
    </row>
    <row r="170">
      <c r="A170" s="17">
        <f>IFERROR(__xludf.DUMMYFUNCTION("""COMPUTED_VALUE"""),2.02231724E8)</f>
        <v>202231724</v>
      </c>
      <c r="B170" s="18" t="str">
        <f>IFERROR(__xludf.DUMMYFUNCTION("""COMPUTED_VALUE"""),"FERDINANDUS EGU")</f>
        <v>FERDINANDUS EGU</v>
      </c>
      <c r="C170" s="18">
        <f>IFERROR(__xludf.DUMMYFUNCTION("""COMPUTED_VALUE"""),29.0)</f>
        <v>29</v>
      </c>
      <c r="D170" s="35" t="str">
        <f>IFERROR(__xludf.DUMMYFUNCTION("""COMPUTED_VALUE"""),"Kristen Khatolik")</f>
        <v>Kristen Khatolik</v>
      </c>
      <c r="E170" s="18" t="str">
        <f>IFERROR(__xludf.DUMMYFUNCTION("""COMPUTED_VALUE"""),"CV. Adil Prima Perkasa")</f>
        <v>CV. Adil Prima Perkasa</v>
      </c>
      <c r="F170" s="18" t="str">
        <f>IFERROR(__xludf.DUMMYFUNCTION("""COMPUTED_VALUE"""),"CHECKER PRODUKSI")</f>
        <v>CHECKER PRODUKSI</v>
      </c>
      <c r="G170" s="18" t="str">
        <f>IFERROR(__xludf.DUMMYFUNCTION("""COMPUTED_VALUE"""),"PRODUKSI")</f>
        <v>PRODUKSI</v>
      </c>
      <c r="H170" s="18" t="str">
        <f>IFERROR(__xludf.DUMMYFUNCTION("""COMPUTED_VALUE"""),"2023-11-30 06.09.54")</f>
        <v>2023-11-30 06.09.54</v>
      </c>
      <c r="I170" s="18" t="str">
        <f>IFERROR(__xludf.DUMMYFUNCTION("""COMPUTED_VALUE"""),"2023-11-30 21.29.44")</f>
        <v>2023-11-30 21.29.44</v>
      </c>
      <c r="J170" s="36"/>
      <c r="K170" s="37" t="str">
        <f t="shared" si="1"/>
        <v>[202231724] FERDINANDUS EGU</v>
      </c>
    </row>
    <row r="171">
      <c r="A171" s="17">
        <f>IFERROR(__xludf.DUMMYFUNCTION("""COMPUTED_VALUE"""),1.06221652E8)</f>
        <v>106221652</v>
      </c>
      <c r="B171" s="18" t="str">
        <f>IFERROR(__xludf.DUMMYFUNCTION("""COMPUTED_VALUE"""),"FERIYANTO")</f>
        <v>FERIYANTO</v>
      </c>
      <c r="C171" s="18">
        <f>IFERROR(__xludf.DUMMYFUNCTION("""COMPUTED_VALUE"""),43.0)</f>
        <v>43</v>
      </c>
      <c r="D171" s="35" t="str">
        <f>IFERROR(__xludf.DUMMYFUNCTION("""COMPUTED_VALUE"""),"Islam")</f>
        <v>Islam</v>
      </c>
      <c r="E171" s="18" t="str">
        <f>IFERROR(__xludf.DUMMYFUNCTION("""COMPUTED_VALUE"""),"CV. SENTOSA ABADI")</f>
        <v>CV. SENTOSA ABADI</v>
      </c>
      <c r="F171" s="18" t="str">
        <f>IFERROR(__xludf.DUMMYFUNCTION("""COMPUTED_VALUE"""),"DRIVER DT H700ZY")</f>
        <v>DRIVER DT H700ZY</v>
      </c>
      <c r="G171" s="18" t="str">
        <f>IFERROR(__xludf.DUMMYFUNCTION("""COMPUTED_VALUE"""),"KENDARAAN &amp; UNIT SUPPORT")</f>
        <v>KENDARAAN &amp; UNIT SUPPORT</v>
      </c>
      <c r="H171" s="18" t="str">
        <f>IFERROR(__xludf.DUMMYFUNCTION("""COMPUTED_VALUE"""),"2023-11-28 17.24.30")</f>
        <v>2023-11-28 17.24.30</v>
      </c>
      <c r="I171" s="18" t="str">
        <f>IFERROR(__xludf.DUMMYFUNCTION("""COMPUTED_VALUE"""),"2023-11-28 17.24.30")</f>
        <v>2023-11-28 17.24.30</v>
      </c>
      <c r="J171" s="36">
        <f>IFERROR(__xludf.DUMMYFUNCTION("""COMPUTED_VALUE"""),34030.0)</f>
        <v>34030</v>
      </c>
      <c r="K171" s="37" t="str">
        <f t="shared" si="1"/>
        <v>[106221652] FERIYANTO</v>
      </c>
    </row>
    <row r="172">
      <c r="A172" s="17"/>
      <c r="B172" s="18" t="str">
        <f>IFERROR(__xludf.DUMMYFUNCTION("""COMPUTED_VALUE"""),"FERR")</f>
        <v>FERR</v>
      </c>
      <c r="C172" s="18">
        <f>IFERROR(__xludf.DUMMYFUNCTION("""COMPUTED_VALUE"""),0.0)</f>
        <v>0</v>
      </c>
      <c r="D172" s="35"/>
      <c r="E172" s="18" t="str">
        <f>IFERROR(__xludf.DUMMYFUNCTION("""COMPUTED_VALUE"""),"CV. SENTOSA ABADI")</f>
        <v>CV. SENTOSA ABADI</v>
      </c>
      <c r="F172" s="18" t="str">
        <f>IFERROR(__xludf.DUMMYFUNCTION("""COMPUTED_VALUE"""),"FALSE")</f>
        <v>FALSE</v>
      </c>
      <c r="G172" s="18" t="str">
        <f>IFERROR(__xludf.DUMMYFUNCTION("""COMPUTED_VALUE"""),"FALSE")</f>
        <v>FALSE</v>
      </c>
      <c r="H172" s="18"/>
      <c r="I172" s="18"/>
      <c r="J172" s="36"/>
      <c r="K172" s="37" t="str">
        <f t="shared" si="1"/>
        <v/>
      </c>
    </row>
    <row r="173">
      <c r="A173" s="17">
        <f>IFERROR(__xludf.DUMMYFUNCTION("""COMPUTED_VALUE"""),2.0424191E8)</f>
        <v>204241910</v>
      </c>
      <c r="B173" s="18" t="str">
        <f>IFERROR(__xludf.DUMMYFUNCTION("""COMPUTED_VALUE"""),"FERRY FERNANDO NABABAN")</f>
        <v>FERRY FERNANDO NABABAN</v>
      </c>
      <c r="C173" s="18">
        <f>IFERROR(__xludf.DUMMYFUNCTION("""COMPUTED_VALUE"""),0.0)</f>
        <v>0</v>
      </c>
      <c r="D173" s="35"/>
      <c r="E173" s="18" t="str">
        <f>IFERROR(__xludf.DUMMYFUNCTION("""COMPUTED_VALUE"""),"CV. Adil Prima Perkasa")</f>
        <v>CV. Adil Prima Perkasa</v>
      </c>
      <c r="F173" s="18" t="str">
        <f>IFERROR(__xludf.DUMMYFUNCTION("""COMPUTED_VALUE"""),"HELPER MEKANIK")</f>
        <v>HELPER MEKANIK</v>
      </c>
      <c r="G173" s="18" t="str">
        <f>IFERROR(__xludf.DUMMYFUNCTION("""COMPUTED_VALUE"""),"WORKSHOP")</f>
        <v>WORKSHOP</v>
      </c>
      <c r="H173" s="18"/>
      <c r="I173" s="18"/>
      <c r="J173" s="36"/>
      <c r="K173" s="37" t="str">
        <f t="shared" si="1"/>
        <v/>
      </c>
    </row>
    <row r="174">
      <c r="A174" s="17">
        <f>IFERROR(__xludf.DUMMYFUNCTION("""COMPUTED_VALUE"""),2.04231747E8)</f>
        <v>204231747</v>
      </c>
      <c r="B174" s="18" t="str">
        <f>IFERROR(__xludf.DUMMYFUNCTION("""COMPUTED_VALUE"""),"FIRMAN")</f>
        <v>FIRMAN</v>
      </c>
      <c r="C174" s="18">
        <f>IFERROR(__xludf.DUMMYFUNCTION("""COMPUTED_VALUE"""),27.0)</f>
        <v>27</v>
      </c>
      <c r="D174" s="35" t="str">
        <f>IFERROR(__xludf.DUMMYFUNCTION("""COMPUTED_VALUE"""),"Islam")</f>
        <v>Islam</v>
      </c>
      <c r="E174" s="18" t="str">
        <f>IFERROR(__xludf.DUMMYFUNCTION("""COMPUTED_VALUE"""),"CV. Adil Prima Perkasa")</f>
        <v>CV. Adil Prima Perkasa</v>
      </c>
      <c r="F174" s="18" t="str">
        <f>IFERROR(__xludf.DUMMYFUNCTION("""COMPUTED_VALUE"""),"DRIVER DT H700ZS")</f>
        <v>DRIVER DT H700ZS</v>
      </c>
      <c r="G174" s="18" t="str">
        <f>IFERROR(__xludf.DUMMYFUNCTION("""COMPUTED_VALUE"""),"KENDARAAN &amp; UNIT SUPPORT")</f>
        <v>KENDARAAN &amp; UNIT SUPPORT</v>
      </c>
      <c r="H174" s="18" t="str">
        <f>IFERROR(__xludf.DUMMYFUNCTION("""COMPUTED_VALUE"""),"2024-03-31 06.00.15")</f>
        <v>2024-03-31 06.00.15</v>
      </c>
      <c r="I174" s="18" t="str">
        <f>IFERROR(__xludf.DUMMYFUNCTION("""COMPUTED_VALUE"""),"2024-03-31 18.25.03")</f>
        <v>2024-03-31 18.25.03</v>
      </c>
      <c r="J174" s="36"/>
      <c r="K174" s="37" t="str">
        <f t="shared" si="1"/>
        <v>[204231747] FIRMAN</v>
      </c>
    </row>
    <row r="175">
      <c r="A175" s="17">
        <f>IFERROR(__xludf.DUMMYFUNCTION("""COMPUTED_VALUE"""),2.07231796E8)</f>
        <v>207231796</v>
      </c>
      <c r="B175" s="18" t="str">
        <f>IFERROR(__xludf.DUMMYFUNCTION("""COMPUTED_VALUE"""),"FIRMANSYAH")</f>
        <v>FIRMANSYAH</v>
      </c>
      <c r="C175" s="18">
        <f>IFERROR(__xludf.DUMMYFUNCTION("""COMPUTED_VALUE"""),25.0)</f>
        <v>25</v>
      </c>
      <c r="D175" s="35" t="str">
        <f>IFERROR(__xludf.DUMMYFUNCTION("""COMPUTED_VALUE"""),"Islam")</f>
        <v>Islam</v>
      </c>
      <c r="E175" s="18" t="str">
        <f>IFERROR(__xludf.DUMMYFUNCTION("""COMPUTED_VALUE"""),"CV. Adil Prima Perkasa")</f>
        <v>CV. Adil Prima Perkasa</v>
      </c>
      <c r="F175" s="18" t="str">
        <f>IFERROR(__xludf.DUMMYFUNCTION("""COMPUTED_VALUE"""),"ADMIN PRODUKSI")</f>
        <v>ADMIN PRODUKSI</v>
      </c>
      <c r="G175" s="18" t="str">
        <f>IFERROR(__xludf.DUMMYFUNCTION("""COMPUTED_VALUE"""),"PRODUKSI")</f>
        <v>PRODUKSI</v>
      </c>
      <c r="H175" s="18" t="str">
        <f>IFERROR(__xludf.DUMMYFUNCTION("""COMPUTED_VALUE"""),"2023-12-31 09.37.03")</f>
        <v>2023-12-31 09.37.03</v>
      </c>
      <c r="I175" s="18" t="str">
        <f>IFERROR(__xludf.DUMMYFUNCTION("""COMPUTED_VALUE"""),"2023-12-31 09.37.03")</f>
        <v>2023-12-31 09.37.03</v>
      </c>
      <c r="J175" s="36"/>
      <c r="K175" s="37" t="str">
        <f t="shared" si="1"/>
        <v>[207231796] FIRMANSYAH</v>
      </c>
    </row>
    <row r="176">
      <c r="A176" s="17">
        <f>IFERROR(__xludf.DUMMYFUNCTION("""COMPUTED_VALUE"""),2.11221705E8)</f>
        <v>211221705</v>
      </c>
      <c r="B176" s="18" t="str">
        <f>IFERROR(__xludf.DUMMYFUNCTION("""COMPUTED_VALUE"""),"FIRMANSYAH AJINU")</f>
        <v>FIRMANSYAH AJINU</v>
      </c>
      <c r="C176" s="18">
        <f>IFERROR(__xludf.DUMMYFUNCTION("""COMPUTED_VALUE"""),22.0)</f>
        <v>22</v>
      </c>
      <c r="D176" s="35" t="str">
        <f>IFERROR(__xludf.DUMMYFUNCTION("""COMPUTED_VALUE"""),"Islam")</f>
        <v>Islam</v>
      </c>
      <c r="E176" s="18" t="str">
        <f>IFERROR(__xludf.DUMMYFUNCTION("""COMPUTED_VALUE"""),"CV. Adil Prima Perkasa")</f>
        <v>CV. Adil Prima Perkasa</v>
      </c>
      <c r="F176" s="18" t="str">
        <f>IFERROR(__xludf.DUMMYFUNCTION("""COMPUTED_VALUE"""),"HELPER TYRE")</f>
        <v>HELPER TYRE</v>
      </c>
      <c r="G176" s="18" t="str">
        <f>IFERROR(__xludf.DUMMYFUNCTION("""COMPUTED_VALUE"""),"WORKSHOP")</f>
        <v>WORKSHOP</v>
      </c>
      <c r="H176" s="18" t="str">
        <f>IFERROR(__xludf.DUMMYFUNCTION("""COMPUTED_VALUE"""),"2023-11-29 06.55.42")</f>
        <v>2023-11-29 06.55.42</v>
      </c>
      <c r="I176" s="18" t="str">
        <f>IFERROR(__xludf.DUMMYFUNCTION("""COMPUTED_VALUE"""),"2023-11-29 06.55.42")</f>
        <v>2023-11-29 06.55.42</v>
      </c>
      <c r="J176" s="36"/>
      <c r="K176" s="37" t="str">
        <f t="shared" si="1"/>
        <v>[211221705] FIRMANSYAH AJINU</v>
      </c>
    </row>
    <row r="177">
      <c r="A177" s="17">
        <f>IFERROR(__xludf.DUMMYFUNCTION("""COMPUTED_VALUE"""),2.05231762E8)</f>
        <v>205231762</v>
      </c>
      <c r="B177" s="18" t="str">
        <f>IFERROR(__xludf.DUMMYFUNCTION("""COMPUTED_VALUE"""),"FOLCERIYANTO MUSA")</f>
        <v>FOLCERIYANTO MUSA</v>
      </c>
      <c r="C177" s="18">
        <f>IFERROR(__xludf.DUMMYFUNCTION("""COMPUTED_VALUE"""),23.0)</f>
        <v>23</v>
      </c>
      <c r="D177" s="35" t="str">
        <f>IFERROR(__xludf.DUMMYFUNCTION("""COMPUTED_VALUE"""),"Kristen Protestan")</f>
        <v>Kristen Protestan</v>
      </c>
      <c r="E177" s="18" t="str">
        <f>IFERROR(__xludf.DUMMYFUNCTION("""COMPUTED_VALUE"""),"CV. Adil Prima Perkasa")</f>
        <v>CV. Adil Prima Perkasa</v>
      </c>
      <c r="F177" s="18" t="str">
        <f>IFERROR(__xludf.DUMMYFUNCTION("""COMPUTED_VALUE"""),"HELPER TYRE")</f>
        <v>HELPER TYRE</v>
      </c>
      <c r="G177" s="18" t="str">
        <f>IFERROR(__xludf.DUMMYFUNCTION("""COMPUTED_VALUE"""),"WORKSHOP")</f>
        <v>WORKSHOP</v>
      </c>
      <c r="H177" s="18" t="str">
        <f>IFERROR(__xludf.DUMMYFUNCTION("""COMPUTED_VALUE"""),"2023-11-30 07.08.13")</f>
        <v>2023-11-30 07.08.13</v>
      </c>
      <c r="I177" s="18" t="str">
        <f>IFERROR(__xludf.DUMMYFUNCTION("""COMPUTED_VALUE"""),"2023-11-30 07.08.13")</f>
        <v>2023-11-30 07.08.13</v>
      </c>
      <c r="J177" s="36"/>
      <c r="K177" s="37" t="str">
        <f t="shared" si="1"/>
        <v>[205231762] FOLCERIYANTO MUSA</v>
      </c>
    </row>
    <row r="178">
      <c r="A178" s="17">
        <f>IFERROR(__xludf.DUMMYFUNCTION("""COMPUTED_VALUE"""),1.04211372E8)</f>
        <v>104211372</v>
      </c>
      <c r="B178" s="18" t="str">
        <f>IFERROR(__xludf.DUMMYFUNCTION("""COMPUTED_VALUE"""),"FORAL Z MAMARASI")</f>
        <v>FORAL Z MAMARASI</v>
      </c>
      <c r="C178" s="18">
        <f>IFERROR(__xludf.DUMMYFUNCTION("""COMPUTED_VALUE"""),50.0)</f>
        <v>50</v>
      </c>
      <c r="D178" s="35" t="str">
        <f>IFERROR(__xludf.DUMMYFUNCTION("""COMPUTED_VALUE"""),"Kristen Protestan")</f>
        <v>Kristen Protestan</v>
      </c>
      <c r="E178" s="18" t="str">
        <f>IFERROR(__xludf.DUMMYFUNCTION("""COMPUTED_VALUE"""),"CV. SENTOSA ABADI")</f>
        <v>CV. SENTOSA ABADI</v>
      </c>
      <c r="F178" s="18" t="str">
        <f>IFERROR(__xludf.DUMMYFUNCTION("""COMPUTED_VALUE"""),"DRIVER DT H700ZY")</f>
        <v>DRIVER DT H700ZY</v>
      </c>
      <c r="G178" s="18" t="str">
        <f>IFERROR(__xludf.DUMMYFUNCTION("""COMPUTED_VALUE"""),"KENDARAAN &amp; UNIT SUPPORT")</f>
        <v>KENDARAAN &amp; UNIT SUPPORT</v>
      </c>
      <c r="H178" s="18" t="str">
        <f>IFERROR(__xludf.DUMMYFUNCTION("""COMPUTED_VALUE"""),"2023-11-30 04.00.55")</f>
        <v>2023-11-30 04.00.55</v>
      </c>
      <c r="I178" s="18" t="str">
        <f>IFERROR(__xludf.DUMMYFUNCTION("""COMPUTED_VALUE"""),"2023-11-30 16.12.06")</f>
        <v>2023-11-30 16.12.06</v>
      </c>
      <c r="J178" s="36">
        <f>IFERROR(__xludf.DUMMYFUNCTION("""COMPUTED_VALUE"""),26989.0)</f>
        <v>26989</v>
      </c>
      <c r="K178" s="37" t="str">
        <f t="shared" si="1"/>
        <v>[104211372] FORAL Z MAMARASI</v>
      </c>
    </row>
    <row r="179">
      <c r="A179" s="17">
        <f>IFERROR(__xludf.DUMMYFUNCTION("""COMPUTED_VALUE"""),1.08211472E8)</f>
        <v>108211472</v>
      </c>
      <c r="B179" s="18" t="str">
        <f>IFERROR(__xludf.DUMMYFUNCTION("""COMPUTED_VALUE"""),"FRAIM VEKY MANITU")</f>
        <v>FRAIM VEKY MANITU</v>
      </c>
      <c r="C179" s="18">
        <f>IFERROR(__xludf.DUMMYFUNCTION("""COMPUTED_VALUE"""),21.0)</f>
        <v>21</v>
      </c>
      <c r="D179" s="35" t="str">
        <f>IFERROR(__xludf.DUMMYFUNCTION("""COMPUTED_VALUE"""),"Kristen Protestan")</f>
        <v>Kristen Protestan</v>
      </c>
      <c r="E179" s="18" t="str">
        <f>IFERROR(__xludf.DUMMYFUNCTION("""COMPUTED_VALUE"""),"CV. SENTOSA ABADI")</f>
        <v>CV. SENTOSA ABADI</v>
      </c>
      <c r="F179" s="18" t="str">
        <f>IFERROR(__xludf.DUMMYFUNCTION("""COMPUTED_VALUE"""),"HELPER TYRE")</f>
        <v>HELPER TYRE</v>
      </c>
      <c r="G179" s="18" t="str">
        <f>IFERROR(__xludf.DUMMYFUNCTION("""COMPUTED_VALUE"""),"WORKSHOP")</f>
        <v>WORKSHOP</v>
      </c>
      <c r="H179" s="18" t="str">
        <f>IFERROR(__xludf.DUMMYFUNCTION("""COMPUTED_VALUE"""),"2023-11-14 18.25.36")</f>
        <v>2023-11-14 18.25.36</v>
      </c>
      <c r="I179" s="18" t="str">
        <f>IFERROR(__xludf.DUMMYFUNCTION("""COMPUTED_VALUE"""),"2023-11-14 18.25.36")</f>
        <v>2023-11-14 18.25.36</v>
      </c>
      <c r="J179" s="36"/>
      <c r="K179" s="37" t="str">
        <f t="shared" si="1"/>
        <v>[108211472] FRAIM VEKY MANITU</v>
      </c>
    </row>
    <row r="180">
      <c r="A180" s="17">
        <f>IFERROR(__xludf.DUMMYFUNCTION("""COMPUTED_VALUE"""),2.07231804E8)</f>
        <v>207231804</v>
      </c>
      <c r="B180" s="18" t="str">
        <f>IFERROR(__xludf.DUMMYFUNCTION("""COMPUTED_VALUE"""),"FRAJA DANDURU")</f>
        <v>FRAJA DANDURU</v>
      </c>
      <c r="C180" s="18">
        <f>IFERROR(__xludf.DUMMYFUNCTION("""COMPUTED_VALUE"""),19.0)</f>
        <v>19</v>
      </c>
      <c r="D180" s="35" t="str">
        <f>IFERROR(__xludf.DUMMYFUNCTION("""COMPUTED_VALUE"""),"Kristen Protestan")</f>
        <v>Kristen Protestan</v>
      </c>
      <c r="E180" s="18" t="str">
        <f>IFERROR(__xludf.DUMMYFUNCTION("""COMPUTED_VALUE"""),"CV. Adil Prima Perkasa")</f>
        <v>CV. Adil Prima Perkasa</v>
      </c>
      <c r="F180" s="18" t="str">
        <f>IFERROR(__xludf.DUMMYFUNCTION("""COMPUTED_VALUE"""),"CHECKER PRODUKSI")</f>
        <v>CHECKER PRODUKSI</v>
      </c>
      <c r="G180" s="18" t="str">
        <f>IFERROR(__xludf.DUMMYFUNCTION("""COMPUTED_VALUE"""),"PRODUKSI")</f>
        <v>PRODUKSI</v>
      </c>
      <c r="H180" s="18" t="str">
        <f>IFERROR(__xludf.DUMMYFUNCTION("""COMPUTED_VALUE"""),"2023-11-30 05.42.05")</f>
        <v>2023-11-30 05.42.05</v>
      </c>
      <c r="I180" s="18" t="str">
        <f>IFERROR(__xludf.DUMMYFUNCTION("""COMPUTED_VALUE"""),"2023-11-30 05.42.05")</f>
        <v>2023-11-30 05.42.05</v>
      </c>
      <c r="J180" s="36"/>
      <c r="K180" s="37" t="str">
        <f t="shared" si="1"/>
        <v>[207231804] FRAJA DANDURU</v>
      </c>
    </row>
    <row r="181">
      <c r="A181" s="17">
        <f>IFERROR(__xludf.DUMMYFUNCTION("""COMPUTED_VALUE"""),2.0722166E8)</f>
        <v>207221660</v>
      </c>
      <c r="B181" s="18" t="str">
        <f>IFERROR(__xludf.DUMMYFUNCTION("""COMPUTED_VALUE"""),"FRANGKI STENLY LADAEE")</f>
        <v>FRANGKI STENLY LADAEE</v>
      </c>
      <c r="C181" s="18">
        <f>IFERROR(__xludf.DUMMYFUNCTION("""COMPUTED_VALUE"""),47.0)</f>
        <v>47</v>
      </c>
      <c r="D181" s="35" t="str">
        <f>IFERROR(__xludf.DUMMYFUNCTION("""COMPUTED_VALUE"""),"Kristen Protestan")</f>
        <v>Kristen Protestan</v>
      </c>
      <c r="E181" s="18" t="str">
        <f>IFERROR(__xludf.DUMMYFUNCTION("""COMPUTED_VALUE"""),"CV. Adil Prima Perkasa")</f>
        <v>CV. Adil Prima Perkasa</v>
      </c>
      <c r="F181" s="18" t="str">
        <f>IFERROR(__xludf.DUMMYFUNCTION("""COMPUTED_VALUE"""),"DRIVER DT H700ZY")</f>
        <v>DRIVER DT H700ZY</v>
      </c>
      <c r="G181" s="18" t="str">
        <f>IFERROR(__xludf.DUMMYFUNCTION("""COMPUTED_VALUE"""),"KENDARAAN &amp; UNIT SUPPORT")</f>
        <v>KENDARAAN &amp; UNIT SUPPORT</v>
      </c>
      <c r="H181" s="18" t="str">
        <f>IFERROR(__xludf.DUMMYFUNCTION("""COMPUTED_VALUE"""),"2023-11-30 06.05.11")</f>
        <v>2023-11-30 06.05.11</v>
      </c>
      <c r="I181" s="18" t="str">
        <f>IFERROR(__xludf.DUMMYFUNCTION("""COMPUTED_VALUE"""),"2023-11-30 06.05.11")</f>
        <v>2023-11-30 06.05.11</v>
      </c>
      <c r="J181" s="36"/>
      <c r="K181" s="37" t="str">
        <f t="shared" si="1"/>
        <v>[207221660] FRANGKI STENLY LADAEE</v>
      </c>
    </row>
    <row r="182">
      <c r="A182" s="17">
        <f>IFERROR(__xludf.DUMMYFUNCTION("""COMPUTED_VALUE"""),2.05241934E8)</f>
        <v>205241934</v>
      </c>
      <c r="B182" s="18" t="str">
        <f>IFERROR(__xludf.DUMMYFUNCTION("""COMPUTED_VALUE"""),"FRANGKY TENGKENDE")</f>
        <v>FRANGKY TENGKENDE</v>
      </c>
      <c r="C182" s="18">
        <f>IFERROR(__xludf.DUMMYFUNCTION("""COMPUTED_VALUE"""),0.0)</f>
        <v>0</v>
      </c>
      <c r="D182" s="35"/>
      <c r="E182" s="18" t="str">
        <f>IFERROR(__xludf.DUMMYFUNCTION("""COMPUTED_VALUE"""),"CV. Adil Prima Perkasa")</f>
        <v>CV. Adil Prima Perkasa</v>
      </c>
      <c r="F182" s="18" t="str">
        <f>IFERROR(__xludf.DUMMYFUNCTION("""COMPUTED_VALUE"""),"DRIVER LV")</f>
        <v>DRIVER LV</v>
      </c>
      <c r="G182" s="18" t="str">
        <f>IFERROR(__xludf.DUMMYFUNCTION("""COMPUTED_VALUE"""),"KENDARAAN &amp; UNIT SUPPORT")</f>
        <v>KENDARAAN &amp; UNIT SUPPORT</v>
      </c>
      <c r="H182" s="18"/>
      <c r="I182" s="18"/>
      <c r="J182" s="36">
        <f>IFERROR(__xludf.DUMMYFUNCTION("""COMPUTED_VALUE"""),32107.0)</f>
        <v>32107</v>
      </c>
      <c r="K182" s="37" t="str">
        <f t="shared" si="1"/>
        <v/>
      </c>
    </row>
    <row r="183">
      <c r="A183" s="17">
        <f>IFERROR(__xludf.DUMMYFUNCTION("""COMPUTED_VALUE"""),2.0719096E8)</f>
        <v>207190960</v>
      </c>
      <c r="B183" s="18" t="str">
        <f>IFERROR(__xludf.DUMMYFUNCTION("""COMPUTED_VALUE"""),"FRANSISKUS AHMAD")</f>
        <v>FRANSISKUS AHMAD</v>
      </c>
      <c r="C183" s="18">
        <f>IFERROR(__xludf.DUMMYFUNCTION("""COMPUTED_VALUE"""),57.0)</f>
        <v>57</v>
      </c>
      <c r="D183" s="35" t="str">
        <f>IFERROR(__xludf.DUMMYFUNCTION("""COMPUTED_VALUE"""),"Islam")</f>
        <v>Islam</v>
      </c>
      <c r="E183" s="18" t="str">
        <f>IFERROR(__xludf.DUMMYFUNCTION("""COMPUTED_VALUE"""),"CV. Adil Prima Perkasa")</f>
        <v>CV. Adil Prima Perkasa</v>
      </c>
      <c r="F183" s="18" t="str">
        <f>IFERROR(__xludf.DUMMYFUNCTION("""COMPUTED_VALUE"""),"FOREMAN PRODUKSI")</f>
        <v>FOREMAN PRODUKSI</v>
      </c>
      <c r="G183" s="18" t="str">
        <f>IFERROR(__xludf.DUMMYFUNCTION("""COMPUTED_VALUE"""),"PRODUKSI")</f>
        <v>PRODUKSI</v>
      </c>
      <c r="H183" s="18" t="str">
        <f>IFERROR(__xludf.DUMMYFUNCTION("""COMPUTED_VALUE"""),"2023-11-30 05.30.06")</f>
        <v>2023-11-30 05.30.06</v>
      </c>
      <c r="I183" s="18" t="str">
        <f>IFERROR(__xludf.DUMMYFUNCTION("""COMPUTED_VALUE"""),"2023-11-30 05.30.06")</f>
        <v>2023-11-30 05.30.06</v>
      </c>
      <c r="J183" s="36">
        <f>IFERROR(__xludf.DUMMYFUNCTION("""COMPUTED_VALUE"""),27141.0)</f>
        <v>27141</v>
      </c>
      <c r="K183" s="37" t="str">
        <f t="shared" si="1"/>
        <v>[207190960] FRANSISKUS AHMAD</v>
      </c>
    </row>
    <row r="184">
      <c r="A184" s="17">
        <f>IFERROR(__xludf.DUMMYFUNCTION("""COMPUTED_VALUE"""),2.05241919E8)</f>
        <v>205241919</v>
      </c>
      <c r="B184" s="18" t="str">
        <f>IFERROR(__xludf.DUMMYFUNCTION("""COMPUTED_VALUE"""),"FREGI YUNILSON LAGANI")</f>
        <v>FREGI YUNILSON LAGANI</v>
      </c>
      <c r="C184" s="18">
        <f>IFERROR(__xludf.DUMMYFUNCTION("""COMPUTED_VALUE"""),0.0)</f>
        <v>0</v>
      </c>
      <c r="D184" s="35"/>
      <c r="E184" s="18" t="str">
        <f>IFERROR(__xludf.DUMMYFUNCTION("""COMPUTED_VALUE"""),"CV. Adil Prima Perkasa")</f>
        <v>CV. Adil Prima Perkasa</v>
      </c>
      <c r="F184" s="18" t="str">
        <f>IFERROR(__xludf.DUMMYFUNCTION("""COMPUTED_VALUE"""),"HELPER BODY REPAIR")</f>
        <v>HELPER BODY REPAIR</v>
      </c>
      <c r="G184" s="18" t="str">
        <f>IFERROR(__xludf.DUMMYFUNCTION("""COMPUTED_VALUE"""),"WORKSHOP")</f>
        <v>WORKSHOP</v>
      </c>
      <c r="H184" s="18"/>
      <c r="I184" s="18"/>
      <c r="J184" s="36"/>
      <c r="K184" s="37" t="str">
        <f t="shared" si="1"/>
        <v/>
      </c>
    </row>
    <row r="185">
      <c r="A185" s="17">
        <f>IFERROR(__xludf.DUMMYFUNCTION("""COMPUTED_VALUE"""),1.07180487E8)</f>
        <v>107180487</v>
      </c>
      <c r="B185" s="18" t="str">
        <f>IFERROR(__xludf.DUMMYFUNCTION("""COMPUTED_VALUE"""),"FRETS BADU")</f>
        <v>FRETS BADU</v>
      </c>
      <c r="C185" s="18">
        <f>IFERROR(__xludf.DUMMYFUNCTION("""COMPUTED_VALUE"""),40.0)</f>
        <v>40</v>
      </c>
      <c r="D185" s="35" t="str">
        <f>IFERROR(__xludf.DUMMYFUNCTION("""COMPUTED_VALUE"""),"Kristen Protestan")</f>
        <v>Kristen Protestan</v>
      </c>
      <c r="E185" s="18" t="str">
        <f>IFERROR(__xludf.DUMMYFUNCTION("""COMPUTED_VALUE"""),"CV. SENTOSA ABADI")</f>
        <v>CV. SENTOSA ABADI</v>
      </c>
      <c r="F185" s="18" t="str">
        <f>IFERROR(__xludf.DUMMYFUNCTION("""COMPUTED_VALUE"""),"DRIVER DT H700ZY")</f>
        <v>DRIVER DT H700ZY</v>
      </c>
      <c r="G185" s="18" t="str">
        <f>IFERROR(__xludf.DUMMYFUNCTION("""COMPUTED_VALUE"""),"KENDARAAN &amp; UNIT SUPPORT")</f>
        <v>KENDARAAN &amp; UNIT SUPPORT</v>
      </c>
      <c r="H185" s="18" t="str">
        <f>IFERROR(__xludf.DUMMYFUNCTION("""COMPUTED_VALUE"""),"2023-11-30 07.04.14")</f>
        <v>2023-11-30 07.04.14</v>
      </c>
      <c r="I185" s="18" t="str">
        <f>IFERROR(__xludf.DUMMYFUNCTION("""COMPUTED_VALUE"""),"2023-11-30 17.35.56")</f>
        <v>2023-11-30 17.35.56</v>
      </c>
      <c r="J185" s="36"/>
      <c r="K185" s="37" t="str">
        <f t="shared" si="1"/>
        <v>[107180487] FRETS BADU</v>
      </c>
    </row>
    <row r="186">
      <c r="A186" s="17">
        <f>IFERROR(__xludf.DUMMYFUNCTION("""COMPUTED_VALUE"""),2.01221572E8)</f>
        <v>201221572</v>
      </c>
      <c r="B186" s="18" t="str">
        <f>IFERROR(__xludf.DUMMYFUNCTION("""COMPUTED_VALUE"""),"GANDENSIUS RAMAN")</f>
        <v>GANDENSIUS RAMAN</v>
      </c>
      <c r="C186" s="18">
        <f>IFERROR(__xludf.DUMMYFUNCTION("""COMPUTED_VALUE"""),45.0)</f>
        <v>45</v>
      </c>
      <c r="D186" s="35" t="str">
        <f>IFERROR(__xludf.DUMMYFUNCTION("""COMPUTED_VALUE"""),"Kristen Khatolik")</f>
        <v>Kristen Khatolik</v>
      </c>
      <c r="E186" s="18" t="str">
        <f>IFERROR(__xludf.DUMMYFUNCTION("""COMPUTED_VALUE"""),"CV. Adil Prima Perkasa")</f>
        <v>CV. Adil Prima Perkasa</v>
      </c>
      <c r="F186" s="18" t="str">
        <f>IFERROR(__xludf.DUMMYFUNCTION("""COMPUTED_VALUE"""),"OPERATOR EXCAVATOR")</f>
        <v>OPERATOR EXCAVATOR</v>
      </c>
      <c r="G186" s="18" t="str">
        <f>IFERROR(__xludf.DUMMYFUNCTION("""COMPUTED_VALUE"""),"PRODUKSI")</f>
        <v>PRODUKSI</v>
      </c>
      <c r="H186" s="18" t="str">
        <f>IFERROR(__xludf.DUMMYFUNCTION("""COMPUTED_VALUE"""),"2023-11-30 04.34.09")</f>
        <v>2023-11-30 04.34.09</v>
      </c>
      <c r="I186" s="18" t="str">
        <f>IFERROR(__xludf.DUMMYFUNCTION("""COMPUTED_VALUE"""),"2023-11-30 04.34.09")</f>
        <v>2023-11-30 04.34.09</v>
      </c>
      <c r="J186" s="36">
        <f>IFERROR(__xludf.DUMMYFUNCTION("""COMPUTED_VALUE"""),32359.0)</f>
        <v>32359</v>
      </c>
      <c r="K186" s="37" t="str">
        <f t="shared" si="1"/>
        <v>[201221572] GANDENSIUS RAMAN</v>
      </c>
    </row>
    <row r="187">
      <c r="A187" s="17">
        <f>IFERROR(__xludf.DUMMYFUNCTION("""COMPUTED_VALUE"""),3.06210077E8)</f>
        <v>306210077</v>
      </c>
      <c r="B187" s="18" t="str">
        <f>IFERROR(__xludf.DUMMYFUNCTION("""COMPUTED_VALUE"""),"GEDE HERY JULIANTARA")</f>
        <v>GEDE HERY JULIANTARA</v>
      </c>
      <c r="C187" s="18">
        <f>IFERROR(__xludf.DUMMYFUNCTION("""COMPUTED_VALUE"""),22.0)</f>
        <v>22</v>
      </c>
      <c r="D187" s="35" t="str">
        <f>IFERROR(__xludf.DUMMYFUNCTION("""COMPUTED_VALUE"""),"Kristen Protestan")</f>
        <v>Kristen Protestan</v>
      </c>
      <c r="E187" s="18" t="str">
        <f>IFERROR(__xludf.DUMMYFUNCTION("""COMPUTED_VALUE"""),"CV. Monalisa")</f>
        <v>CV. Monalisa</v>
      </c>
      <c r="F187" s="18" t="str">
        <f>IFERROR(__xludf.DUMMYFUNCTION("""COMPUTED_VALUE"""),"CREW SURVEY")</f>
        <v>CREW SURVEY</v>
      </c>
      <c r="G187" s="18" t="str">
        <f>IFERROR(__xludf.DUMMYFUNCTION("""COMPUTED_VALUE"""),"MPE")</f>
        <v>MPE</v>
      </c>
      <c r="H187" s="18" t="str">
        <f>IFERROR(__xludf.DUMMYFUNCTION("""COMPUTED_VALUE"""),"2023-11-30 21.48.17")</f>
        <v>2023-11-30 21.48.17</v>
      </c>
      <c r="I187" s="18" t="str">
        <f>IFERROR(__xludf.DUMMYFUNCTION("""COMPUTED_VALUE"""),"2023-11-30 21.48.17")</f>
        <v>2023-11-30 21.48.17</v>
      </c>
      <c r="J187" s="36">
        <f>IFERROR(__xludf.DUMMYFUNCTION("""COMPUTED_VALUE"""),37593.0)</f>
        <v>37593</v>
      </c>
      <c r="K187" s="37" t="str">
        <f t="shared" si="1"/>
        <v>[306210077] GEDE HERY JULIANTARA</v>
      </c>
    </row>
    <row r="188">
      <c r="A188" s="17">
        <f>IFERROR(__xludf.DUMMYFUNCTION("""COMPUTED_VALUE"""),3.03230112E8)</f>
        <v>303230112</v>
      </c>
      <c r="B188" s="18" t="str">
        <f>IFERROR(__xludf.DUMMYFUNCTION("""COMPUTED_VALUE"""),"GERALDY EICMAN LAKIU")</f>
        <v>GERALDY EICMAN LAKIU</v>
      </c>
      <c r="C188" s="18">
        <f>IFERROR(__xludf.DUMMYFUNCTION("""COMPUTED_VALUE"""),24.0)</f>
        <v>24</v>
      </c>
      <c r="D188" s="35" t="str">
        <f>IFERROR(__xludf.DUMMYFUNCTION("""COMPUTED_VALUE"""),"Kristen Protestan")</f>
        <v>Kristen Protestan</v>
      </c>
      <c r="E188" s="18" t="str">
        <f>IFERROR(__xludf.DUMMYFUNCTION("""COMPUTED_VALUE"""),"CV. Monalisa")</f>
        <v>CV. Monalisa</v>
      </c>
      <c r="F188" s="18" t="str">
        <f>IFERROR(__xludf.DUMMYFUNCTION("""COMPUTED_VALUE"""),"SECURITY")</f>
        <v>SECURITY</v>
      </c>
      <c r="G188" s="18" t="str">
        <f>IFERROR(__xludf.DUMMYFUNCTION("""COMPUTED_VALUE"""),"HRD &amp; GA")</f>
        <v>HRD &amp; GA</v>
      </c>
      <c r="H188" s="18" t="str">
        <f>IFERROR(__xludf.DUMMYFUNCTION("""COMPUTED_VALUE"""),"2023-11-30 23.16.53")</f>
        <v>2023-11-30 23.16.53</v>
      </c>
      <c r="I188" s="18" t="str">
        <f>IFERROR(__xludf.DUMMYFUNCTION("""COMPUTED_VALUE"""),"2023-11-30 23.16.53")</f>
        <v>2023-11-30 23.16.53</v>
      </c>
      <c r="J188" s="36"/>
      <c r="K188" s="37" t="str">
        <f t="shared" si="1"/>
        <v>[303230112] GERALDY EICMAN LAKIU</v>
      </c>
    </row>
    <row r="189">
      <c r="A189" s="17">
        <f>IFERROR(__xludf.DUMMYFUNCTION("""COMPUTED_VALUE"""),2.05241914E8)</f>
        <v>205241914</v>
      </c>
      <c r="B189" s="18" t="str">
        <f>IFERROR(__xludf.DUMMYFUNCTION("""COMPUTED_VALUE"""),"GERALDY HISKIA OROH")</f>
        <v>GERALDY HISKIA OROH</v>
      </c>
      <c r="C189" s="18">
        <f>IFERROR(__xludf.DUMMYFUNCTION("""COMPUTED_VALUE"""),0.0)</f>
        <v>0</v>
      </c>
      <c r="D189" s="35"/>
      <c r="E189" s="18" t="str">
        <f>IFERROR(__xludf.DUMMYFUNCTION("""COMPUTED_VALUE"""),"CV. Adil Prima Perkasa")</f>
        <v>CV. Adil Prima Perkasa</v>
      </c>
      <c r="F189" s="18" t="str">
        <f>IFERROR(__xludf.DUMMYFUNCTION("""COMPUTED_VALUE"""),"DRIVER DT H500")</f>
        <v>DRIVER DT H500</v>
      </c>
      <c r="G189" s="18" t="str">
        <f>IFERROR(__xludf.DUMMYFUNCTION("""COMPUTED_VALUE"""),"KENDARAAN &amp; UNIT SUPPORT")</f>
        <v>KENDARAAN &amp; UNIT SUPPORT</v>
      </c>
      <c r="H189" s="18"/>
      <c r="I189" s="18"/>
      <c r="J189" s="36"/>
      <c r="K189" s="37" t="str">
        <f t="shared" si="1"/>
        <v/>
      </c>
    </row>
    <row r="190">
      <c r="A190" s="17">
        <f>IFERROR(__xludf.DUMMYFUNCTION("""COMPUTED_VALUE"""),2.08231817E8)</f>
        <v>208231817</v>
      </c>
      <c r="B190" s="18" t="str">
        <f>IFERROR(__xludf.DUMMYFUNCTION("""COMPUTED_VALUE"""),"GERSON MAABUAT")</f>
        <v>GERSON MAABUAT</v>
      </c>
      <c r="C190" s="18">
        <f>IFERROR(__xludf.DUMMYFUNCTION("""COMPUTED_VALUE"""),29.0)</f>
        <v>29</v>
      </c>
      <c r="D190" s="35" t="str">
        <f>IFERROR(__xludf.DUMMYFUNCTION("""COMPUTED_VALUE"""),"Kristen Protestan")</f>
        <v>Kristen Protestan</v>
      </c>
      <c r="E190" s="18" t="str">
        <f>IFERROR(__xludf.DUMMYFUNCTION("""COMPUTED_VALUE"""),"CV. Adil Prima Perkasa")</f>
        <v>CV. Adil Prima Perkasa</v>
      </c>
      <c r="F190" s="18" t="str">
        <f>IFERROR(__xludf.DUMMYFUNCTION("""COMPUTED_VALUE"""),"HELPER WELDER")</f>
        <v>HELPER WELDER</v>
      </c>
      <c r="G190" s="18" t="str">
        <f>IFERROR(__xludf.DUMMYFUNCTION("""COMPUTED_VALUE"""),"WORKSHOP")</f>
        <v>WORKSHOP</v>
      </c>
      <c r="H190" s="18" t="str">
        <f>IFERROR(__xludf.DUMMYFUNCTION("""COMPUTED_VALUE"""),"2023-11-29 22.16.46")</f>
        <v>2023-11-29 22.16.46</v>
      </c>
      <c r="I190" s="18" t="str">
        <f>IFERROR(__xludf.DUMMYFUNCTION("""COMPUTED_VALUE"""),"2023-11-29 22.16.46")</f>
        <v>2023-11-29 22.16.46</v>
      </c>
      <c r="J190" s="36"/>
      <c r="K190" s="37" t="str">
        <f t="shared" si="1"/>
        <v>[208231817] GERSON MAABUAT</v>
      </c>
    </row>
    <row r="191">
      <c r="A191" s="17">
        <f>IFERROR(__xludf.DUMMYFUNCTION("""COMPUTED_VALUE"""),2.02241888E8)</f>
        <v>202241888</v>
      </c>
      <c r="B191" s="18" t="str">
        <f>IFERROR(__xludf.DUMMYFUNCTION("""COMPUTED_VALUE"""),"GILBERT ANTHONIO PANGAI")</f>
        <v>GILBERT ANTHONIO PANGAI</v>
      </c>
      <c r="C191" s="18">
        <f>IFERROR(__xludf.DUMMYFUNCTION("""COMPUTED_VALUE"""),0.0)</f>
        <v>0</v>
      </c>
      <c r="D191" s="35"/>
      <c r="E191" s="18" t="str">
        <f>IFERROR(__xludf.DUMMYFUNCTION("""COMPUTED_VALUE"""),"CV. Adil Prima Perkasa")</f>
        <v>CV. Adil Prima Perkasa</v>
      </c>
      <c r="F191" s="18" t="str">
        <f>IFERROR(__xludf.DUMMYFUNCTION("""COMPUTED_VALUE"""),"STAFF HRD")</f>
        <v>STAFF HRD</v>
      </c>
      <c r="G191" s="18" t="str">
        <f>IFERROR(__xludf.DUMMYFUNCTION("""COMPUTED_VALUE"""),"HRD &amp; GA")</f>
        <v>HRD &amp; GA</v>
      </c>
      <c r="H191" s="18" t="str">
        <f>IFERROR(__xludf.DUMMYFUNCTION("""COMPUTED_VALUE"""),"2024-03-31 07.03.10")</f>
        <v>2024-03-31 07.03.10</v>
      </c>
      <c r="I191" s="18" t="str">
        <f>IFERROR(__xludf.DUMMYFUNCTION("""COMPUTED_VALUE"""),"2024-03-31 22.20.18")</f>
        <v>2024-03-31 22.20.18</v>
      </c>
      <c r="J191" s="36"/>
      <c r="K191" s="37" t="str">
        <f t="shared" si="1"/>
        <v>[202241888] GILBERT ANTHONIO PANGAI</v>
      </c>
    </row>
    <row r="192">
      <c r="A192" s="17">
        <f>IFERROR(__xludf.DUMMYFUNCTION("""COMPUTED_VALUE"""),1.07190992E8)</f>
        <v>107190992</v>
      </c>
      <c r="B192" s="18" t="str">
        <f>IFERROR(__xludf.DUMMYFUNCTION("""COMPUTED_VALUE"""),"GUNANTO")</f>
        <v>GUNANTO</v>
      </c>
      <c r="C192" s="18">
        <f>IFERROR(__xludf.DUMMYFUNCTION("""COMPUTED_VALUE"""),56.0)</f>
        <v>56</v>
      </c>
      <c r="D192" s="35" t="str">
        <f>IFERROR(__xludf.DUMMYFUNCTION("""COMPUTED_VALUE"""),"Islam")</f>
        <v>Islam</v>
      </c>
      <c r="E192" s="18" t="str">
        <f>IFERROR(__xludf.DUMMYFUNCTION("""COMPUTED_VALUE"""),"CV. SENTOSA ABADI")</f>
        <v>CV. SENTOSA ABADI</v>
      </c>
      <c r="F192" s="18" t="str">
        <f>IFERROR(__xludf.DUMMYFUNCTION("""COMPUTED_VALUE"""),"DRIVER LV")</f>
        <v>DRIVER LV</v>
      </c>
      <c r="G192" s="18" t="str">
        <f>IFERROR(__xludf.DUMMYFUNCTION("""COMPUTED_VALUE"""),"KENDARAAN &amp; UNIT SUPPORT")</f>
        <v>KENDARAAN &amp; UNIT SUPPORT</v>
      </c>
      <c r="H192" s="18" t="str">
        <f>IFERROR(__xludf.DUMMYFUNCTION("""COMPUTED_VALUE"""),"2024-03-31 06.28.51")</f>
        <v>2024-03-31 06.28.51</v>
      </c>
      <c r="I192" s="18" t="str">
        <f>IFERROR(__xludf.DUMMYFUNCTION("""COMPUTED_VALUE"""),"2024-03-31 17.17.00")</f>
        <v>2024-03-31 17.17.00</v>
      </c>
      <c r="J192" s="36">
        <f>IFERROR(__xludf.DUMMYFUNCTION("""COMPUTED_VALUE"""),30271.0)</f>
        <v>30271</v>
      </c>
      <c r="K192" s="37" t="str">
        <f t="shared" si="1"/>
        <v>[107190992] GUNANTO</v>
      </c>
    </row>
    <row r="193">
      <c r="A193" s="17">
        <f>IFERROR(__xludf.DUMMYFUNCTION("""COMPUTED_VALUE"""),2.02221588E8)</f>
        <v>202221588</v>
      </c>
      <c r="B193" s="18" t="str">
        <f>IFERROR(__xludf.DUMMYFUNCTION("""COMPUTED_VALUE"""),"GUNAWAN")</f>
        <v>GUNAWAN</v>
      </c>
      <c r="C193" s="18">
        <f>IFERROR(__xludf.DUMMYFUNCTION("""COMPUTED_VALUE"""),30.0)</f>
        <v>30</v>
      </c>
      <c r="D193" s="35" t="str">
        <f>IFERROR(__xludf.DUMMYFUNCTION("""COMPUTED_VALUE"""),"Islam")</f>
        <v>Islam</v>
      </c>
      <c r="E193" s="18" t="str">
        <f>IFERROR(__xludf.DUMMYFUNCTION("""COMPUTED_VALUE"""),"CV. Adil Prima Perkasa")</f>
        <v>CV. Adil Prima Perkasa</v>
      </c>
      <c r="F193" s="18" t="str">
        <f>IFERROR(__xludf.DUMMYFUNCTION("""COMPUTED_VALUE"""),"CREW EXPLORASI")</f>
        <v>CREW EXPLORASI</v>
      </c>
      <c r="G193" s="18" t="str">
        <f>IFERROR(__xludf.DUMMYFUNCTION("""COMPUTED_VALUE"""),"GRADE CONTROL")</f>
        <v>GRADE CONTROL</v>
      </c>
      <c r="H193" s="18" t="str">
        <f>IFERROR(__xludf.DUMMYFUNCTION("""COMPUTED_VALUE"""),"2023-11-30 05.08.49")</f>
        <v>2023-11-30 05.08.49</v>
      </c>
      <c r="I193" s="18" t="str">
        <f>IFERROR(__xludf.DUMMYFUNCTION("""COMPUTED_VALUE"""),"2023-11-30 18.34.38")</f>
        <v>2023-11-30 18.34.38</v>
      </c>
      <c r="J193" s="36"/>
      <c r="K193" s="37" t="str">
        <f t="shared" si="1"/>
        <v>[202221588] GUNAWAN</v>
      </c>
    </row>
    <row r="194">
      <c r="A194" s="17">
        <f>IFERROR(__xludf.DUMMYFUNCTION("""COMPUTED_VALUE"""),2.08231824E8)</f>
        <v>208231824</v>
      </c>
      <c r="B194" s="18" t="str">
        <f>IFERROR(__xludf.DUMMYFUNCTION("""COMPUTED_VALUE"""),"GUSTAF BILHAM MOPASU")</f>
        <v>GUSTAF BILHAM MOPASU</v>
      </c>
      <c r="C194" s="18">
        <f>IFERROR(__xludf.DUMMYFUNCTION("""COMPUTED_VALUE"""),27.0)</f>
        <v>27</v>
      </c>
      <c r="D194" s="35" t="str">
        <f>IFERROR(__xludf.DUMMYFUNCTION("""COMPUTED_VALUE"""),"Kristen Protestan")</f>
        <v>Kristen Protestan</v>
      </c>
      <c r="E194" s="18" t="str">
        <f>IFERROR(__xludf.DUMMYFUNCTION("""COMPUTED_VALUE"""),"CV. Adil Prima Perkasa")</f>
        <v>CV. Adil Prima Perkasa</v>
      </c>
      <c r="F194" s="18" t="str">
        <f>IFERROR(__xludf.DUMMYFUNCTION("""COMPUTED_VALUE"""),"DRIVER LV")</f>
        <v>DRIVER LV</v>
      </c>
      <c r="G194" s="18" t="str">
        <f>IFERROR(__xludf.DUMMYFUNCTION("""COMPUTED_VALUE"""),"KENDARAAN &amp; UNIT SUPPORT")</f>
        <v>KENDARAAN &amp; UNIT SUPPORT</v>
      </c>
      <c r="H194" s="18" t="str">
        <f>IFERROR(__xludf.DUMMYFUNCTION("""COMPUTED_VALUE"""),"2024-03-31 07.59.30")</f>
        <v>2024-03-31 07.59.30</v>
      </c>
      <c r="I194" s="18" t="str">
        <f>IFERROR(__xludf.DUMMYFUNCTION("""COMPUTED_VALUE"""),"2024-03-31 07.59.30")</f>
        <v>2024-03-31 07.59.30</v>
      </c>
      <c r="J194" s="36"/>
      <c r="K194" s="37" t="str">
        <f t="shared" si="1"/>
        <v>[208231824] GUSTAF BILHAM MOPASU</v>
      </c>
    </row>
    <row r="195">
      <c r="A195" s="17">
        <f>IFERROR(__xludf.DUMMYFUNCTION("""COMPUTED_VALUE"""),2.09221676E8)</f>
        <v>209221676</v>
      </c>
      <c r="B195" s="18" t="str">
        <f>IFERROR(__xludf.DUMMYFUNCTION("""COMPUTED_VALUE"""),"GUSTI RANDA HUSAIN")</f>
        <v>GUSTI RANDA HUSAIN</v>
      </c>
      <c r="C195" s="18">
        <f>IFERROR(__xludf.DUMMYFUNCTION("""COMPUTED_VALUE"""),37.0)</f>
        <v>37</v>
      </c>
      <c r="D195" s="35" t="str">
        <f>IFERROR(__xludf.DUMMYFUNCTION("""COMPUTED_VALUE"""),"Islam")</f>
        <v>Islam</v>
      </c>
      <c r="E195" s="18" t="str">
        <f>IFERROR(__xludf.DUMMYFUNCTION("""COMPUTED_VALUE"""),"CV. Adil Prima Perkasa")</f>
        <v>CV. Adil Prima Perkasa</v>
      </c>
      <c r="F195" s="18" t="str">
        <f>IFERROR(__xludf.DUMMYFUNCTION("""COMPUTED_VALUE"""),"DRIVER DT H500")</f>
        <v>DRIVER DT H500</v>
      </c>
      <c r="G195" s="18" t="str">
        <f>IFERROR(__xludf.DUMMYFUNCTION("""COMPUTED_VALUE"""),"KENDARAAN &amp; UNIT SUPPORT")</f>
        <v>KENDARAAN &amp; UNIT SUPPORT</v>
      </c>
      <c r="H195" s="18" t="str">
        <f>IFERROR(__xludf.DUMMYFUNCTION("""COMPUTED_VALUE"""),"2024-03-31 05.22.41")</f>
        <v>2024-03-31 05.22.41</v>
      </c>
      <c r="I195" s="18" t="str">
        <f>IFERROR(__xludf.DUMMYFUNCTION("""COMPUTED_VALUE"""),"2024-03-31 17.33.33")</f>
        <v>2024-03-31 17.33.33</v>
      </c>
      <c r="J195" s="36">
        <f>IFERROR(__xludf.DUMMYFUNCTION("""COMPUTED_VALUE"""),33426.0)</f>
        <v>33426</v>
      </c>
      <c r="K195" s="37" t="str">
        <f t="shared" si="1"/>
        <v>[209221676] GUSTI RANDA HUSAIN</v>
      </c>
    </row>
    <row r="196">
      <c r="A196" s="17">
        <f>IFERROR(__xludf.DUMMYFUNCTION("""COMPUTED_VALUE"""),2.09221682E8)</f>
        <v>209221682</v>
      </c>
      <c r="B196" s="18" t="str">
        <f>IFERROR(__xludf.DUMMYFUNCTION("""COMPUTED_VALUE"""),"HABIBI")</f>
        <v>HABIBI</v>
      </c>
      <c r="C196" s="18">
        <f>IFERROR(__xludf.DUMMYFUNCTION("""COMPUTED_VALUE"""),28.0)</f>
        <v>28</v>
      </c>
      <c r="D196" s="35" t="str">
        <f>IFERROR(__xludf.DUMMYFUNCTION("""COMPUTED_VALUE"""),"Islam")</f>
        <v>Islam</v>
      </c>
      <c r="E196" s="18" t="str">
        <f>IFERROR(__xludf.DUMMYFUNCTION("""COMPUTED_VALUE"""),"CV. Adil Prima Perkasa")</f>
        <v>CV. Adil Prima Perkasa</v>
      </c>
      <c r="F196" s="18" t="str">
        <f>IFERROR(__xludf.DUMMYFUNCTION("""COMPUTED_VALUE"""),"DRIVER DT H700ZY")</f>
        <v>DRIVER DT H700ZY</v>
      </c>
      <c r="G196" s="18" t="str">
        <f>IFERROR(__xludf.DUMMYFUNCTION("""COMPUTED_VALUE"""),"KENDARAAN &amp; UNIT SUPPORT")</f>
        <v>KENDARAAN &amp; UNIT SUPPORT</v>
      </c>
      <c r="H196" s="18" t="str">
        <f>IFERROR(__xludf.DUMMYFUNCTION("""COMPUTED_VALUE"""),"2024-03-31 06.38.39")</f>
        <v>2024-03-31 06.38.39</v>
      </c>
      <c r="I196" s="18" t="str">
        <f>IFERROR(__xludf.DUMMYFUNCTION("""COMPUTED_VALUE"""),"2024-03-31 13.17.27")</f>
        <v>2024-03-31 13.17.27</v>
      </c>
      <c r="J196" s="36">
        <f>IFERROR(__xludf.DUMMYFUNCTION("""COMPUTED_VALUE"""),35300.0)</f>
        <v>35300</v>
      </c>
      <c r="K196" s="37" t="str">
        <f t="shared" si="1"/>
        <v>[209221682] HABIBI</v>
      </c>
    </row>
    <row r="197">
      <c r="A197" s="17">
        <f>IFERROR(__xludf.DUMMYFUNCTION("""COMPUTED_VALUE"""),3.11200019E8)</f>
        <v>311200019</v>
      </c>
      <c r="B197" s="18" t="str">
        <f>IFERROR(__xludf.DUMMYFUNCTION("""COMPUTED_VALUE"""),"HAIRIL")</f>
        <v>HAIRIL</v>
      </c>
      <c r="C197" s="18">
        <f>IFERROR(__xludf.DUMMYFUNCTION("""COMPUTED_VALUE"""),33.0)</f>
        <v>33</v>
      </c>
      <c r="D197" s="35" t="str">
        <f>IFERROR(__xludf.DUMMYFUNCTION("""COMPUTED_VALUE"""),"Islam")</f>
        <v>Islam</v>
      </c>
      <c r="E197" s="18" t="str">
        <f>IFERROR(__xludf.DUMMYFUNCTION("""COMPUTED_VALUE"""),"CV. Monalisa")</f>
        <v>CV. Monalisa</v>
      </c>
      <c r="F197" s="18" t="str">
        <f>IFERROR(__xludf.DUMMYFUNCTION("""COMPUTED_VALUE"""),"OPERATOR EXCAVATOR")</f>
        <v>OPERATOR EXCAVATOR</v>
      </c>
      <c r="G197" s="18" t="str">
        <f>IFERROR(__xludf.DUMMYFUNCTION("""COMPUTED_VALUE"""),"PRODUKSI")</f>
        <v>PRODUKSI</v>
      </c>
      <c r="H197" s="18"/>
      <c r="I197" s="18"/>
      <c r="J197" s="36"/>
      <c r="K197" s="37" t="str">
        <f t="shared" si="1"/>
        <v/>
      </c>
    </row>
    <row r="198">
      <c r="A198" s="17">
        <f>IFERROR(__xludf.DUMMYFUNCTION("""COMPUTED_VALUE"""),2.0921148E8)</f>
        <v>209211480</v>
      </c>
      <c r="B198" s="18" t="str">
        <f>IFERROR(__xludf.DUMMYFUNCTION("""COMPUTED_VALUE"""),"HAMDAN ALI")</f>
        <v>HAMDAN ALI</v>
      </c>
      <c r="C198" s="18">
        <f>IFERROR(__xludf.DUMMYFUNCTION("""COMPUTED_VALUE"""),47.0)</f>
        <v>47</v>
      </c>
      <c r="D198" s="35" t="str">
        <f>IFERROR(__xludf.DUMMYFUNCTION("""COMPUTED_VALUE"""),"Islam")</f>
        <v>Islam</v>
      </c>
      <c r="E198" s="18" t="str">
        <f>IFERROR(__xludf.DUMMYFUNCTION("""COMPUTED_VALUE"""),"CV. Adil Prima Perkasa")</f>
        <v>CV. Adil Prima Perkasa</v>
      </c>
      <c r="F198" s="18" t="str">
        <f>IFERROR(__xludf.DUMMYFUNCTION("""COMPUTED_VALUE"""),"DRIVER DT H700ZY")</f>
        <v>DRIVER DT H700ZY</v>
      </c>
      <c r="G198" s="18" t="str">
        <f>IFERROR(__xludf.DUMMYFUNCTION("""COMPUTED_VALUE"""),"KENDARAAN &amp; UNIT SUPPORT")</f>
        <v>KENDARAAN &amp; UNIT SUPPORT</v>
      </c>
      <c r="H198" s="18" t="str">
        <f>IFERROR(__xludf.DUMMYFUNCTION("""COMPUTED_VALUE"""),"2024-03-29 17.13.43")</f>
        <v>2024-03-29 17.13.43</v>
      </c>
      <c r="I198" s="18" t="str">
        <f>IFERROR(__xludf.DUMMYFUNCTION("""COMPUTED_VALUE"""),"2024-03-29 17.13.43")</f>
        <v>2024-03-29 17.13.43</v>
      </c>
      <c r="J198" s="36">
        <f>IFERROR(__xludf.DUMMYFUNCTION("""COMPUTED_VALUE"""),30017.0)</f>
        <v>30017</v>
      </c>
      <c r="K198" s="37" t="str">
        <f t="shared" si="1"/>
        <v>[209211480] HAMDAN ALI</v>
      </c>
    </row>
    <row r="199">
      <c r="A199" s="17">
        <f>IFERROR(__xludf.DUMMYFUNCTION("""COMPUTED_VALUE"""),1.04211374E8)</f>
        <v>104211374</v>
      </c>
      <c r="B199" s="18" t="str">
        <f>IFERROR(__xludf.DUMMYFUNCTION("""COMPUTED_VALUE"""),"HAMDI, A. Md")</f>
        <v>HAMDI, A. Md</v>
      </c>
      <c r="C199" s="18">
        <f>IFERROR(__xludf.DUMMYFUNCTION("""COMPUTED_VALUE"""),44.0)</f>
        <v>44</v>
      </c>
      <c r="D199" s="35" t="str">
        <f>IFERROR(__xludf.DUMMYFUNCTION("""COMPUTED_VALUE"""),"Islam")</f>
        <v>Islam</v>
      </c>
      <c r="E199" s="18" t="str">
        <f>IFERROR(__xludf.DUMMYFUNCTION("""COMPUTED_VALUE"""),"CV. SENTOSA ABADI")</f>
        <v>CV. SENTOSA ABADI</v>
      </c>
      <c r="F199" s="18" t="str">
        <f>IFERROR(__xludf.DUMMYFUNCTION("""COMPUTED_VALUE"""),"OPERATOR ADT")</f>
        <v>OPERATOR ADT</v>
      </c>
      <c r="G199" s="18" t="str">
        <f>IFERROR(__xludf.DUMMYFUNCTION("""COMPUTED_VALUE"""),"PRODUKSI")</f>
        <v>PRODUKSI</v>
      </c>
      <c r="H199" s="18" t="str">
        <f>IFERROR(__xludf.DUMMYFUNCTION("""COMPUTED_VALUE"""),"2023-11-30 05.49.57")</f>
        <v>2023-11-30 05.49.57</v>
      </c>
      <c r="I199" s="18" t="str">
        <f>IFERROR(__xludf.DUMMYFUNCTION("""COMPUTED_VALUE"""),"2023-11-30 05.49.57")</f>
        <v>2023-11-30 05.49.57</v>
      </c>
      <c r="J199" s="36">
        <f>IFERROR(__xludf.DUMMYFUNCTION("""COMPUTED_VALUE"""),32007.0)</f>
        <v>32007</v>
      </c>
      <c r="K199" s="37" t="str">
        <f t="shared" si="1"/>
        <v>[104211374] HAMDI, A. Md</v>
      </c>
    </row>
    <row r="200">
      <c r="A200" s="17">
        <f>IFERROR(__xludf.DUMMYFUNCTION("""COMPUTED_VALUE"""),1.0820119E8)</f>
        <v>108201190</v>
      </c>
      <c r="B200" s="18" t="str">
        <f>IFERROR(__xludf.DUMMYFUNCTION("""COMPUTED_VALUE"""),"HANI LARASATI")</f>
        <v>HANI LARASATI</v>
      </c>
      <c r="C200" s="18">
        <f>IFERROR(__xludf.DUMMYFUNCTION("""COMPUTED_VALUE"""),28.0)</f>
        <v>28</v>
      </c>
      <c r="D200" s="35" t="str">
        <f>IFERROR(__xludf.DUMMYFUNCTION("""COMPUTED_VALUE"""),"Islam")</f>
        <v>Islam</v>
      </c>
      <c r="E200" s="18" t="str">
        <f>IFERROR(__xludf.DUMMYFUNCTION("""COMPUTED_VALUE"""),"CV. SENTOSA ABADI")</f>
        <v>CV. SENTOSA ABADI</v>
      </c>
      <c r="F200" s="18" t="str">
        <f>IFERROR(__xludf.DUMMYFUNCTION("""COMPUTED_VALUE"""),"ADMIN LOGISTIC")</f>
        <v>ADMIN LOGISTIC</v>
      </c>
      <c r="G200" s="18" t="str">
        <f>IFERROR(__xludf.DUMMYFUNCTION("""COMPUTED_VALUE"""),"LOGISTIC")</f>
        <v>LOGISTIC</v>
      </c>
      <c r="H200" s="18" t="str">
        <f>IFERROR(__xludf.DUMMYFUNCTION("""COMPUTED_VALUE"""),"2023-11-30 07.31.11")</f>
        <v>2023-11-30 07.31.11</v>
      </c>
      <c r="I200" s="18" t="str">
        <f>IFERROR(__xludf.DUMMYFUNCTION("""COMPUTED_VALUE"""),"2023-11-30 07.31.11")</f>
        <v>2023-11-30 07.31.11</v>
      </c>
      <c r="J200" s="36"/>
      <c r="K200" s="37" t="str">
        <f t="shared" si="1"/>
        <v>[108201190] HANI LARASATI</v>
      </c>
    </row>
    <row r="201">
      <c r="A201" s="17">
        <f>IFERROR(__xludf.DUMMYFUNCTION("""COMPUTED_VALUE"""),2.09231838E8)</f>
        <v>209231838</v>
      </c>
      <c r="B201" s="18" t="str">
        <f>IFERROR(__xludf.DUMMYFUNCTION("""COMPUTED_VALUE"""),"HARDIAN AKANGKUNG")</f>
        <v>HARDIAN AKANGKUNG</v>
      </c>
      <c r="C201" s="18">
        <f>IFERROR(__xludf.DUMMYFUNCTION("""COMPUTED_VALUE"""),0.0)</f>
        <v>0</v>
      </c>
      <c r="D201" s="35"/>
      <c r="E201" s="18" t="str">
        <f>IFERROR(__xludf.DUMMYFUNCTION("""COMPUTED_VALUE"""),"CV. Adil Prima Perkasa")</f>
        <v>CV. Adil Prima Perkasa</v>
      </c>
      <c r="F201" s="18" t="str">
        <f>IFERROR(__xludf.DUMMYFUNCTION("""COMPUTED_VALUE"""),"DRIVER DT H500")</f>
        <v>DRIVER DT H500</v>
      </c>
      <c r="G201" s="18" t="str">
        <f>IFERROR(__xludf.DUMMYFUNCTION("""COMPUTED_VALUE"""),"KENDARAAN &amp; UNIT SUPPORT")</f>
        <v>KENDARAAN &amp; UNIT SUPPORT</v>
      </c>
      <c r="H201" s="18" t="str">
        <f>IFERROR(__xludf.DUMMYFUNCTION("""COMPUTED_VALUE"""),"2024-03-30 16.03.09")</f>
        <v>2024-03-30 16.03.09</v>
      </c>
      <c r="I201" s="18" t="str">
        <f>IFERROR(__xludf.DUMMYFUNCTION("""COMPUTED_VALUE"""),"2024-03-30 16.03.09")</f>
        <v>2024-03-30 16.03.09</v>
      </c>
      <c r="J201" s="36"/>
      <c r="K201" s="37" t="str">
        <f t="shared" si="1"/>
        <v>[209231838] HARDIAN AKANGKUNG</v>
      </c>
    </row>
    <row r="202">
      <c r="A202" s="17">
        <f>IFERROR(__xludf.DUMMYFUNCTION("""COMPUTED_VALUE"""),2.03231742E8)</f>
        <v>203231742</v>
      </c>
      <c r="B202" s="18" t="str">
        <f>IFERROR(__xludf.DUMMYFUNCTION("""COMPUTED_VALUE"""),"HARIYANTO")</f>
        <v>HARIYANTO</v>
      </c>
      <c r="C202" s="18">
        <f>IFERROR(__xludf.DUMMYFUNCTION("""COMPUTED_VALUE"""),43.0)</f>
        <v>43</v>
      </c>
      <c r="D202" s="35" t="str">
        <f>IFERROR(__xludf.DUMMYFUNCTION("""COMPUTED_VALUE"""),"Islam")</f>
        <v>Islam</v>
      </c>
      <c r="E202" s="18" t="str">
        <f>IFERROR(__xludf.DUMMYFUNCTION("""COMPUTED_VALUE"""),"CV. Adil Prima Perkasa")</f>
        <v>CV. Adil Prima Perkasa</v>
      </c>
      <c r="F202" s="18" t="str">
        <f>IFERROR(__xludf.DUMMYFUNCTION("""COMPUTED_VALUE"""),"DRIVER DT H700ZS")</f>
        <v>DRIVER DT H700ZS</v>
      </c>
      <c r="G202" s="18" t="str">
        <f>IFERROR(__xludf.DUMMYFUNCTION("""COMPUTED_VALUE"""),"KENDARAAN &amp; UNIT SUPPORT")</f>
        <v>KENDARAAN &amp; UNIT SUPPORT</v>
      </c>
      <c r="H202" s="18" t="str">
        <f>IFERROR(__xludf.DUMMYFUNCTION("""COMPUTED_VALUE"""),"2024-03-31 06.11.17")</f>
        <v>2024-03-31 06.11.17</v>
      </c>
      <c r="I202" s="18" t="str">
        <f>IFERROR(__xludf.DUMMYFUNCTION("""COMPUTED_VALUE"""),"2024-03-31 17.18.18")</f>
        <v>2024-03-31 17.18.18</v>
      </c>
      <c r="J202" s="36"/>
      <c r="K202" s="37" t="str">
        <f t="shared" si="1"/>
        <v>[203231742] HARIYANTO</v>
      </c>
    </row>
    <row r="203">
      <c r="A203" s="17">
        <f>IFERROR(__xludf.DUMMYFUNCTION("""COMPUTED_VALUE"""),3.10200012E8)</f>
        <v>310200012</v>
      </c>
      <c r="B203" s="18" t="str">
        <f>IFERROR(__xludf.DUMMYFUNCTION("""COMPUTED_VALUE"""),"HARTONI LAPIAN")</f>
        <v>HARTONI LAPIAN</v>
      </c>
      <c r="C203" s="18">
        <f>IFERROR(__xludf.DUMMYFUNCTION("""COMPUTED_VALUE"""),64.0)</f>
        <v>64</v>
      </c>
      <c r="D203" s="35" t="str">
        <f>IFERROR(__xludf.DUMMYFUNCTION("""COMPUTED_VALUE"""),"Kristen Protestan")</f>
        <v>Kristen Protestan</v>
      </c>
      <c r="E203" s="18" t="str">
        <f>IFERROR(__xludf.DUMMYFUNCTION("""COMPUTED_VALUE"""),"CV. Monalisa")</f>
        <v>CV. Monalisa</v>
      </c>
      <c r="F203" s="18" t="str">
        <f>IFERROR(__xludf.DUMMYFUNCTION("""COMPUTED_VALUE"""),"SUPERVISI")</f>
        <v>SUPERVISI</v>
      </c>
      <c r="G203" s="18" t="str">
        <f>IFERROR(__xludf.DUMMYFUNCTION("""COMPUTED_VALUE"""),"INFRASTRUKTUR")</f>
        <v>INFRASTRUKTUR</v>
      </c>
      <c r="H203" s="18"/>
      <c r="I203" s="18"/>
      <c r="J203" s="36"/>
      <c r="K203" s="37" t="str">
        <f t="shared" si="1"/>
        <v/>
      </c>
    </row>
    <row r="204">
      <c r="A204" s="17">
        <f>IFERROR(__xludf.DUMMYFUNCTION("""COMPUTED_VALUE"""),1.09221698E8)</f>
        <v>109221698</v>
      </c>
      <c r="B204" s="18" t="str">
        <f>IFERROR(__xludf.DUMMYFUNCTION("""COMPUTED_VALUE"""),"HARYADI ABDUL RAHIM")</f>
        <v>HARYADI ABDUL RAHIM</v>
      </c>
      <c r="C204" s="18">
        <f>IFERROR(__xludf.DUMMYFUNCTION("""COMPUTED_VALUE"""),0.0)</f>
        <v>0</v>
      </c>
      <c r="D204" s="35"/>
      <c r="E204" s="18" t="str">
        <f>IFERROR(__xludf.DUMMYFUNCTION("""COMPUTED_VALUE"""),"CV. SENTOSA ABADI")</f>
        <v>CV. SENTOSA ABADI</v>
      </c>
      <c r="F204" s="18" t="str">
        <f>IFERROR(__xludf.DUMMYFUNCTION("""COMPUTED_VALUE"""),"FALSE")</f>
        <v>FALSE</v>
      </c>
      <c r="G204" s="18" t="str">
        <f>IFERROR(__xludf.DUMMYFUNCTION("""COMPUTED_VALUE"""),"HRD &amp; GA")</f>
        <v>HRD &amp; GA</v>
      </c>
      <c r="H204" s="18" t="str">
        <f>IFERROR(__xludf.DUMMYFUNCTION("""COMPUTED_VALUE"""),"2024-03-31 05.50.31")</f>
        <v>2024-03-31 05.50.31</v>
      </c>
      <c r="I204" s="18" t="str">
        <f>IFERROR(__xludf.DUMMYFUNCTION("""COMPUTED_VALUE"""),"2024-03-31 18.00.13")</f>
        <v>2024-03-31 18.00.13</v>
      </c>
      <c r="J204" s="36"/>
      <c r="K204" s="37" t="str">
        <f t="shared" si="1"/>
        <v>[109221698] HARYADI ABDUL RAHIM</v>
      </c>
    </row>
    <row r="205">
      <c r="A205" s="17">
        <f>IFERROR(__xludf.DUMMYFUNCTION("""COMPUTED_VALUE"""),1.06180899E8)</f>
        <v>106180899</v>
      </c>
      <c r="B205" s="18" t="str">
        <f>IFERROR(__xludf.DUMMYFUNCTION("""COMPUTED_VALUE"""),"HASAN LAATA")</f>
        <v>HASAN LAATA</v>
      </c>
      <c r="C205" s="18">
        <f>IFERROR(__xludf.DUMMYFUNCTION("""COMPUTED_VALUE"""),62.0)</f>
        <v>62</v>
      </c>
      <c r="D205" s="35" t="str">
        <f>IFERROR(__xludf.DUMMYFUNCTION("""COMPUTED_VALUE"""),"Islam")</f>
        <v>Islam</v>
      </c>
      <c r="E205" s="18" t="str">
        <f>IFERROR(__xludf.DUMMYFUNCTION("""COMPUTED_VALUE"""),"CV. SENTOSA ABADI")</f>
        <v>CV. SENTOSA ABADI</v>
      </c>
      <c r="F205" s="18" t="str">
        <f>IFERROR(__xludf.DUMMYFUNCTION("""COMPUTED_VALUE"""),"OPERATOR ADT")</f>
        <v>OPERATOR ADT</v>
      </c>
      <c r="G205" s="18" t="str">
        <f>IFERROR(__xludf.DUMMYFUNCTION("""COMPUTED_VALUE"""),"PRODUKSI")</f>
        <v>PRODUKSI</v>
      </c>
      <c r="H205" s="18" t="str">
        <f>IFERROR(__xludf.DUMMYFUNCTION("""COMPUTED_VALUE"""),"2023-11-30 05.44.34")</f>
        <v>2023-11-30 05.44.34</v>
      </c>
      <c r="I205" s="18" t="str">
        <f>IFERROR(__xludf.DUMMYFUNCTION("""COMPUTED_VALUE"""),"2023-11-30 16.56.42")</f>
        <v>2023-11-30 16.56.42</v>
      </c>
      <c r="J205" s="36">
        <f>IFERROR(__xludf.DUMMYFUNCTION("""COMPUTED_VALUE"""),26881.0)</f>
        <v>26881</v>
      </c>
      <c r="K205" s="37" t="str">
        <f t="shared" si="1"/>
        <v>[106180899] HASAN LAATA</v>
      </c>
    </row>
    <row r="206">
      <c r="A206" s="17">
        <f>IFERROR(__xludf.DUMMYFUNCTION("""COMPUTED_VALUE"""),2.01190739E8)</f>
        <v>201190739</v>
      </c>
      <c r="B206" s="18" t="str">
        <f>IFERROR(__xludf.DUMMYFUNCTION("""COMPUTED_VALUE"""),"HASAN SYAMSUDIN")</f>
        <v>HASAN SYAMSUDIN</v>
      </c>
      <c r="C206" s="18">
        <f>IFERROR(__xludf.DUMMYFUNCTION("""COMPUTED_VALUE"""),39.0)</f>
        <v>39</v>
      </c>
      <c r="D206" s="35" t="str">
        <f>IFERROR(__xludf.DUMMYFUNCTION("""COMPUTED_VALUE"""),"Islam")</f>
        <v>Islam</v>
      </c>
      <c r="E206" s="18" t="str">
        <f>IFERROR(__xludf.DUMMYFUNCTION("""COMPUTED_VALUE"""),"CV. Adil Prima Perkasa")</f>
        <v>CV. Adil Prima Perkasa</v>
      </c>
      <c r="F206" s="18" t="str">
        <f>IFERROR(__xludf.DUMMYFUNCTION("""COMPUTED_VALUE"""),"HELPER FUEL")</f>
        <v>HELPER FUEL</v>
      </c>
      <c r="G206" s="18" t="str">
        <f>IFERROR(__xludf.DUMMYFUNCTION("""COMPUTED_VALUE"""),"MPE")</f>
        <v>MPE</v>
      </c>
      <c r="H206" s="18" t="str">
        <f>IFERROR(__xludf.DUMMYFUNCTION("""COMPUTED_VALUE"""),"2023-11-30 07.08.29")</f>
        <v>2023-11-30 07.08.29</v>
      </c>
      <c r="I206" s="18" t="str">
        <f>IFERROR(__xludf.DUMMYFUNCTION("""COMPUTED_VALUE"""),"2023-11-30 07.08.29")</f>
        <v>2023-11-30 07.08.29</v>
      </c>
      <c r="J206" s="36">
        <f>IFERROR(__xludf.DUMMYFUNCTION("""COMPUTED_VALUE"""),31778.0)</f>
        <v>31778</v>
      </c>
      <c r="K206" s="37" t="str">
        <f t="shared" si="1"/>
        <v>[201190739] HASAN SYAMSUDIN</v>
      </c>
    </row>
    <row r="207">
      <c r="A207" s="17">
        <f>IFERROR(__xludf.DUMMYFUNCTION("""COMPUTED_VALUE"""),2.02241889E8)</f>
        <v>202241889</v>
      </c>
      <c r="B207" s="18" t="str">
        <f>IFERROR(__xludf.DUMMYFUNCTION("""COMPUTED_VALUE"""),"HASRUL")</f>
        <v>HASRUL</v>
      </c>
      <c r="C207" s="18">
        <f>IFERROR(__xludf.DUMMYFUNCTION("""COMPUTED_VALUE"""),30.0)</f>
        <v>30</v>
      </c>
      <c r="D207" s="35" t="str">
        <f>IFERROR(__xludf.DUMMYFUNCTION("""COMPUTED_VALUE"""),"Islam")</f>
        <v>Islam</v>
      </c>
      <c r="E207" s="18" t="str">
        <f>IFERROR(__xludf.DUMMYFUNCTION("""COMPUTED_VALUE"""),"CV. Adil Prima Perkasa")</f>
        <v>CV. Adil Prima Perkasa</v>
      </c>
      <c r="F207" s="18" t="str">
        <f>IFERROR(__xludf.DUMMYFUNCTION("""COMPUTED_VALUE"""),"HELPER TYRE")</f>
        <v>HELPER TYRE</v>
      </c>
      <c r="G207" s="18" t="str">
        <f>IFERROR(__xludf.DUMMYFUNCTION("""COMPUTED_VALUE"""),"WORKSHOP")</f>
        <v>WORKSHOP</v>
      </c>
      <c r="H207" s="18"/>
      <c r="I207" s="18"/>
      <c r="J207" s="36"/>
      <c r="K207" s="37" t="str">
        <f t="shared" si="1"/>
        <v/>
      </c>
    </row>
    <row r="208">
      <c r="A208" s="17">
        <f>IFERROR(__xludf.DUMMYFUNCTION("""COMPUTED_VALUE"""),2.12221711E8)</f>
        <v>212221711</v>
      </c>
      <c r="B208" s="18" t="str">
        <f>IFERROR(__xludf.DUMMYFUNCTION("""COMPUTED_VALUE"""),"HASRUL")</f>
        <v>HASRUL</v>
      </c>
      <c r="C208" s="18">
        <f>IFERROR(__xludf.DUMMYFUNCTION("""COMPUTED_VALUE"""),33.0)</f>
        <v>33</v>
      </c>
      <c r="D208" s="35" t="str">
        <f>IFERROR(__xludf.DUMMYFUNCTION("""COMPUTED_VALUE"""),"Islam")</f>
        <v>Islam</v>
      </c>
      <c r="E208" s="18" t="str">
        <f>IFERROR(__xludf.DUMMYFUNCTION("""COMPUTED_VALUE"""),"CV. Adil Prima Perkasa")</f>
        <v>CV. Adil Prima Perkasa</v>
      </c>
      <c r="F208" s="18" t="str">
        <f>IFERROR(__xludf.DUMMYFUNCTION("""COMPUTED_VALUE"""),"DRIVER DT H700ZS")</f>
        <v>DRIVER DT H700ZS</v>
      </c>
      <c r="G208" s="18" t="str">
        <f>IFERROR(__xludf.DUMMYFUNCTION("""COMPUTED_VALUE"""),"KENDARAAN &amp; UNIT SUPPORT")</f>
        <v>KENDARAAN &amp; UNIT SUPPORT</v>
      </c>
      <c r="H208" s="18" t="str">
        <f>IFERROR(__xludf.DUMMYFUNCTION("""COMPUTED_VALUE"""),"2024-03-30 03.14.41")</f>
        <v>2024-03-30 03.14.41</v>
      </c>
      <c r="I208" s="18" t="str">
        <f>IFERROR(__xludf.DUMMYFUNCTION("""COMPUTED_VALUE"""),"2024-03-30 03.14.41")</f>
        <v>2024-03-30 03.14.41</v>
      </c>
      <c r="J208" s="36">
        <f>IFERROR(__xludf.DUMMYFUNCTION("""COMPUTED_VALUE"""),34031.0)</f>
        <v>34031</v>
      </c>
      <c r="K208" s="37" t="str">
        <f t="shared" si="1"/>
        <v>[212221711] HASRUL</v>
      </c>
    </row>
    <row r="209">
      <c r="A209" s="17">
        <f>IFERROR(__xludf.DUMMYFUNCTION("""COMPUTED_VALUE"""),2.08201174E8)</f>
        <v>208201174</v>
      </c>
      <c r="B209" s="18" t="str">
        <f>IFERROR(__xludf.DUMMYFUNCTION("""COMPUTED_VALUE"""),"HEIRUDDIN CHAIRIL")</f>
        <v>HEIRUDDIN CHAIRIL</v>
      </c>
      <c r="C209" s="18">
        <f>IFERROR(__xludf.DUMMYFUNCTION("""COMPUTED_VALUE"""),36.0)</f>
        <v>36</v>
      </c>
      <c r="D209" s="35" t="str">
        <f>IFERROR(__xludf.DUMMYFUNCTION("""COMPUTED_VALUE"""),"Islam")</f>
        <v>Islam</v>
      </c>
      <c r="E209" s="18" t="str">
        <f>IFERROR(__xludf.DUMMYFUNCTION("""COMPUTED_VALUE"""),"CV. Adil Prima Perkasa")</f>
        <v>CV. Adil Prima Perkasa</v>
      </c>
      <c r="F209" s="18" t="str">
        <f>IFERROR(__xludf.DUMMYFUNCTION("""COMPUTED_VALUE"""),"DRIVER DT H700ZY")</f>
        <v>DRIVER DT H700ZY</v>
      </c>
      <c r="G209" s="18" t="str">
        <f>IFERROR(__xludf.DUMMYFUNCTION("""COMPUTED_VALUE"""),"KENDARAAN &amp; UNIT SUPPORT")</f>
        <v>KENDARAAN &amp; UNIT SUPPORT</v>
      </c>
      <c r="H209" s="18" t="str">
        <f>IFERROR(__xludf.DUMMYFUNCTION("""COMPUTED_VALUE"""),"2024-03-31 05.27.26")</f>
        <v>2024-03-31 05.27.26</v>
      </c>
      <c r="I209" s="18" t="str">
        <f>IFERROR(__xludf.DUMMYFUNCTION("""COMPUTED_VALUE"""),"2024-03-31 05.27.26")</f>
        <v>2024-03-31 05.27.26</v>
      </c>
      <c r="J209" s="36">
        <f>IFERROR(__xludf.DUMMYFUNCTION("""COMPUTED_VALUE"""),34856.0)</f>
        <v>34856</v>
      </c>
      <c r="K209" s="37" t="str">
        <f t="shared" si="1"/>
        <v>[208201174] HEIRUDDIN CHAIRIL</v>
      </c>
    </row>
    <row r="210">
      <c r="A210" s="17">
        <f>IFERROR(__xludf.DUMMYFUNCTION("""COMPUTED_VALUE"""),2.10211514E8)</f>
        <v>210211514</v>
      </c>
      <c r="B210" s="18" t="str">
        <f>IFERROR(__xludf.DUMMYFUNCTION("""COMPUTED_VALUE"""),"HELIUS SALDINUS SERVIN NDAHU")</f>
        <v>HELIUS SALDINUS SERVIN NDAHU</v>
      </c>
      <c r="C210" s="18">
        <f>IFERROR(__xludf.DUMMYFUNCTION("""COMPUTED_VALUE"""),22.0)</f>
        <v>22</v>
      </c>
      <c r="D210" s="35" t="str">
        <f>IFERROR(__xludf.DUMMYFUNCTION("""COMPUTED_VALUE"""),"Kristen Khatolik")</f>
        <v>Kristen Khatolik</v>
      </c>
      <c r="E210" s="18" t="str">
        <f>IFERROR(__xludf.DUMMYFUNCTION("""COMPUTED_VALUE"""),"CV. Adil Prima Perkasa")</f>
        <v>CV. Adil Prima Perkasa</v>
      </c>
      <c r="F210" s="18" t="str">
        <f>IFERROR(__xludf.DUMMYFUNCTION("""COMPUTED_VALUE"""),"CHECKER PRODUKSI")</f>
        <v>CHECKER PRODUKSI</v>
      </c>
      <c r="G210" s="18" t="str">
        <f>IFERROR(__xludf.DUMMYFUNCTION("""COMPUTED_VALUE"""),"PRODUKSI")</f>
        <v>PRODUKSI</v>
      </c>
      <c r="H210" s="18" t="str">
        <f>IFERROR(__xludf.DUMMYFUNCTION("""COMPUTED_VALUE"""),"2023-11-29 22.17.00")</f>
        <v>2023-11-29 22.17.00</v>
      </c>
      <c r="I210" s="18" t="str">
        <f>IFERROR(__xludf.DUMMYFUNCTION("""COMPUTED_VALUE"""),"2023-11-29 22.17.00")</f>
        <v>2023-11-29 22.17.00</v>
      </c>
      <c r="J210" s="36"/>
      <c r="K210" s="37" t="str">
        <f t="shared" si="1"/>
        <v>[210211514] HELIUS SALDINUS SERVIN NDAHU</v>
      </c>
    </row>
    <row r="211">
      <c r="A211" s="17">
        <f>IFERROR(__xludf.DUMMYFUNCTION("""COMPUTED_VALUE"""),2.12231859E8)</f>
        <v>212231859</v>
      </c>
      <c r="B211" s="18" t="str">
        <f>IFERROR(__xludf.DUMMYFUNCTION("""COMPUTED_VALUE"""),"HENDRA")</f>
        <v>HENDRA</v>
      </c>
      <c r="C211" s="18">
        <f>IFERROR(__xludf.DUMMYFUNCTION("""COMPUTED_VALUE"""),0.0)</f>
        <v>0</v>
      </c>
      <c r="D211" s="35"/>
      <c r="E211" s="18" t="str">
        <f>IFERROR(__xludf.DUMMYFUNCTION("""COMPUTED_VALUE"""),"CV. Adil Prima Perkasa")</f>
        <v>CV. Adil Prima Perkasa</v>
      </c>
      <c r="F211" s="18" t="str">
        <f>IFERROR(__xludf.DUMMYFUNCTION("""COMPUTED_VALUE"""),"DRIVER BUS")</f>
        <v>DRIVER BUS</v>
      </c>
      <c r="G211" s="18" t="str">
        <f>IFERROR(__xludf.DUMMYFUNCTION("""COMPUTED_VALUE"""),"FALSE")</f>
        <v>FALSE</v>
      </c>
      <c r="H211" s="18" t="str">
        <f>IFERROR(__xludf.DUMMYFUNCTION("""COMPUTED_VALUE"""),"2024-03-31 05.42.50")</f>
        <v>2024-03-31 05.42.50</v>
      </c>
      <c r="I211" s="18" t="str">
        <f>IFERROR(__xludf.DUMMYFUNCTION("""COMPUTED_VALUE"""),"2024-03-31 18.28.20")</f>
        <v>2024-03-31 18.28.20</v>
      </c>
      <c r="J211" s="36">
        <f>IFERROR(__xludf.DUMMYFUNCTION("""COMPUTED_VALUE"""),35614.0)</f>
        <v>35614</v>
      </c>
      <c r="K211" s="37" t="str">
        <f t="shared" si="1"/>
        <v>[212231859] HENDRA</v>
      </c>
    </row>
    <row r="212">
      <c r="A212" s="17"/>
      <c r="B212" s="18" t="str">
        <f>IFERROR(__xludf.DUMMYFUNCTION("""COMPUTED_VALUE"""),"HENDRA")</f>
        <v>HENDRA</v>
      </c>
      <c r="C212" s="18">
        <f>IFERROR(__xludf.DUMMYFUNCTION("""COMPUTED_VALUE"""),0.0)</f>
        <v>0</v>
      </c>
      <c r="D212" s="35"/>
      <c r="E212" s="18" t="str">
        <f>IFERROR(__xludf.DUMMYFUNCTION("""COMPUTED_VALUE"""),"CV. SENTOSA ABADI")</f>
        <v>CV. SENTOSA ABADI</v>
      </c>
      <c r="F212" s="18" t="str">
        <f>IFERROR(__xludf.DUMMYFUNCTION("""COMPUTED_VALUE"""),"FALSE")</f>
        <v>FALSE</v>
      </c>
      <c r="G212" s="18" t="str">
        <f>IFERROR(__xludf.DUMMYFUNCTION("""COMPUTED_VALUE"""),"FALSE")</f>
        <v>FALSE</v>
      </c>
      <c r="H212" s="18"/>
      <c r="I212" s="18"/>
      <c r="J212" s="36"/>
      <c r="K212" s="37" t="str">
        <f t="shared" si="1"/>
        <v/>
      </c>
    </row>
    <row r="213">
      <c r="A213" s="17">
        <f>IFERROR(__xludf.DUMMYFUNCTION("""COMPUTED_VALUE"""),2.08201202E8)</f>
        <v>208201202</v>
      </c>
      <c r="B213" s="18" t="str">
        <f>IFERROR(__xludf.DUMMYFUNCTION("""COMPUTED_VALUE"""),"HENDRA GUNAWAN DEWANTO")</f>
        <v>HENDRA GUNAWAN DEWANTO</v>
      </c>
      <c r="C213" s="18">
        <f>IFERROR(__xludf.DUMMYFUNCTION("""COMPUTED_VALUE"""),40.0)</f>
        <v>40</v>
      </c>
      <c r="D213" s="35" t="str">
        <f>IFERROR(__xludf.DUMMYFUNCTION("""COMPUTED_VALUE"""),"Islam")</f>
        <v>Islam</v>
      </c>
      <c r="E213" s="18" t="str">
        <f>IFERROR(__xludf.DUMMYFUNCTION("""COMPUTED_VALUE"""),"CV. Adil Prima Perkasa")</f>
        <v>CV. Adil Prima Perkasa</v>
      </c>
      <c r="F213" s="18" t="str">
        <f>IFERROR(__xludf.DUMMYFUNCTION("""COMPUTED_VALUE"""),"DRIVER DT H700ZY")</f>
        <v>DRIVER DT H700ZY</v>
      </c>
      <c r="G213" s="18" t="str">
        <f>IFERROR(__xludf.DUMMYFUNCTION("""COMPUTED_VALUE"""),"KENDARAAN &amp; UNIT SUPPORT")</f>
        <v>KENDARAAN &amp; UNIT SUPPORT</v>
      </c>
      <c r="H213" s="18" t="str">
        <f>IFERROR(__xludf.DUMMYFUNCTION("""COMPUTED_VALUE"""),"2024-03-31 05.58.46")</f>
        <v>2024-03-31 05.58.46</v>
      </c>
      <c r="I213" s="18" t="str">
        <f>IFERROR(__xludf.DUMMYFUNCTION("""COMPUTED_VALUE"""),"2024-03-31 16.30.20")</f>
        <v>2024-03-31 16.30.20</v>
      </c>
      <c r="J213" s="36">
        <f>IFERROR(__xludf.DUMMYFUNCTION("""COMPUTED_VALUE"""),32372.0)</f>
        <v>32372</v>
      </c>
      <c r="K213" s="37" t="str">
        <f t="shared" si="1"/>
        <v>[208201202] HENDRA GUNAWAN DEWANTO</v>
      </c>
    </row>
    <row r="214">
      <c r="A214" s="17">
        <f>IFERROR(__xludf.DUMMYFUNCTION("""COMPUTED_VALUE"""),1.07211446E8)</f>
        <v>107211446</v>
      </c>
      <c r="B214" s="18" t="str">
        <f>IFERROR(__xludf.DUMMYFUNCTION("""COMPUTED_VALUE"""),"HENDRAWAN")</f>
        <v>HENDRAWAN</v>
      </c>
      <c r="C214" s="18">
        <f>IFERROR(__xludf.DUMMYFUNCTION("""COMPUTED_VALUE"""),23.0)</f>
        <v>23</v>
      </c>
      <c r="D214" s="35" t="str">
        <f>IFERROR(__xludf.DUMMYFUNCTION("""COMPUTED_VALUE"""),"Islam")</f>
        <v>Islam</v>
      </c>
      <c r="E214" s="18" t="str">
        <f>IFERROR(__xludf.DUMMYFUNCTION("""COMPUTED_VALUE"""),"CV. SENTOSA ABADI")</f>
        <v>CV. SENTOSA ABADI</v>
      </c>
      <c r="F214" s="18" t="str">
        <f>IFERROR(__xludf.DUMMYFUNCTION("""COMPUTED_VALUE"""),"HELPER TYRE")</f>
        <v>HELPER TYRE</v>
      </c>
      <c r="G214" s="18" t="str">
        <f>IFERROR(__xludf.DUMMYFUNCTION("""COMPUTED_VALUE"""),"WORKSHOP")</f>
        <v>WORKSHOP</v>
      </c>
      <c r="H214" s="18" t="str">
        <f>IFERROR(__xludf.DUMMYFUNCTION("""COMPUTED_VALUE"""),"2023-11-30 07.05.00")</f>
        <v>2023-11-30 07.05.00</v>
      </c>
      <c r="I214" s="18" t="str">
        <f>IFERROR(__xludf.DUMMYFUNCTION("""COMPUTED_VALUE"""),"2023-11-30 07.05.00")</f>
        <v>2023-11-30 07.05.00</v>
      </c>
      <c r="J214" s="36"/>
      <c r="K214" s="37" t="str">
        <f t="shared" si="1"/>
        <v>[107211446] HENDRAWAN</v>
      </c>
    </row>
    <row r="215">
      <c r="A215" s="17">
        <f>IFERROR(__xludf.DUMMYFUNCTION("""COMPUTED_VALUE"""),1.01211324E8)</f>
        <v>101211324</v>
      </c>
      <c r="B215" s="18" t="str">
        <f>IFERROR(__xludf.DUMMYFUNCTION("""COMPUTED_VALUE"""),"HENDRIK")</f>
        <v>HENDRIK</v>
      </c>
      <c r="C215" s="18">
        <f>IFERROR(__xludf.DUMMYFUNCTION("""COMPUTED_VALUE"""),44.0)</f>
        <v>44</v>
      </c>
      <c r="D215" s="35" t="str">
        <f>IFERROR(__xludf.DUMMYFUNCTION("""COMPUTED_VALUE"""),"Kristen Protestan")</f>
        <v>Kristen Protestan</v>
      </c>
      <c r="E215" s="18" t="str">
        <f>IFERROR(__xludf.DUMMYFUNCTION("""COMPUTED_VALUE"""),"CV. SENTOSA ABADI")</f>
        <v>CV. SENTOSA ABADI</v>
      </c>
      <c r="F215" s="18" t="str">
        <f>IFERROR(__xludf.DUMMYFUNCTION("""COMPUTED_VALUE"""),"CREW EXPLORASI")</f>
        <v>CREW EXPLORASI</v>
      </c>
      <c r="G215" s="18" t="str">
        <f>IFERROR(__xludf.DUMMYFUNCTION("""COMPUTED_VALUE"""),"GRADE CONTROL")</f>
        <v>GRADE CONTROL</v>
      </c>
      <c r="H215" s="18" t="str">
        <f>IFERROR(__xludf.DUMMYFUNCTION("""COMPUTED_VALUE"""),"2023-11-30 06.01.16")</f>
        <v>2023-11-30 06.01.16</v>
      </c>
      <c r="I215" s="18" t="str">
        <f>IFERROR(__xludf.DUMMYFUNCTION("""COMPUTED_VALUE"""),"2023-11-30 20.22.42")</f>
        <v>2023-11-30 20.22.42</v>
      </c>
      <c r="J215" s="36">
        <f>IFERROR(__xludf.DUMMYFUNCTION("""COMPUTED_VALUE"""),24946.0)</f>
        <v>24946</v>
      </c>
      <c r="K215" s="37" t="str">
        <f t="shared" si="1"/>
        <v>[101211324] HENDRIK</v>
      </c>
    </row>
    <row r="216">
      <c r="A216" s="17">
        <f>IFERROR(__xludf.DUMMYFUNCTION("""COMPUTED_VALUE"""),2.09231832E8)</f>
        <v>209231832</v>
      </c>
      <c r="B216" s="18" t="str">
        <f>IFERROR(__xludf.DUMMYFUNCTION("""COMPUTED_VALUE"""),"HENDRIK")</f>
        <v>HENDRIK</v>
      </c>
      <c r="C216" s="18">
        <f>IFERROR(__xludf.DUMMYFUNCTION("""COMPUTED_VALUE"""),0.0)</f>
        <v>0</v>
      </c>
      <c r="D216" s="35" t="str">
        <f>IFERROR(__xludf.DUMMYFUNCTION("""COMPUTED_VALUE"""),"Islam")</f>
        <v>Islam</v>
      </c>
      <c r="E216" s="18" t="str">
        <f>IFERROR(__xludf.DUMMYFUNCTION("""COMPUTED_VALUE"""),"CV. Adil Prima Perkasa")</f>
        <v>CV. Adil Prima Perkasa</v>
      </c>
      <c r="F216" s="18" t="str">
        <f>IFERROR(__xludf.DUMMYFUNCTION("""COMPUTED_VALUE"""),"DRIVER DT H500")</f>
        <v>DRIVER DT H500</v>
      </c>
      <c r="G216" s="18" t="str">
        <f>IFERROR(__xludf.DUMMYFUNCTION("""COMPUTED_VALUE"""),"KENDARAAN &amp; UNIT SUPPORT")</f>
        <v>KENDARAAN &amp; UNIT SUPPORT</v>
      </c>
      <c r="H216" s="18" t="str">
        <f>IFERROR(__xludf.DUMMYFUNCTION("""COMPUTED_VALUE"""),"2024-03-28 04.48.14")</f>
        <v>2024-03-28 04.48.14</v>
      </c>
      <c r="I216" s="18" t="str">
        <f>IFERROR(__xludf.DUMMYFUNCTION("""COMPUTED_VALUE"""),"2024-03-28 16.56.18")</f>
        <v>2024-03-28 16.56.18</v>
      </c>
      <c r="J216" s="36"/>
      <c r="K216" s="37" t="str">
        <f t="shared" si="1"/>
        <v>[209231832] HENDRIK</v>
      </c>
    </row>
    <row r="217">
      <c r="A217" s="17">
        <f>IFERROR(__xludf.DUMMYFUNCTION("""COMPUTED_VALUE"""),2.09201233E8)</f>
        <v>209201233</v>
      </c>
      <c r="B217" s="18" t="str">
        <f>IFERROR(__xludf.DUMMYFUNCTION("""COMPUTED_VALUE"""),"HENDRIK SUBIA")</f>
        <v>HENDRIK SUBIA</v>
      </c>
      <c r="C217" s="18">
        <f>IFERROR(__xludf.DUMMYFUNCTION("""COMPUTED_VALUE"""),35.0)</f>
        <v>35</v>
      </c>
      <c r="D217" s="35" t="str">
        <f>IFERROR(__xludf.DUMMYFUNCTION("""COMPUTED_VALUE"""),"Kristen Protestan")</f>
        <v>Kristen Protestan</v>
      </c>
      <c r="E217" s="18" t="str">
        <f>IFERROR(__xludf.DUMMYFUNCTION("""COMPUTED_VALUE"""),"CV. Adil Prima Perkasa")</f>
        <v>CV. Adil Prima Perkasa</v>
      </c>
      <c r="F217" s="18" t="str">
        <f>IFERROR(__xludf.DUMMYFUNCTION("""COMPUTED_VALUE"""),"DRIVER DT H700ZY")</f>
        <v>DRIVER DT H700ZY</v>
      </c>
      <c r="G217" s="18" t="str">
        <f>IFERROR(__xludf.DUMMYFUNCTION("""COMPUTED_VALUE"""),"KENDARAAN &amp; UNIT SUPPORT")</f>
        <v>KENDARAAN &amp; UNIT SUPPORT</v>
      </c>
      <c r="H217" s="18" t="str">
        <f>IFERROR(__xludf.DUMMYFUNCTION("""COMPUTED_VALUE"""),"2024-03-24 06.47.13")</f>
        <v>2024-03-24 06.47.13</v>
      </c>
      <c r="I217" s="18" t="str">
        <f>IFERROR(__xludf.DUMMYFUNCTION("""COMPUTED_VALUE"""),"2024-03-24 16.16.37")</f>
        <v>2024-03-24 16.16.37</v>
      </c>
      <c r="J217" s="36">
        <f>IFERROR(__xludf.DUMMYFUNCTION("""COMPUTED_VALUE"""),33380.0)</f>
        <v>33380</v>
      </c>
      <c r="K217" s="37" t="str">
        <f t="shared" si="1"/>
        <v>[209201233] HENDRIK SUBIA</v>
      </c>
    </row>
    <row r="218">
      <c r="A218" s="17">
        <f>IFERROR(__xludf.DUMMYFUNCTION("""COMPUTED_VALUE"""),1.02199007E8)</f>
        <v>102199007</v>
      </c>
      <c r="B218" s="18" t="str">
        <f>IFERROR(__xludf.DUMMYFUNCTION("""COMPUTED_VALUE"""),"HENDRO")</f>
        <v>HENDRO</v>
      </c>
      <c r="C218" s="18">
        <f>IFERROR(__xludf.DUMMYFUNCTION("""COMPUTED_VALUE"""),0.0)</f>
        <v>0</v>
      </c>
      <c r="D218" s="35"/>
      <c r="E218" s="18" t="str">
        <f>IFERROR(__xludf.DUMMYFUNCTION("""COMPUTED_VALUE"""),"CV. SENTOSA ABADI")</f>
        <v>CV. SENTOSA ABADI</v>
      </c>
      <c r="F218" s="18" t="str">
        <f>IFERROR(__xludf.DUMMYFUNCTION("""COMPUTED_VALUE"""),"FALSE")</f>
        <v>FALSE</v>
      </c>
      <c r="G218" s="18" t="str">
        <f>IFERROR(__xludf.DUMMYFUNCTION("""COMPUTED_VALUE"""),"FINANCE")</f>
        <v>FINANCE</v>
      </c>
      <c r="H218" s="18"/>
      <c r="I218" s="18"/>
      <c r="J218" s="36"/>
      <c r="K218" s="37" t="str">
        <f t="shared" si="1"/>
        <v/>
      </c>
    </row>
    <row r="219">
      <c r="A219" s="17">
        <f>IFERROR(__xludf.DUMMYFUNCTION("""COMPUTED_VALUE"""),2.11221704E8)</f>
        <v>211221704</v>
      </c>
      <c r="B219" s="18" t="str">
        <f>IFERROR(__xludf.DUMMYFUNCTION("""COMPUTED_VALUE"""),"HENIMUS YONSI")</f>
        <v>HENIMUS YONSI</v>
      </c>
      <c r="C219" s="18">
        <f>IFERROR(__xludf.DUMMYFUNCTION("""COMPUTED_VALUE"""),30.0)</f>
        <v>30</v>
      </c>
      <c r="D219" s="35" t="str">
        <f>IFERROR(__xludf.DUMMYFUNCTION("""COMPUTED_VALUE"""),"Kristen Khatolik")</f>
        <v>Kristen Khatolik</v>
      </c>
      <c r="E219" s="18" t="str">
        <f>IFERROR(__xludf.DUMMYFUNCTION("""COMPUTED_VALUE"""),"CV. Adil Prima Perkasa")</f>
        <v>CV. Adil Prima Perkasa</v>
      </c>
      <c r="F219" s="18" t="str">
        <f>IFERROR(__xludf.DUMMYFUNCTION("""COMPUTED_VALUE"""),"HELPER MEKANIK LV")</f>
        <v>HELPER MEKANIK LV</v>
      </c>
      <c r="G219" s="18" t="str">
        <f>IFERROR(__xludf.DUMMYFUNCTION("""COMPUTED_VALUE"""),"WORKSHOP")</f>
        <v>WORKSHOP</v>
      </c>
      <c r="H219" s="18" t="str">
        <f>IFERROR(__xludf.DUMMYFUNCTION("""COMPUTED_VALUE"""),"2023-11-28 06.00.35")</f>
        <v>2023-11-28 06.00.35</v>
      </c>
      <c r="I219" s="18" t="str">
        <f>IFERROR(__xludf.DUMMYFUNCTION("""COMPUTED_VALUE"""),"2023-11-28 20.55.08")</f>
        <v>2023-11-28 20.55.08</v>
      </c>
      <c r="J219" s="36">
        <f>IFERROR(__xludf.DUMMYFUNCTION("""COMPUTED_VALUE"""),34852.0)</f>
        <v>34852</v>
      </c>
      <c r="K219" s="37" t="str">
        <f t="shared" si="1"/>
        <v>[211221704] HENIMUS YONSI</v>
      </c>
    </row>
    <row r="220">
      <c r="A220" s="17">
        <f>IFERROR(__xludf.DUMMYFUNCTION("""COMPUTED_VALUE"""),2.10201255E8)</f>
        <v>210201255</v>
      </c>
      <c r="B220" s="18" t="str">
        <f>IFERROR(__xludf.DUMMYFUNCTION("""COMPUTED_VALUE"""),"HENITARDUS JURIMAN")</f>
        <v>HENITARDUS JURIMAN</v>
      </c>
      <c r="C220" s="18">
        <f>IFERROR(__xludf.DUMMYFUNCTION("""COMPUTED_VALUE"""),36.0)</f>
        <v>36</v>
      </c>
      <c r="D220" s="35" t="str">
        <f>IFERROR(__xludf.DUMMYFUNCTION("""COMPUTED_VALUE"""),"Kristen Khatolik")</f>
        <v>Kristen Khatolik</v>
      </c>
      <c r="E220" s="18" t="str">
        <f>IFERROR(__xludf.DUMMYFUNCTION("""COMPUTED_VALUE"""),"CV. Adil Prima Perkasa")</f>
        <v>CV. Adil Prima Perkasa</v>
      </c>
      <c r="F220" s="18" t="str">
        <f>IFERROR(__xludf.DUMMYFUNCTION("""COMPUTED_VALUE"""),"OPERATOR EXCAVATOR")</f>
        <v>OPERATOR EXCAVATOR</v>
      </c>
      <c r="G220" s="18" t="str">
        <f>IFERROR(__xludf.DUMMYFUNCTION("""COMPUTED_VALUE"""),"PRODUKSI")</f>
        <v>PRODUKSI</v>
      </c>
      <c r="H220" s="18" t="str">
        <f>IFERROR(__xludf.DUMMYFUNCTION("""COMPUTED_VALUE"""),"2023-11-30 05.51.01")</f>
        <v>2023-11-30 05.51.01</v>
      </c>
      <c r="I220" s="18" t="str">
        <f>IFERROR(__xludf.DUMMYFUNCTION("""COMPUTED_VALUE"""),"2023-11-30 05.51.01")</f>
        <v>2023-11-30 05.51.01</v>
      </c>
      <c r="J220" s="36">
        <f>IFERROR(__xludf.DUMMYFUNCTION("""COMPUTED_VALUE"""),32607.0)</f>
        <v>32607</v>
      </c>
      <c r="K220" s="37" t="str">
        <f t="shared" si="1"/>
        <v>[210201255] HENITARDUS JURIMAN</v>
      </c>
    </row>
    <row r="221">
      <c r="A221" s="17">
        <f>IFERROR(__xludf.DUMMYFUNCTION("""COMPUTED_VALUE"""),2.03231741E8)</f>
        <v>203231741</v>
      </c>
      <c r="B221" s="18" t="str">
        <f>IFERROR(__xludf.DUMMYFUNCTION("""COMPUTED_VALUE"""),"HERI ISWANTO")</f>
        <v>HERI ISWANTO</v>
      </c>
      <c r="C221" s="18">
        <f>IFERROR(__xludf.DUMMYFUNCTION("""COMPUTED_VALUE"""),25.0)</f>
        <v>25</v>
      </c>
      <c r="D221" s="35" t="str">
        <f>IFERROR(__xludf.DUMMYFUNCTION("""COMPUTED_VALUE"""),"Islam")</f>
        <v>Islam</v>
      </c>
      <c r="E221" s="18" t="str">
        <f>IFERROR(__xludf.DUMMYFUNCTION("""COMPUTED_VALUE"""),"CV. Adil Prima Perkasa")</f>
        <v>CV. Adil Prima Perkasa</v>
      </c>
      <c r="F221" s="18" t="str">
        <f>IFERROR(__xludf.DUMMYFUNCTION("""COMPUTED_VALUE"""),"DRIVER DT H700ZS")</f>
        <v>DRIVER DT H700ZS</v>
      </c>
      <c r="G221" s="18" t="str">
        <f>IFERROR(__xludf.DUMMYFUNCTION("""COMPUTED_VALUE"""),"KENDARAAN &amp; UNIT SUPPORT")</f>
        <v>KENDARAAN &amp; UNIT SUPPORT</v>
      </c>
      <c r="H221" s="18" t="str">
        <f>IFERROR(__xludf.DUMMYFUNCTION("""COMPUTED_VALUE"""),"2024-03-31 06.47.55")</f>
        <v>2024-03-31 06.47.55</v>
      </c>
      <c r="I221" s="18" t="str">
        <f>IFERROR(__xludf.DUMMYFUNCTION("""COMPUTED_VALUE"""),"2024-03-31 17.07.01")</f>
        <v>2024-03-31 17.07.01</v>
      </c>
      <c r="J221" s="36">
        <f>IFERROR(__xludf.DUMMYFUNCTION("""COMPUTED_VALUE"""),36393.0)</f>
        <v>36393</v>
      </c>
      <c r="K221" s="37" t="str">
        <f t="shared" si="1"/>
        <v>[203231741] HERI ISWANTO</v>
      </c>
    </row>
    <row r="222">
      <c r="A222" s="17">
        <f>IFERROR(__xludf.DUMMYFUNCTION("""COMPUTED_VALUE"""),1.03190794E8)</f>
        <v>103190794</v>
      </c>
      <c r="B222" s="18" t="str">
        <f>IFERROR(__xludf.DUMMYFUNCTION("""COMPUTED_VALUE"""),"HERLAN ABRIANTO SADAGO")</f>
        <v>HERLAN ABRIANTO SADAGO</v>
      </c>
      <c r="C222" s="18">
        <f>IFERROR(__xludf.DUMMYFUNCTION("""COMPUTED_VALUE"""),27.0)</f>
        <v>27</v>
      </c>
      <c r="D222" s="35" t="str">
        <f>IFERROR(__xludf.DUMMYFUNCTION("""COMPUTED_VALUE"""),"Kristen Protestan")</f>
        <v>Kristen Protestan</v>
      </c>
      <c r="E222" s="18" t="str">
        <f>IFERROR(__xludf.DUMMYFUNCTION("""COMPUTED_VALUE"""),"CV. SENTOSA ABADI")</f>
        <v>CV. SENTOSA ABADI</v>
      </c>
      <c r="F222" s="18" t="str">
        <f>IFERROR(__xludf.DUMMYFUNCTION("""COMPUTED_VALUE"""),"DRIVER DT H500")</f>
        <v>DRIVER DT H500</v>
      </c>
      <c r="G222" s="18" t="str">
        <f>IFERROR(__xludf.DUMMYFUNCTION("""COMPUTED_VALUE"""),"KENDARAAN &amp; UNIT SUPPORT")</f>
        <v>KENDARAAN &amp; UNIT SUPPORT</v>
      </c>
      <c r="H222" s="18" t="str">
        <f>IFERROR(__xludf.DUMMYFUNCTION("""COMPUTED_VALUE"""),"2023-11-29 17.19.42")</f>
        <v>2023-11-29 17.19.42</v>
      </c>
      <c r="I222" s="18" t="str">
        <f>IFERROR(__xludf.DUMMYFUNCTION("""COMPUTED_VALUE"""),"2023-11-29 17.19.42")</f>
        <v>2023-11-29 17.19.42</v>
      </c>
      <c r="J222" s="36"/>
      <c r="K222" s="37" t="str">
        <f t="shared" si="1"/>
        <v>[103190794] HERLAN ABRIANTO SADAGO</v>
      </c>
    </row>
    <row r="223">
      <c r="A223" s="17">
        <f>IFERROR(__xludf.DUMMYFUNCTION("""COMPUTED_VALUE"""),1.0317011E8)</f>
        <v>103170110</v>
      </c>
      <c r="B223" s="18" t="str">
        <f>IFERROR(__xludf.DUMMYFUNCTION("""COMPUTED_VALUE"""),"HERMIN LIA POLEALLO")</f>
        <v>HERMIN LIA POLEALLO</v>
      </c>
      <c r="C223" s="18">
        <f>IFERROR(__xludf.DUMMYFUNCTION("""COMPUTED_VALUE"""),27.0)</f>
        <v>27</v>
      </c>
      <c r="D223" s="35" t="str">
        <f>IFERROR(__xludf.DUMMYFUNCTION("""COMPUTED_VALUE"""),"Kristen Protestan")</f>
        <v>Kristen Protestan</v>
      </c>
      <c r="E223" s="18" t="str">
        <f>IFERROR(__xludf.DUMMYFUNCTION("""COMPUTED_VALUE"""),"CV. SENTOSA ABADI")</f>
        <v>CV. SENTOSA ABADI</v>
      </c>
      <c r="F223" s="18" t="str">
        <f>IFERROR(__xludf.DUMMYFUNCTION("""COMPUTED_VALUE"""),"STOCKER")</f>
        <v>STOCKER</v>
      </c>
      <c r="G223" s="18" t="str">
        <f>IFERROR(__xludf.DUMMYFUNCTION("""COMPUTED_VALUE"""),"HRD &amp; GA")</f>
        <v>HRD &amp; GA</v>
      </c>
      <c r="H223" s="18" t="str">
        <f>IFERROR(__xludf.DUMMYFUNCTION("""COMPUTED_VALUE"""),"2024-03-31 00.20.18")</f>
        <v>2024-03-31 00.20.18</v>
      </c>
      <c r="I223" s="18" t="str">
        <f>IFERROR(__xludf.DUMMYFUNCTION("""COMPUTED_VALUE"""),"2024-03-31 12.02.27")</f>
        <v>2024-03-31 12.02.27</v>
      </c>
      <c r="J223" s="36"/>
      <c r="K223" s="37" t="str">
        <f t="shared" si="1"/>
        <v>[103170110] HERMIN LIA POLEALLO</v>
      </c>
    </row>
    <row r="224">
      <c r="A224" s="17">
        <f>IFERROR(__xludf.DUMMYFUNCTION("""COMPUTED_VALUE"""),1.08180517E8)</f>
        <v>108180517</v>
      </c>
      <c r="B224" s="18" t="str">
        <f>IFERROR(__xludf.DUMMYFUNCTION("""COMPUTED_VALUE"""),"HERRY SUTRISNO")</f>
        <v>HERRY SUTRISNO</v>
      </c>
      <c r="C224" s="18">
        <f>IFERROR(__xludf.DUMMYFUNCTION("""COMPUTED_VALUE"""),55.0)</f>
        <v>55</v>
      </c>
      <c r="D224" s="35" t="str">
        <f>IFERROR(__xludf.DUMMYFUNCTION("""COMPUTED_VALUE"""),"Kristen Protestan")</f>
        <v>Kristen Protestan</v>
      </c>
      <c r="E224" s="18" t="str">
        <f>IFERROR(__xludf.DUMMYFUNCTION("""COMPUTED_VALUE"""),"CV. SENTOSA ABADI")</f>
        <v>CV. SENTOSA ABADI</v>
      </c>
      <c r="F224" s="18" t="str">
        <f>IFERROR(__xludf.DUMMYFUNCTION("""COMPUTED_VALUE"""),"MEKANIK LV")</f>
        <v>MEKANIK LV</v>
      </c>
      <c r="G224" s="18" t="str">
        <f>IFERROR(__xludf.DUMMYFUNCTION("""COMPUTED_VALUE"""),"WORKSHOP")</f>
        <v>WORKSHOP</v>
      </c>
      <c r="H224" s="18" t="str">
        <f>IFERROR(__xludf.DUMMYFUNCTION("""COMPUTED_VALUE"""),"2023-11-28 06.44.42")</f>
        <v>2023-11-28 06.44.42</v>
      </c>
      <c r="I224" s="18" t="str">
        <f>IFERROR(__xludf.DUMMYFUNCTION("""COMPUTED_VALUE"""),"2023-11-28 06.44.42")</f>
        <v>2023-11-28 06.44.42</v>
      </c>
      <c r="J224" s="36"/>
      <c r="K224" s="37" t="str">
        <f t="shared" si="1"/>
        <v>[108180517] HERRY SUTRISNO</v>
      </c>
    </row>
    <row r="225">
      <c r="A225" s="17">
        <f>IFERROR(__xludf.DUMMYFUNCTION("""COMPUTED_VALUE"""),2.02241886E8)</f>
        <v>202241886</v>
      </c>
      <c r="B225" s="18" t="str">
        <f>IFERROR(__xludf.DUMMYFUNCTION("""COMPUTED_VALUE"""),"HORBET CRISTIANTO WOLOLI")</f>
        <v>HORBET CRISTIANTO WOLOLI</v>
      </c>
      <c r="C225" s="18">
        <f>IFERROR(__xludf.DUMMYFUNCTION("""COMPUTED_VALUE"""),0.0)</f>
        <v>0</v>
      </c>
      <c r="D225" s="35"/>
      <c r="E225" s="18" t="str">
        <f>IFERROR(__xludf.DUMMYFUNCTION("""COMPUTED_VALUE"""),"CV. Adil Prima Perkasa")</f>
        <v>CV. Adil Prima Perkasa</v>
      </c>
      <c r="F225" s="18" t="str">
        <f>IFERROR(__xludf.DUMMYFUNCTION("""COMPUTED_VALUE"""),"SECURITY")</f>
        <v>SECURITY</v>
      </c>
      <c r="G225" s="18" t="str">
        <f>IFERROR(__xludf.DUMMYFUNCTION("""COMPUTED_VALUE"""),"HRD &amp; GA")</f>
        <v>HRD &amp; GA</v>
      </c>
      <c r="H225" s="18" t="str">
        <f>IFERROR(__xludf.DUMMYFUNCTION("""COMPUTED_VALUE"""),"2024-03-31 07.18.28")</f>
        <v>2024-03-31 07.18.28</v>
      </c>
      <c r="I225" s="18" t="str">
        <f>IFERROR(__xludf.DUMMYFUNCTION("""COMPUTED_VALUE"""),"2024-03-31 23.05.50")</f>
        <v>2024-03-31 23.05.50</v>
      </c>
      <c r="J225" s="36"/>
      <c r="K225" s="37" t="str">
        <f t="shared" si="1"/>
        <v>[202241886] HORBET CRISTIANTO WOLOLI</v>
      </c>
    </row>
    <row r="226">
      <c r="A226" s="17">
        <f>IFERROR(__xludf.DUMMYFUNCTION("""COMPUTED_VALUE"""),3.06200002E8)</f>
        <v>306200002</v>
      </c>
      <c r="B226" s="18" t="str">
        <f>IFERROR(__xludf.DUMMYFUNCTION("""COMPUTED_VALUE"""),"HOTLAN FIRMANSIA TUKKA")</f>
        <v>HOTLAN FIRMANSIA TUKKA</v>
      </c>
      <c r="C226" s="18">
        <f>IFERROR(__xludf.DUMMYFUNCTION("""COMPUTED_VALUE"""),45.0)</f>
        <v>45</v>
      </c>
      <c r="D226" s="35" t="str">
        <f>IFERROR(__xludf.DUMMYFUNCTION("""COMPUTED_VALUE"""),"Kristen Protestan")</f>
        <v>Kristen Protestan</v>
      </c>
      <c r="E226" s="18" t="str">
        <f>IFERROR(__xludf.DUMMYFUNCTION("""COMPUTED_VALUE"""),"CV. Monalisa")</f>
        <v>CV. Monalisa</v>
      </c>
      <c r="F226" s="18" t="str">
        <f>IFERROR(__xludf.DUMMYFUNCTION("""COMPUTED_VALUE"""),"DRIVER DT")</f>
        <v>DRIVER DT</v>
      </c>
      <c r="G226" s="18" t="str">
        <f>IFERROR(__xludf.DUMMYFUNCTION("""COMPUTED_VALUE"""),"KENDARAAN &amp; UNIT SUPPORT")</f>
        <v>KENDARAAN &amp; UNIT SUPPORT</v>
      </c>
      <c r="H226" s="18"/>
      <c r="I226" s="18"/>
      <c r="J226" s="36"/>
      <c r="K226" s="37" t="str">
        <f t="shared" si="1"/>
        <v/>
      </c>
    </row>
    <row r="227">
      <c r="A227" s="17">
        <f>IFERROR(__xludf.DUMMYFUNCTION("""COMPUTED_VALUE"""),2.09211491E8)</f>
        <v>209211491</v>
      </c>
      <c r="B227" s="18" t="str">
        <f>IFERROR(__xludf.DUMMYFUNCTION("""COMPUTED_VALUE"""),"I NYOMAN RAI ANGGARA PUTRA")</f>
        <v>I NYOMAN RAI ANGGARA PUTRA</v>
      </c>
      <c r="C227" s="18">
        <f>IFERROR(__xludf.DUMMYFUNCTION("""COMPUTED_VALUE"""),24.0)</f>
        <v>24</v>
      </c>
      <c r="D227" s="35" t="str">
        <f>IFERROR(__xludf.DUMMYFUNCTION("""COMPUTED_VALUE"""),"Hindu")</f>
        <v>Hindu</v>
      </c>
      <c r="E227" s="18" t="str">
        <f>IFERROR(__xludf.DUMMYFUNCTION("""COMPUTED_VALUE"""),"CV. Adil Prima Perkasa")</f>
        <v>CV. Adil Prima Perkasa</v>
      </c>
      <c r="F227" s="18" t="str">
        <f>IFERROR(__xludf.DUMMYFUNCTION("""COMPUTED_VALUE"""),"OPERATOR ADT")</f>
        <v>OPERATOR ADT</v>
      </c>
      <c r="G227" s="18" t="str">
        <f>IFERROR(__xludf.DUMMYFUNCTION("""COMPUTED_VALUE"""),"PRODUKSI")</f>
        <v>PRODUKSI</v>
      </c>
      <c r="H227" s="18" t="str">
        <f>IFERROR(__xludf.DUMMYFUNCTION("""COMPUTED_VALUE"""),"2023-11-30 05.59.34")</f>
        <v>2023-11-30 05.59.34</v>
      </c>
      <c r="I227" s="18" t="str">
        <f>IFERROR(__xludf.DUMMYFUNCTION("""COMPUTED_VALUE"""),"2023-11-30 05.59.34")</f>
        <v>2023-11-30 05.59.34</v>
      </c>
      <c r="J227" s="36"/>
      <c r="K227" s="37" t="str">
        <f t="shared" si="1"/>
        <v>[209211491] I NYOMAN RAI ANGGARA PUTRA</v>
      </c>
    </row>
    <row r="228">
      <c r="A228" s="17"/>
      <c r="B228" s="18" t="str">
        <f>IFERROR(__xludf.DUMMYFUNCTION("""COMPUTED_VALUE"""),"I PUTU PARI SUTRISNA")</f>
        <v>I PUTU PARI SUTRISNA</v>
      </c>
      <c r="C228" s="18">
        <f>IFERROR(__xludf.DUMMYFUNCTION("""COMPUTED_VALUE"""),0.0)</f>
        <v>0</v>
      </c>
      <c r="D228" s="35"/>
      <c r="E228" s="18" t="str">
        <f>IFERROR(__xludf.DUMMYFUNCTION("""COMPUTED_VALUE"""),"CV. SENTOSA ABADI")</f>
        <v>CV. SENTOSA ABADI</v>
      </c>
      <c r="F228" s="18" t="str">
        <f>IFERROR(__xludf.DUMMYFUNCTION("""COMPUTED_VALUE"""),"ACCOUNTING")</f>
        <v>ACCOUNTING</v>
      </c>
      <c r="G228" s="18" t="str">
        <f>IFERROR(__xludf.DUMMYFUNCTION("""COMPUTED_VALUE"""),"FINANCE")</f>
        <v>FINANCE</v>
      </c>
      <c r="H228" s="18"/>
      <c r="I228" s="18"/>
      <c r="J228" s="36"/>
      <c r="K228" s="37" t="str">
        <f t="shared" si="1"/>
        <v/>
      </c>
    </row>
    <row r="229">
      <c r="A229" s="17">
        <f>IFERROR(__xludf.DUMMYFUNCTION("""COMPUTED_VALUE"""),2.12201312E8)</f>
        <v>212201312</v>
      </c>
      <c r="B229" s="18" t="str">
        <f>IFERROR(__xludf.DUMMYFUNCTION("""COMPUTED_VALUE"""),"I WAYAN RUDI YASTAWA")</f>
        <v>I WAYAN RUDI YASTAWA</v>
      </c>
      <c r="C229" s="18">
        <f>IFERROR(__xludf.DUMMYFUNCTION("""COMPUTED_VALUE"""),47.0)</f>
        <v>47</v>
      </c>
      <c r="D229" s="35" t="str">
        <f>IFERROR(__xludf.DUMMYFUNCTION("""COMPUTED_VALUE"""),"Hindu")</f>
        <v>Hindu</v>
      </c>
      <c r="E229" s="18" t="str">
        <f>IFERROR(__xludf.DUMMYFUNCTION("""COMPUTED_VALUE"""),"CV. Adil Prima Perkasa")</f>
        <v>CV. Adil Prima Perkasa</v>
      </c>
      <c r="F229" s="18" t="str">
        <f>IFERROR(__xludf.DUMMYFUNCTION("""COMPUTED_VALUE"""),"DRIVER DT H700ZY")</f>
        <v>DRIVER DT H700ZY</v>
      </c>
      <c r="G229" s="18" t="str">
        <f>IFERROR(__xludf.DUMMYFUNCTION("""COMPUTED_VALUE"""),"KENDARAAN &amp; UNIT SUPPORT")</f>
        <v>KENDARAAN &amp; UNIT SUPPORT</v>
      </c>
      <c r="H229" s="18" t="str">
        <f>IFERROR(__xludf.DUMMYFUNCTION("""COMPUTED_VALUE"""),"2024-03-31 06.14.29")</f>
        <v>2024-03-31 06.14.29</v>
      </c>
      <c r="I229" s="18" t="str">
        <f>IFERROR(__xludf.DUMMYFUNCTION("""COMPUTED_VALUE"""),"2024-03-31 18.53.48")</f>
        <v>2024-03-31 18.53.48</v>
      </c>
      <c r="J229" s="36">
        <f>IFERROR(__xludf.DUMMYFUNCTION("""COMPUTED_VALUE"""),29053.0)</f>
        <v>29053</v>
      </c>
      <c r="K229" s="37" t="str">
        <f t="shared" si="1"/>
        <v>[212201312] I WAYAN RUDI YASTAWA</v>
      </c>
    </row>
    <row r="230">
      <c r="A230" s="17">
        <f>IFERROR(__xludf.DUMMYFUNCTION("""COMPUTED_VALUE"""),1.07180499E8)</f>
        <v>107180499</v>
      </c>
      <c r="B230" s="18" t="str">
        <f>IFERROR(__xludf.DUMMYFUNCTION("""COMPUTED_VALUE"""),"IBRAHIM")</f>
        <v>IBRAHIM</v>
      </c>
      <c r="C230" s="18">
        <f>IFERROR(__xludf.DUMMYFUNCTION("""COMPUTED_VALUE"""),46.0)</f>
        <v>46</v>
      </c>
      <c r="D230" s="35" t="str">
        <f>IFERROR(__xludf.DUMMYFUNCTION("""COMPUTED_VALUE"""),"Islam")</f>
        <v>Islam</v>
      </c>
      <c r="E230" s="18" t="str">
        <f>IFERROR(__xludf.DUMMYFUNCTION("""COMPUTED_VALUE"""),"CV. SENTOSA ABADI")</f>
        <v>CV. SENTOSA ABADI</v>
      </c>
      <c r="F230" s="18" t="str">
        <f>IFERROR(__xludf.DUMMYFUNCTION("""COMPUTED_VALUE"""),"DRIVER DT H700ZY")</f>
        <v>DRIVER DT H700ZY</v>
      </c>
      <c r="G230" s="18" t="str">
        <f>IFERROR(__xludf.DUMMYFUNCTION("""COMPUTED_VALUE"""),"KENDARAAN &amp; UNIT SUPPORT")</f>
        <v>KENDARAAN &amp; UNIT SUPPORT</v>
      </c>
      <c r="H230" s="18" t="str">
        <f>IFERROR(__xludf.DUMMYFUNCTION("""COMPUTED_VALUE"""),"2023-11-30 05.49.46")</f>
        <v>2023-11-30 05.49.46</v>
      </c>
      <c r="I230" s="18" t="str">
        <f>IFERROR(__xludf.DUMMYFUNCTION("""COMPUTED_VALUE"""),"2023-11-30 16.57.14")</f>
        <v>2023-11-30 16.57.14</v>
      </c>
      <c r="J230" s="36">
        <f>IFERROR(__xludf.DUMMYFUNCTION("""COMPUTED_VALUE"""),29007.0)</f>
        <v>29007</v>
      </c>
      <c r="K230" s="37" t="str">
        <f t="shared" si="1"/>
        <v>[107180499] IBRAHIM</v>
      </c>
    </row>
    <row r="231">
      <c r="A231" s="17">
        <f>IFERROR(__xludf.DUMMYFUNCTION("""COMPUTED_VALUE"""),1.05190112E8)</f>
        <v>105190112</v>
      </c>
      <c r="B231" s="18" t="str">
        <f>IFERROR(__xludf.DUMMYFUNCTION("""COMPUTED_VALUE"""),"ICCANG")</f>
        <v>ICCANG</v>
      </c>
      <c r="C231" s="18">
        <f>IFERROR(__xludf.DUMMYFUNCTION("""COMPUTED_VALUE"""),31.0)</f>
        <v>31</v>
      </c>
      <c r="D231" s="35" t="str">
        <f>IFERROR(__xludf.DUMMYFUNCTION("""COMPUTED_VALUE"""),"Islam")</f>
        <v>Islam</v>
      </c>
      <c r="E231" s="18" t="str">
        <f>IFERROR(__xludf.DUMMYFUNCTION("""COMPUTED_VALUE"""),"CV. SENTOSA ABADI")</f>
        <v>CV. SENTOSA ABADI</v>
      </c>
      <c r="F231" s="18" t="str">
        <f>IFERROR(__xludf.DUMMYFUNCTION("""COMPUTED_VALUE"""),"DRIVER DT H700ZY")</f>
        <v>DRIVER DT H700ZY</v>
      </c>
      <c r="G231" s="18" t="str">
        <f>IFERROR(__xludf.DUMMYFUNCTION("""COMPUTED_VALUE"""),"KENDARAAN &amp; UNIT SUPPORT")</f>
        <v>KENDARAAN &amp; UNIT SUPPORT</v>
      </c>
      <c r="H231" s="18" t="str">
        <f>IFERROR(__xludf.DUMMYFUNCTION("""COMPUTED_VALUE"""),"2023-11-30 06.57.19")</f>
        <v>2023-11-30 06.57.19</v>
      </c>
      <c r="I231" s="18" t="str">
        <f>IFERROR(__xludf.DUMMYFUNCTION("""COMPUTED_VALUE"""),"2023-11-30 06.57.19")</f>
        <v>2023-11-30 06.57.19</v>
      </c>
      <c r="J231" s="36">
        <f>IFERROR(__xludf.DUMMYFUNCTION("""COMPUTED_VALUE"""),34010.0)</f>
        <v>34010</v>
      </c>
      <c r="K231" s="37" t="str">
        <f t="shared" si="1"/>
        <v>[105190112] ICCANG</v>
      </c>
    </row>
    <row r="232">
      <c r="A232" s="17">
        <f>IFERROR(__xludf.DUMMYFUNCTION("""COMPUTED_VALUE"""),2.06221649E8)</f>
        <v>206221649</v>
      </c>
      <c r="B232" s="18" t="str">
        <f>IFERROR(__xludf.DUMMYFUNCTION("""COMPUTED_VALUE"""),"IDRUS")</f>
        <v>IDRUS</v>
      </c>
      <c r="C232" s="18">
        <f>IFERROR(__xludf.DUMMYFUNCTION("""COMPUTED_VALUE"""),37.0)</f>
        <v>37</v>
      </c>
      <c r="D232" s="35" t="str">
        <f>IFERROR(__xludf.DUMMYFUNCTION("""COMPUTED_VALUE"""),"Islam")</f>
        <v>Islam</v>
      </c>
      <c r="E232" s="18" t="str">
        <f>IFERROR(__xludf.DUMMYFUNCTION("""COMPUTED_VALUE"""),"CV. Adil Prima Perkasa")</f>
        <v>CV. Adil Prima Perkasa</v>
      </c>
      <c r="F232" s="18" t="str">
        <f>IFERROR(__xludf.DUMMYFUNCTION("""COMPUTED_VALUE"""),"DRIVER DT H700ZS")</f>
        <v>DRIVER DT H700ZS</v>
      </c>
      <c r="G232" s="18" t="str">
        <f>IFERROR(__xludf.DUMMYFUNCTION("""COMPUTED_VALUE"""),"KENDARAAN &amp; UNIT SUPPORT")</f>
        <v>KENDARAAN &amp; UNIT SUPPORT</v>
      </c>
      <c r="H232" s="18" t="str">
        <f>IFERROR(__xludf.DUMMYFUNCTION("""COMPUTED_VALUE"""),"2024-03-31 05.10.33")</f>
        <v>2024-03-31 05.10.33</v>
      </c>
      <c r="I232" s="18" t="str">
        <f>IFERROR(__xludf.DUMMYFUNCTION("""COMPUTED_VALUE"""),"2024-03-31 18.37.54")</f>
        <v>2024-03-31 18.37.54</v>
      </c>
      <c r="J232" s="36">
        <f>IFERROR(__xludf.DUMMYFUNCTION("""COMPUTED_VALUE"""),29279.0)</f>
        <v>29279</v>
      </c>
      <c r="K232" s="37" t="str">
        <f t="shared" si="1"/>
        <v>[206221649] IDRUS</v>
      </c>
    </row>
    <row r="233">
      <c r="A233" s="17">
        <f>IFERROR(__xludf.DUMMYFUNCTION("""COMPUTED_VALUE"""),2.0621144E8)</f>
        <v>206211440</v>
      </c>
      <c r="B233" s="18" t="str">
        <f>IFERROR(__xludf.DUMMYFUNCTION("""COMPUTED_VALUE"""),"IGNASIUS YANTO SAKA")</f>
        <v>IGNASIUS YANTO SAKA</v>
      </c>
      <c r="C233" s="18">
        <f>IFERROR(__xludf.DUMMYFUNCTION("""COMPUTED_VALUE"""),33.0)</f>
        <v>33</v>
      </c>
      <c r="D233" s="35" t="str">
        <f>IFERROR(__xludf.DUMMYFUNCTION("""COMPUTED_VALUE"""),"Kristen Khatolik")</f>
        <v>Kristen Khatolik</v>
      </c>
      <c r="E233" s="18" t="str">
        <f>IFERROR(__xludf.DUMMYFUNCTION("""COMPUTED_VALUE"""),"CV. Adil Prima Perkasa")</f>
        <v>CV. Adil Prima Perkasa</v>
      </c>
      <c r="F233" s="18" t="str">
        <f>IFERROR(__xludf.DUMMYFUNCTION("""COMPUTED_VALUE"""),"WASHING MAN")</f>
        <v>WASHING MAN</v>
      </c>
      <c r="G233" s="18" t="str">
        <f>IFERROR(__xludf.DUMMYFUNCTION("""COMPUTED_VALUE"""),"WORKSHOP")</f>
        <v>WORKSHOP</v>
      </c>
      <c r="H233" s="18" t="str">
        <f>IFERROR(__xludf.DUMMYFUNCTION("""COMPUTED_VALUE"""),"2023-11-30 07.12.09")</f>
        <v>2023-11-30 07.12.09</v>
      </c>
      <c r="I233" s="18" t="str">
        <f>IFERROR(__xludf.DUMMYFUNCTION("""COMPUTED_VALUE"""),"2023-11-30 18.24.43")</f>
        <v>2023-11-30 18.24.43</v>
      </c>
      <c r="J233" s="36"/>
      <c r="K233" s="37" t="str">
        <f t="shared" si="1"/>
        <v>[206211440] IGNASIUS YANTO SAKA</v>
      </c>
    </row>
    <row r="234">
      <c r="A234" s="17">
        <f>IFERROR(__xludf.DUMMYFUNCTION("""COMPUTED_VALUE"""),2.09231839E8)</f>
        <v>209231839</v>
      </c>
      <c r="B234" s="18" t="str">
        <f>IFERROR(__xludf.DUMMYFUNCTION("""COMPUTED_VALUE"""),"IHSAN")</f>
        <v>IHSAN</v>
      </c>
      <c r="C234" s="18">
        <f>IFERROR(__xludf.DUMMYFUNCTION("""COMPUTED_VALUE"""),0.0)</f>
        <v>0</v>
      </c>
      <c r="D234" s="35"/>
      <c r="E234" s="18" t="str">
        <f>IFERROR(__xludf.DUMMYFUNCTION("""COMPUTED_VALUE"""),"CV. Adil Prima Perkasa")</f>
        <v>CV. Adil Prima Perkasa</v>
      </c>
      <c r="F234" s="18" t="str">
        <f>IFERROR(__xludf.DUMMYFUNCTION("""COMPUTED_VALUE"""),"DRIVER DT H500")</f>
        <v>DRIVER DT H500</v>
      </c>
      <c r="G234" s="18" t="str">
        <f>IFERROR(__xludf.DUMMYFUNCTION("""COMPUTED_VALUE"""),"KENDARAAN &amp; UNIT SUPPORT")</f>
        <v>KENDARAAN &amp; UNIT SUPPORT</v>
      </c>
      <c r="H234" s="18" t="str">
        <f>IFERROR(__xludf.DUMMYFUNCTION("""COMPUTED_VALUE"""),"2024-03-31 06.46.54")</f>
        <v>2024-03-31 06.46.54</v>
      </c>
      <c r="I234" s="18" t="str">
        <f>IFERROR(__xludf.DUMMYFUNCTION("""COMPUTED_VALUE"""),"2024-03-31 16.41.31")</f>
        <v>2024-03-31 16.41.31</v>
      </c>
      <c r="J234" s="36">
        <f>IFERROR(__xludf.DUMMYFUNCTION("""COMPUTED_VALUE"""),31270.0)</f>
        <v>31270</v>
      </c>
      <c r="K234" s="37" t="str">
        <f t="shared" si="1"/>
        <v>[209231839] IHSAN</v>
      </c>
    </row>
    <row r="235">
      <c r="A235" s="17">
        <f>IFERROR(__xludf.DUMMYFUNCTION("""COMPUTED_VALUE"""),2.08221665E8)</f>
        <v>208221665</v>
      </c>
      <c r="B235" s="18" t="str">
        <f>IFERROR(__xludf.DUMMYFUNCTION("""COMPUTED_VALUE"""),"IKBAL")</f>
        <v>IKBAL</v>
      </c>
      <c r="C235" s="18">
        <f>IFERROR(__xludf.DUMMYFUNCTION("""COMPUTED_VALUE"""),24.0)</f>
        <v>24</v>
      </c>
      <c r="D235" s="35" t="str">
        <f>IFERROR(__xludf.DUMMYFUNCTION("""COMPUTED_VALUE"""),"Islam")</f>
        <v>Islam</v>
      </c>
      <c r="E235" s="18" t="str">
        <f>IFERROR(__xludf.DUMMYFUNCTION("""COMPUTED_VALUE"""),"CV. Adil Prima Perkasa")</f>
        <v>CV. Adil Prima Perkasa</v>
      </c>
      <c r="F235" s="18" t="str">
        <f>IFERROR(__xludf.DUMMYFUNCTION("""COMPUTED_VALUE"""),"HELPER TYRE")</f>
        <v>HELPER TYRE</v>
      </c>
      <c r="G235" s="18" t="str">
        <f>IFERROR(__xludf.DUMMYFUNCTION("""COMPUTED_VALUE"""),"WORKSHOP")</f>
        <v>WORKSHOP</v>
      </c>
      <c r="H235" s="18" t="str">
        <f>IFERROR(__xludf.DUMMYFUNCTION("""COMPUTED_VALUE"""),"2023-11-30 22.26.41")</f>
        <v>2023-11-30 22.26.41</v>
      </c>
      <c r="I235" s="18" t="str">
        <f>IFERROR(__xludf.DUMMYFUNCTION("""COMPUTED_VALUE"""),"2023-11-30 22.26.41")</f>
        <v>2023-11-30 22.26.41</v>
      </c>
      <c r="J235" s="36"/>
      <c r="K235" s="37" t="str">
        <f t="shared" si="1"/>
        <v>[208221665] IKBAL</v>
      </c>
    </row>
    <row r="236">
      <c r="A236" s="17">
        <f>IFERROR(__xludf.DUMMYFUNCTION("""COMPUTED_VALUE"""),2.04241908E8)</f>
        <v>204241908</v>
      </c>
      <c r="B236" s="18" t="str">
        <f>IFERROR(__xludf.DUMMYFUNCTION("""COMPUTED_VALUE"""),"IKSAN RUAKU")</f>
        <v>IKSAN RUAKU</v>
      </c>
      <c r="C236" s="18">
        <f>IFERROR(__xludf.DUMMYFUNCTION("""COMPUTED_VALUE"""),19.0)</f>
        <v>19</v>
      </c>
      <c r="D236" s="35" t="str">
        <f>IFERROR(__xludf.DUMMYFUNCTION("""COMPUTED_VALUE"""),"Kristen Protestan")</f>
        <v>Kristen Protestan</v>
      </c>
      <c r="E236" s="18" t="str">
        <f>IFERROR(__xludf.DUMMYFUNCTION("""COMPUTED_VALUE"""),"CV. Adil Prima Perkasa")</f>
        <v>CV. Adil Prima Perkasa</v>
      </c>
      <c r="F236" s="18" t="str">
        <f>IFERROR(__xludf.DUMMYFUNCTION("""COMPUTED_VALUE"""),"HELPER ELECTRICIAN")</f>
        <v>HELPER ELECTRICIAN</v>
      </c>
      <c r="G236" s="18" t="str">
        <f>IFERROR(__xludf.DUMMYFUNCTION("""COMPUTED_VALUE"""),"WORKSHOP")</f>
        <v>WORKSHOP</v>
      </c>
      <c r="H236" s="18"/>
      <c r="I236" s="18"/>
      <c r="J236" s="36"/>
      <c r="K236" s="37" t="str">
        <f t="shared" si="1"/>
        <v/>
      </c>
    </row>
    <row r="237">
      <c r="A237" s="17">
        <f>IFERROR(__xludf.DUMMYFUNCTION("""COMPUTED_VALUE"""),2.05221631E8)</f>
        <v>205221631</v>
      </c>
      <c r="B237" s="18" t="str">
        <f>IFERROR(__xludf.DUMMYFUNCTION("""COMPUTED_VALUE"""),"ILHAM")</f>
        <v>ILHAM</v>
      </c>
      <c r="C237" s="18">
        <f>IFERROR(__xludf.DUMMYFUNCTION("""COMPUTED_VALUE"""),24.0)</f>
        <v>24</v>
      </c>
      <c r="D237" s="35" t="str">
        <f>IFERROR(__xludf.DUMMYFUNCTION("""COMPUTED_VALUE"""),"Islam")</f>
        <v>Islam</v>
      </c>
      <c r="E237" s="18" t="str">
        <f>IFERROR(__xludf.DUMMYFUNCTION("""COMPUTED_VALUE"""),"CV. Adil Prima Perkasa")</f>
        <v>CV. Adil Prima Perkasa</v>
      </c>
      <c r="F237" s="18" t="str">
        <f>IFERROR(__xludf.DUMMYFUNCTION("""COMPUTED_VALUE"""),"DRIVER DT H700ZY")</f>
        <v>DRIVER DT H700ZY</v>
      </c>
      <c r="G237" s="18" t="str">
        <f>IFERROR(__xludf.DUMMYFUNCTION("""COMPUTED_VALUE"""),"KENDARAAN &amp; UNIT SUPPORT")</f>
        <v>KENDARAAN &amp; UNIT SUPPORT</v>
      </c>
      <c r="H237" s="18" t="str">
        <f>IFERROR(__xludf.DUMMYFUNCTION("""COMPUTED_VALUE"""),"2023-11-30 05.36.26")</f>
        <v>2023-11-30 05.36.26</v>
      </c>
      <c r="I237" s="18" t="str">
        <f>IFERROR(__xludf.DUMMYFUNCTION("""COMPUTED_VALUE"""),"2023-11-30 05.36.26")</f>
        <v>2023-11-30 05.36.26</v>
      </c>
      <c r="J237" s="36"/>
      <c r="K237" s="37" t="str">
        <f t="shared" si="1"/>
        <v>[205221631] ILHAM</v>
      </c>
    </row>
    <row r="238">
      <c r="A238" s="17">
        <f>IFERROR(__xludf.DUMMYFUNCTION("""COMPUTED_VALUE"""),1.04150117E8)</f>
        <v>104150117</v>
      </c>
      <c r="B238" s="18" t="str">
        <f>IFERROR(__xludf.DUMMYFUNCTION("""COMPUTED_VALUE"""),"IMANUEL MONANGU")</f>
        <v>IMANUEL MONANGU</v>
      </c>
      <c r="C238" s="18">
        <f>IFERROR(__xludf.DUMMYFUNCTION("""COMPUTED_VALUE"""),34.0)</f>
        <v>34</v>
      </c>
      <c r="D238" s="35" t="str">
        <f>IFERROR(__xludf.DUMMYFUNCTION("""COMPUTED_VALUE"""),"Kristen Protestan")</f>
        <v>Kristen Protestan</v>
      </c>
      <c r="E238" s="18" t="str">
        <f>IFERROR(__xludf.DUMMYFUNCTION("""COMPUTED_VALUE"""),"CV. SENTOSA ABADI")</f>
        <v>CV. SENTOSA ABADI</v>
      </c>
      <c r="F238" s="18" t="str">
        <f>IFERROR(__xludf.DUMMYFUNCTION("""COMPUTED_VALUE"""),"WELDER")</f>
        <v>WELDER</v>
      </c>
      <c r="G238" s="18" t="str">
        <f>IFERROR(__xludf.DUMMYFUNCTION("""COMPUTED_VALUE"""),"WORKSHOP")</f>
        <v>WORKSHOP</v>
      </c>
      <c r="H238" s="18"/>
      <c r="I238" s="18"/>
      <c r="J238" s="36"/>
      <c r="K238" s="37" t="str">
        <f t="shared" si="1"/>
        <v/>
      </c>
    </row>
    <row r="239">
      <c r="A239" s="17">
        <f>IFERROR(__xludf.DUMMYFUNCTION("""COMPUTED_VALUE"""),2.05241918E8)</f>
        <v>205241918</v>
      </c>
      <c r="B239" s="18" t="str">
        <f>IFERROR(__xludf.DUMMYFUNCTION("""COMPUTED_VALUE"""),"IMANUEL RAFAEL SANDI")</f>
        <v>IMANUEL RAFAEL SANDI</v>
      </c>
      <c r="C239" s="18">
        <f>IFERROR(__xludf.DUMMYFUNCTION("""COMPUTED_VALUE"""),0.0)</f>
        <v>0</v>
      </c>
      <c r="D239" s="35"/>
      <c r="E239" s="18" t="str">
        <f>IFERROR(__xludf.DUMMYFUNCTION("""COMPUTED_VALUE"""),"CV. Adil Prima Perkasa")</f>
        <v>CV. Adil Prima Perkasa</v>
      </c>
      <c r="F239" s="18" t="str">
        <f>IFERROR(__xludf.DUMMYFUNCTION("""COMPUTED_VALUE"""),"DRIVER LT")</f>
        <v>DRIVER LT</v>
      </c>
      <c r="G239" s="18" t="str">
        <f>IFERROR(__xludf.DUMMYFUNCTION("""COMPUTED_VALUE"""),"KENDARAAN &amp; UNIT SUPPORT")</f>
        <v>KENDARAAN &amp; UNIT SUPPORT</v>
      </c>
      <c r="H239" s="18"/>
      <c r="I239" s="18"/>
      <c r="J239" s="36"/>
      <c r="K239" s="37" t="str">
        <f t="shared" si="1"/>
        <v/>
      </c>
    </row>
    <row r="240">
      <c r="A240" s="17">
        <f>IFERROR(__xludf.DUMMYFUNCTION("""COMPUTED_VALUE"""),2.02241882E8)</f>
        <v>202241882</v>
      </c>
      <c r="B240" s="18" t="str">
        <f>IFERROR(__xludf.DUMMYFUNCTION("""COMPUTED_VALUE"""),"IMER ABDI PUTRA TANDI LEMBANG")</f>
        <v>IMER ABDI PUTRA TANDI LEMBANG</v>
      </c>
      <c r="C240" s="18">
        <f>IFERROR(__xludf.DUMMYFUNCTION("""COMPUTED_VALUE"""),0.0)</f>
        <v>0</v>
      </c>
      <c r="D240" s="35"/>
      <c r="E240" s="18" t="str">
        <f>IFERROR(__xludf.DUMMYFUNCTION("""COMPUTED_VALUE"""),"CV. Adil Prima Perkasa")</f>
        <v>CV. Adil Prima Perkasa</v>
      </c>
      <c r="F240" s="18" t="str">
        <f>IFERROR(__xludf.DUMMYFUNCTION("""COMPUTED_VALUE"""),"HELPER MAINTENANCE")</f>
        <v>HELPER MAINTENANCE</v>
      </c>
      <c r="G240" s="18" t="str">
        <f>IFERROR(__xludf.DUMMYFUNCTION("""COMPUTED_VALUE"""),"WORKSHOP")</f>
        <v>WORKSHOP</v>
      </c>
      <c r="H240" s="18"/>
      <c r="I240" s="18"/>
      <c r="J240" s="36"/>
      <c r="K240" s="37" t="str">
        <f t="shared" si="1"/>
        <v/>
      </c>
    </row>
    <row r="241">
      <c r="A241" s="17">
        <f>IFERROR(__xludf.DUMMYFUNCTION("""COMPUTED_VALUE"""),2.08231821E8)</f>
        <v>208231821</v>
      </c>
      <c r="B241" s="18" t="str">
        <f>IFERROR(__xludf.DUMMYFUNCTION("""COMPUTED_VALUE"""),"IMRAN")</f>
        <v>IMRAN</v>
      </c>
      <c r="C241" s="18">
        <f>IFERROR(__xludf.DUMMYFUNCTION("""COMPUTED_VALUE"""),0.0)</f>
        <v>0</v>
      </c>
      <c r="D241" s="35"/>
      <c r="E241" s="18" t="str">
        <f>IFERROR(__xludf.DUMMYFUNCTION("""COMPUTED_VALUE"""),"CV. Adil Prima Perkasa")</f>
        <v>CV. Adil Prima Perkasa</v>
      </c>
      <c r="F241" s="18" t="str">
        <f>IFERROR(__xludf.DUMMYFUNCTION("""COMPUTED_VALUE"""),"HELPER ELECTRICIAN")</f>
        <v>HELPER ELECTRICIAN</v>
      </c>
      <c r="G241" s="18" t="str">
        <f>IFERROR(__xludf.DUMMYFUNCTION("""COMPUTED_VALUE"""),"WORKSHOP")</f>
        <v>WORKSHOP</v>
      </c>
      <c r="H241" s="18" t="str">
        <f>IFERROR(__xludf.DUMMYFUNCTION("""COMPUTED_VALUE"""),"2023-11-26 07.17.17")</f>
        <v>2023-11-26 07.17.17</v>
      </c>
      <c r="I241" s="18" t="str">
        <f>IFERROR(__xludf.DUMMYFUNCTION("""COMPUTED_VALUE"""),"2023-11-26 07.17.17")</f>
        <v>2023-11-26 07.17.17</v>
      </c>
      <c r="J241" s="36"/>
      <c r="K241" s="37" t="str">
        <f t="shared" si="1"/>
        <v>[208231821] IMRAN</v>
      </c>
    </row>
    <row r="242">
      <c r="A242" s="17">
        <f>IFERROR(__xludf.DUMMYFUNCTION("""COMPUTED_VALUE"""),1.10211501E8)</f>
        <v>110211501</v>
      </c>
      <c r="B242" s="18" t="str">
        <f>IFERROR(__xludf.DUMMYFUNCTION("""COMPUTED_VALUE"""),"INANG MARWATI")</f>
        <v>INANG MARWATI</v>
      </c>
      <c r="C242" s="18">
        <f>IFERROR(__xludf.DUMMYFUNCTION("""COMPUTED_VALUE"""),27.0)</f>
        <v>27</v>
      </c>
      <c r="D242" s="35" t="str">
        <f>IFERROR(__xludf.DUMMYFUNCTION("""COMPUTED_VALUE"""),"Islam")</f>
        <v>Islam</v>
      </c>
      <c r="E242" s="18" t="str">
        <f>IFERROR(__xludf.DUMMYFUNCTION("""COMPUTED_VALUE"""),"CV. SENTOSA ABADI")</f>
        <v>CV. SENTOSA ABADI</v>
      </c>
      <c r="F242" s="18" t="str">
        <f>IFERROR(__xludf.DUMMYFUNCTION("""COMPUTED_VALUE"""),"STOCKER")</f>
        <v>STOCKER</v>
      </c>
      <c r="G242" s="18" t="str">
        <f>IFERROR(__xludf.DUMMYFUNCTION("""COMPUTED_VALUE"""),"HRD &amp; GA")</f>
        <v>HRD &amp; GA</v>
      </c>
      <c r="H242" s="18" t="str">
        <f>IFERROR(__xludf.DUMMYFUNCTION("""COMPUTED_VALUE"""),"2024-03-31 06.42.34")</f>
        <v>2024-03-31 06.42.34</v>
      </c>
      <c r="I242" s="18" t="str">
        <f>IFERROR(__xludf.DUMMYFUNCTION("""COMPUTED_VALUE"""),"2024-03-31 17.55.02")</f>
        <v>2024-03-31 17.55.02</v>
      </c>
      <c r="J242" s="36"/>
      <c r="K242" s="37" t="str">
        <f t="shared" si="1"/>
        <v>[110211501] INANG MARWATI</v>
      </c>
    </row>
    <row r="243">
      <c r="A243" s="17">
        <f>IFERROR(__xludf.DUMMYFUNCTION("""COMPUTED_VALUE"""),1.06160119E8)</f>
        <v>106160119</v>
      </c>
      <c r="B243" s="18" t="str">
        <f>IFERROR(__xludf.DUMMYFUNCTION("""COMPUTED_VALUE"""),"INDO DARMA PETUNA")</f>
        <v>INDO DARMA PETUNA</v>
      </c>
      <c r="C243" s="18">
        <f>IFERROR(__xludf.DUMMYFUNCTION("""COMPUTED_VALUE"""),37.0)</f>
        <v>37</v>
      </c>
      <c r="D243" s="35" t="str">
        <f>IFERROR(__xludf.DUMMYFUNCTION("""COMPUTED_VALUE"""),"Kristen Protestan")</f>
        <v>Kristen Protestan</v>
      </c>
      <c r="E243" s="18" t="str">
        <f>IFERROR(__xludf.DUMMYFUNCTION("""COMPUTED_VALUE"""),"CV. SENTOSA ABADI")</f>
        <v>CV. SENTOSA ABADI</v>
      </c>
      <c r="F243" s="18" t="str">
        <f>IFERROR(__xludf.DUMMYFUNCTION("""COMPUTED_VALUE"""),"OPERATOR LOADER")</f>
        <v>OPERATOR LOADER</v>
      </c>
      <c r="G243" s="18" t="str">
        <f>IFERROR(__xludf.DUMMYFUNCTION("""COMPUTED_VALUE"""),"PRODUKSI")</f>
        <v>PRODUKSI</v>
      </c>
      <c r="H243" s="18" t="str">
        <f>IFERROR(__xludf.DUMMYFUNCTION("""COMPUTED_VALUE"""),"2023-11-30 06.04.39")</f>
        <v>2023-11-30 06.04.39</v>
      </c>
      <c r="I243" s="18" t="str">
        <f>IFERROR(__xludf.DUMMYFUNCTION("""COMPUTED_VALUE"""),"2023-11-30 17.19.27")</f>
        <v>2023-11-30 17.19.27</v>
      </c>
      <c r="J243" s="36"/>
      <c r="K243" s="37" t="str">
        <f t="shared" si="1"/>
        <v>[106160119] INDO DARMA PETUNA</v>
      </c>
    </row>
    <row r="244">
      <c r="A244" s="17">
        <f>IFERROR(__xludf.DUMMYFUNCTION("""COMPUTED_VALUE"""),2.03241893E8)</f>
        <v>203241893</v>
      </c>
      <c r="B244" s="18" t="str">
        <f>IFERROR(__xludf.DUMMYFUNCTION("""COMPUTED_VALUE"""),"INDRA KURNIAWAN")</f>
        <v>INDRA KURNIAWAN</v>
      </c>
      <c r="C244" s="18">
        <f>IFERROR(__xludf.DUMMYFUNCTION("""COMPUTED_VALUE"""),0.0)</f>
        <v>0</v>
      </c>
      <c r="D244" s="35"/>
      <c r="E244" s="18" t="str">
        <f>IFERROR(__xludf.DUMMYFUNCTION("""COMPUTED_VALUE"""),"CV. Adil Prima Perkasa")</f>
        <v>CV. Adil Prima Perkasa</v>
      </c>
      <c r="F244" s="18" t="str">
        <f>IFERROR(__xludf.DUMMYFUNCTION("""COMPUTED_VALUE"""),"DRIVER LV")</f>
        <v>DRIVER LV</v>
      </c>
      <c r="G244" s="18" t="str">
        <f>IFERROR(__xludf.DUMMYFUNCTION("""COMPUTED_VALUE"""),"KENDARAAN &amp; UNIT SUPPORT")</f>
        <v>KENDARAAN &amp; UNIT SUPPORT</v>
      </c>
      <c r="H244" s="18" t="str">
        <f>IFERROR(__xludf.DUMMYFUNCTION("""COMPUTED_VALUE"""),"2024-03-31 04.41.00")</f>
        <v>2024-03-31 04.41.00</v>
      </c>
      <c r="I244" s="18" t="str">
        <f>IFERROR(__xludf.DUMMYFUNCTION("""COMPUTED_VALUE"""),"2024-03-31 19.02.12")</f>
        <v>2024-03-31 19.02.12</v>
      </c>
      <c r="J244" s="36"/>
      <c r="K244" s="37" t="str">
        <f t="shared" si="1"/>
        <v>[203241893] INDRA KURNIAWAN</v>
      </c>
    </row>
    <row r="245">
      <c r="A245" s="17">
        <f>IFERROR(__xludf.DUMMYFUNCTION("""COMPUTED_VALUE"""),2.09191093E8)</f>
        <v>209191093</v>
      </c>
      <c r="B245" s="18" t="str">
        <f>IFERROR(__xludf.DUMMYFUNCTION("""COMPUTED_VALUE"""),"IQBAR")</f>
        <v>IQBAR</v>
      </c>
      <c r="C245" s="18">
        <f>IFERROR(__xludf.DUMMYFUNCTION("""COMPUTED_VALUE"""),49.0)</f>
        <v>49</v>
      </c>
      <c r="D245" s="35" t="str">
        <f>IFERROR(__xludf.DUMMYFUNCTION("""COMPUTED_VALUE"""),"Islam")</f>
        <v>Islam</v>
      </c>
      <c r="E245" s="18" t="str">
        <f>IFERROR(__xludf.DUMMYFUNCTION("""COMPUTED_VALUE"""),"CV. Adil Prima Perkasa")</f>
        <v>CV. Adil Prima Perkasa</v>
      </c>
      <c r="F245" s="18" t="str">
        <f>IFERROR(__xludf.DUMMYFUNCTION("""COMPUTED_VALUE"""),"OPERATOR ADT")</f>
        <v>OPERATOR ADT</v>
      </c>
      <c r="G245" s="18" t="str">
        <f>IFERROR(__xludf.DUMMYFUNCTION("""COMPUTED_VALUE"""),"PRODUKSI")</f>
        <v>PRODUKSI</v>
      </c>
      <c r="H245" s="18" t="str">
        <f>IFERROR(__xludf.DUMMYFUNCTION("""COMPUTED_VALUE"""),"2023-11-30 06.18.57")</f>
        <v>2023-11-30 06.18.57</v>
      </c>
      <c r="I245" s="18" t="str">
        <f>IFERROR(__xludf.DUMMYFUNCTION("""COMPUTED_VALUE"""),"2023-11-30 06.18.57")</f>
        <v>2023-11-30 06.18.57</v>
      </c>
      <c r="J245" s="36"/>
      <c r="K245" s="37" t="str">
        <f t="shared" si="1"/>
        <v>[209191093] IQBAR</v>
      </c>
    </row>
    <row r="246">
      <c r="A246" s="17">
        <f>IFERROR(__xludf.DUMMYFUNCTION("""COMPUTED_VALUE"""),2.06231788E8)</f>
        <v>206231788</v>
      </c>
      <c r="B246" s="18" t="str">
        <f>IFERROR(__xludf.DUMMYFUNCTION("""COMPUTED_VALUE"""),"IRFAN")</f>
        <v>IRFAN</v>
      </c>
      <c r="C246" s="18">
        <f>IFERROR(__xludf.DUMMYFUNCTION("""COMPUTED_VALUE"""),26.0)</f>
        <v>26</v>
      </c>
      <c r="D246" s="35" t="str">
        <f>IFERROR(__xludf.DUMMYFUNCTION("""COMPUTED_VALUE"""),"Islam")</f>
        <v>Islam</v>
      </c>
      <c r="E246" s="18" t="str">
        <f>IFERROR(__xludf.DUMMYFUNCTION("""COMPUTED_VALUE"""),"CV. Adil Prima Perkasa")</f>
        <v>CV. Adil Prima Perkasa</v>
      </c>
      <c r="F246" s="18" t="str">
        <f>IFERROR(__xludf.DUMMYFUNCTION("""COMPUTED_VALUE"""),"ADMIN KENDARAAN")</f>
        <v>ADMIN KENDARAAN</v>
      </c>
      <c r="G246" s="18" t="str">
        <f>IFERROR(__xludf.DUMMYFUNCTION("""COMPUTED_VALUE"""),"KENDARAAN &amp; UNIT SUPPORT")</f>
        <v>KENDARAAN &amp; UNIT SUPPORT</v>
      </c>
      <c r="H246" s="18" t="str">
        <f>IFERROR(__xludf.DUMMYFUNCTION("""COMPUTED_VALUE"""),"2024-03-31 04.22.46")</f>
        <v>2024-03-31 04.22.46</v>
      </c>
      <c r="I246" s="18" t="str">
        <f>IFERROR(__xludf.DUMMYFUNCTION("""COMPUTED_VALUE"""),"2024-03-31 22.29.51")</f>
        <v>2024-03-31 22.29.51</v>
      </c>
      <c r="J246" s="36"/>
      <c r="K246" s="37" t="str">
        <f t="shared" si="1"/>
        <v>[206231788] IRFAN</v>
      </c>
    </row>
    <row r="247">
      <c r="A247" s="17">
        <f>IFERROR(__xludf.DUMMYFUNCTION("""COMPUTED_VALUE"""),3.06210075E8)</f>
        <v>306210075</v>
      </c>
      <c r="B247" s="18" t="str">
        <f>IFERROR(__xludf.DUMMYFUNCTION("""COMPUTED_VALUE"""),"IRFIAN LIANSYAH")</f>
        <v>IRFIAN LIANSYAH</v>
      </c>
      <c r="C247" s="18">
        <f>IFERROR(__xludf.DUMMYFUNCTION("""COMPUTED_VALUE"""),21.0)</f>
        <v>21</v>
      </c>
      <c r="D247" s="35" t="str">
        <f>IFERROR(__xludf.DUMMYFUNCTION("""COMPUTED_VALUE"""),"Islam")</f>
        <v>Islam</v>
      </c>
      <c r="E247" s="18" t="str">
        <f>IFERROR(__xludf.DUMMYFUNCTION("""COMPUTED_VALUE"""),"CV. Monalisa")</f>
        <v>CV. Monalisa</v>
      </c>
      <c r="F247" s="18" t="str">
        <f>IFERROR(__xludf.DUMMYFUNCTION("""COMPUTED_VALUE"""),"CREW SURVEY")</f>
        <v>CREW SURVEY</v>
      </c>
      <c r="G247" s="18" t="str">
        <f>IFERROR(__xludf.DUMMYFUNCTION("""COMPUTED_VALUE"""),"MPE")</f>
        <v>MPE</v>
      </c>
      <c r="H247" s="18" t="str">
        <f>IFERROR(__xludf.DUMMYFUNCTION("""COMPUTED_VALUE"""),"2023-11-28 18.56.56")</f>
        <v>2023-11-28 18.56.56</v>
      </c>
      <c r="I247" s="18" t="str">
        <f>IFERROR(__xludf.DUMMYFUNCTION("""COMPUTED_VALUE"""),"2023-11-28 18.56.56")</f>
        <v>2023-11-28 18.56.56</v>
      </c>
      <c r="J247" s="36"/>
      <c r="K247" s="37" t="str">
        <f t="shared" si="1"/>
        <v>[306210075] IRFIAN LIANSYAH</v>
      </c>
    </row>
    <row r="248">
      <c r="A248" s="17">
        <f>IFERROR(__xludf.DUMMYFUNCTION("""COMPUTED_VALUE"""),2.11211539E8)</f>
        <v>211211539</v>
      </c>
      <c r="B248" s="18" t="str">
        <f>IFERROR(__xludf.DUMMYFUNCTION("""COMPUTED_VALUE"""),"IRRA APRILIA CITRA")</f>
        <v>IRRA APRILIA CITRA</v>
      </c>
      <c r="C248" s="18">
        <f>IFERROR(__xludf.DUMMYFUNCTION("""COMPUTED_VALUE"""),26.0)</f>
        <v>26</v>
      </c>
      <c r="D248" s="35" t="str">
        <f>IFERROR(__xludf.DUMMYFUNCTION("""COMPUTED_VALUE"""),"Islam")</f>
        <v>Islam</v>
      </c>
      <c r="E248" s="18" t="str">
        <f>IFERROR(__xludf.DUMMYFUNCTION("""COMPUTED_VALUE"""),"CV. Adil Prima Perkasa")</f>
        <v>CV. Adil Prima Perkasa</v>
      </c>
      <c r="F248" s="18" t="str">
        <f>IFERROR(__xludf.DUMMYFUNCTION("""COMPUTED_VALUE"""),"ASISTEN MPE")</f>
        <v>ASISTEN MPE</v>
      </c>
      <c r="G248" s="18" t="str">
        <f>IFERROR(__xludf.DUMMYFUNCTION("""COMPUTED_VALUE"""),"MPE")</f>
        <v>MPE</v>
      </c>
      <c r="H248" s="18" t="str">
        <f>IFERROR(__xludf.DUMMYFUNCTION("""COMPUTED_VALUE"""),"2023-08-30 06.53.13")</f>
        <v>2023-08-30 06.53.13</v>
      </c>
      <c r="I248" s="18" t="str">
        <f>IFERROR(__xludf.DUMMYFUNCTION("""COMPUTED_VALUE"""),"2023-08-30 16.40.11")</f>
        <v>2023-08-30 16.40.11</v>
      </c>
      <c r="J248" s="36"/>
      <c r="K248" s="37" t="str">
        <f t="shared" si="1"/>
        <v>[211211539] IRRA APRILIA CITRA</v>
      </c>
    </row>
    <row r="249">
      <c r="A249" s="17">
        <f>IFERROR(__xludf.DUMMYFUNCTION("""COMPUTED_VALUE"""),1.04211375E8)</f>
        <v>104211375</v>
      </c>
      <c r="B249" s="18" t="str">
        <f>IFERROR(__xludf.DUMMYFUNCTION("""COMPUTED_VALUE"""),"IRWAN YUNUS")</f>
        <v>IRWAN YUNUS</v>
      </c>
      <c r="C249" s="18">
        <f>IFERROR(__xludf.DUMMYFUNCTION("""COMPUTED_VALUE"""),37.0)</f>
        <v>37</v>
      </c>
      <c r="D249" s="35" t="str">
        <f>IFERROR(__xludf.DUMMYFUNCTION("""COMPUTED_VALUE"""),"Islam")</f>
        <v>Islam</v>
      </c>
      <c r="E249" s="18" t="str">
        <f>IFERROR(__xludf.DUMMYFUNCTION("""COMPUTED_VALUE"""),"CV. SENTOSA ABADI")</f>
        <v>CV. SENTOSA ABADI</v>
      </c>
      <c r="F249" s="18" t="str">
        <f>IFERROR(__xludf.DUMMYFUNCTION("""COMPUTED_VALUE"""),"OPERATOR EXCAVATOR")</f>
        <v>OPERATOR EXCAVATOR</v>
      </c>
      <c r="G249" s="18" t="str">
        <f>IFERROR(__xludf.DUMMYFUNCTION("""COMPUTED_VALUE"""),"PRODUKSI")</f>
        <v>PRODUKSI</v>
      </c>
      <c r="H249" s="18" t="str">
        <f>IFERROR(__xludf.DUMMYFUNCTION("""COMPUTED_VALUE"""),"2023-11-30 05.45.02")</f>
        <v>2023-11-30 05.45.02</v>
      </c>
      <c r="I249" s="18" t="str">
        <f>IFERROR(__xludf.DUMMYFUNCTION("""COMPUTED_VALUE"""),"2023-11-30 05.45.02")</f>
        <v>2023-11-30 05.45.02</v>
      </c>
      <c r="J249" s="36">
        <f>IFERROR(__xludf.DUMMYFUNCTION("""COMPUTED_VALUE"""),33156.0)</f>
        <v>33156</v>
      </c>
      <c r="K249" s="37" t="str">
        <f t="shared" si="1"/>
        <v>[104211375] IRWAN YUNUS</v>
      </c>
    </row>
    <row r="250">
      <c r="A250" s="17">
        <f>IFERROR(__xludf.DUMMYFUNCTION("""COMPUTED_VALUE"""),1.12231867E8)</f>
        <v>112231867</v>
      </c>
      <c r="B250" s="18" t="str">
        <f>IFERROR(__xludf.DUMMYFUNCTION("""COMPUTED_VALUE"""),"IRYANTO SARES DAKURI")</f>
        <v>IRYANTO SARES DAKURI</v>
      </c>
      <c r="C250" s="18">
        <f>IFERROR(__xludf.DUMMYFUNCTION("""COMPUTED_VALUE"""),0.0)</f>
        <v>0</v>
      </c>
      <c r="D250" s="35"/>
      <c r="E250" s="18" t="str">
        <f>IFERROR(__xludf.DUMMYFUNCTION("""COMPUTED_VALUE"""),"CV. SENTOSA ABADI")</f>
        <v>CV. SENTOSA ABADI</v>
      </c>
      <c r="F250" s="18" t="str">
        <f>IFERROR(__xludf.DUMMYFUNCTION("""COMPUTED_VALUE"""),"ADMIN LOGISTIC")</f>
        <v>ADMIN LOGISTIC</v>
      </c>
      <c r="G250" s="18" t="str">
        <f>IFERROR(__xludf.DUMMYFUNCTION("""COMPUTED_VALUE"""),"LOGISTIC")</f>
        <v>LOGISTIC</v>
      </c>
      <c r="H250" s="18"/>
      <c r="I250" s="18"/>
      <c r="J250" s="36"/>
      <c r="K250" s="37" t="str">
        <f t="shared" si="1"/>
        <v/>
      </c>
    </row>
    <row r="251">
      <c r="A251" s="17">
        <f>IFERROR(__xludf.DUMMYFUNCTION("""COMPUTED_VALUE"""),1.12231861E8)</f>
        <v>112231861</v>
      </c>
      <c r="B251" s="18" t="str">
        <f>IFERROR(__xludf.DUMMYFUNCTION("""COMPUTED_VALUE"""),"ISKANDAR")</f>
        <v>ISKANDAR</v>
      </c>
      <c r="C251" s="18">
        <f>IFERROR(__xludf.DUMMYFUNCTION("""COMPUTED_VALUE"""),0.0)</f>
        <v>0</v>
      </c>
      <c r="D251" s="35"/>
      <c r="E251" s="18" t="str">
        <f>IFERROR(__xludf.DUMMYFUNCTION("""COMPUTED_VALUE"""),"CV. SENTOSA ABADI")</f>
        <v>CV. SENTOSA ABADI</v>
      </c>
      <c r="F251" s="18" t="str">
        <f>IFERROR(__xludf.DUMMYFUNCTION("""COMPUTED_VALUE"""),"DRIVER DT H500")</f>
        <v>DRIVER DT H500</v>
      </c>
      <c r="G251" s="18" t="str">
        <f>IFERROR(__xludf.DUMMYFUNCTION("""COMPUTED_VALUE"""),"KENDARAAN &amp; UNIT SUPPORT")</f>
        <v>KENDARAAN &amp; UNIT SUPPORT</v>
      </c>
      <c r="H251" s="18" t="str">
        <f>IFERROR(__xludf.DUMMYFUNCTION("""COMPUTED_VALUE"""),"2024-03-31 06.48.20")</f>
        <v>2024-03-31 06.48.20</v>
      </c>
      <c r="I251" s="18" t="str">
        <f>IFERROR(__xludf.DUMMYFUNCTION("""COMPUTED_VALUE"""),"2024-03-31 16.53.24")</f>
        <v>2024-03-31 16.53.24</v>
      </c>
      <c r="J251" s="36"/>
      <c r="K251" s="37" t="str">
        <f t="shared" si="1"/>
        <v>[112231861] ISKANDAR</v>
      </c>
    </row>
    <row r="252">
      <c r="A252" s="17">
        <f>IFERROR(__xludf.DUMMYFUNCTION("""COMPUTED_VALUE"""),2.12221713E8)</f>
        <v>212221713</v>
      </c>
      <c r="B252" s="18" t="str">
        <f>IFERROR(__xludf.DUMMYFUNCTION("""COMPUTED_VALUE"""),"ISKARI")</f>
        <v>ISKARI</v>
      </c>
      <c r="C252" s="18">
        <f>IFERROR(__xludf.DUMMYFUNCTION("""COMPUTED_VALUE"""),35.0)</f>
        <v>35</v>
      </c>
      <c r="D252" s="35" t="str">
        <f>IFERROR(__xludf.DUMMYFUNCTION("""COMPUTED_VALUE"""),"Islam")</f>
        <v>Islam</v>
      </c>
      <c r="E252" s="18" t="str">
        <f>IFERROR(__xludf.DUMMYFUNCTION("""COMPUTED_VALUE"""),"CV. Adil Prima Perkasa")</f>
        <v>CV. Adil Prima Perkasa</v>
      </c>
      <c r="F252" s="18" t="str">
        <f>IFERROR(__xludf.DUMMYFUNCTION("""COMPUTED_VALUE"""),"DRIVER DT H700ZS")</f>
        <v>DRIVER DT H700ZS</v>
      </c>
      <c r="G252" s="18" t="str">
        <f>IFERROR(__xludf.DUMMYFUNCTION("""COMPUTED_VALUE"""),"KENDARAAN &amp; UNIT SUPPORT")</f>
        <v>KENDARAAN &amp; UNIT SUPPORT</v>
      </c>
      <c r="H252" s="18" t="str">
        <f>IFERROR(__xludf.DUMMYFUNCTION("""COMPUTED_VALUE"""),"2024-03-31 18.18.30")</f>
        <v>2024-03-31 18.18.30</v>
      </c>
      <c r="I252" s="18" t="str">
        <f>IFERROR(__xludf.DUMMYFUNCTION("""COMPUTED_VALUE"""),"2024-03-31 18.18.30")</f>
        <v>2024-03-31 18.18.30</v>
      </c>
      <c r="J252" s="36">
        <f>IFERROR(__xludf.DUMMYFUNCTION("""COMPUTED_VALUE"""),34499.0)</f>
        <v>34499</v>
      </c>
      <c r="K252" s="37" t="str">
        <f t="shared" si="1"/>
        <v>[212221713] ISKARI</v>
      </c>
    </row>
    <row r="253">
      <c r="A253" s="17">
        <f>IFERROR(__xludf.DUMMYFUNCTION("""COMPUTED_VALUE"""),2.10221691E8)</f>
        <v>210221691</v>
      </c>
      <c r="B253" s="18" t="str">
        <f>IFERROR(__xludf.DUMMYFUNCTION("""COMPUTED_VALUE"""),"ISMAIL")</f>
        <v>ISMAIL</v>
      </c>
      <c r="C253" s="18">
        <f>IFERROR(__xludf.DUMMYFUNCTION("""COMPUTED_VALUE"""),20.0)</f>
        <v>20</v>
      </c>
      <c r="D253" s="35" t="str">
        <f>IFERROR(__xludf.DUMMYFUNCTION("""COMPUTED_VALUE"""),"Islam")</f>
        <v>Islam</v>
      </c>
      <c r="E253" s="18" t="str">
        <f>IFERROR(__xludf.DUMMYFUNCTION("""COMPUTED_VALUE"""),"CV. Adil Prima Perkasa")</f>
        <v>CV. Adil Prima Perkasa</v>
      </c>
      <c r="F253" s="18" t="str">
        <f>IFERROR(__xludf.DUMMYFUNCTION("""COMPUTED_VALUE"""),"HELPER TYRE")</f>
        <v>HELPER TYRE</v>
      </c>
      <c r="G253" s="18" t="str">
        <f>IFERROR(__xludf.DUMMYFUNCTION("""COMPUTED_VALUE"""),"WORKSHOP")</f>
        <v>WORKSHOP</v>
      </c>
      <c r="H253" s="18" t="str">
        <f>IFERROR(__xludf.DUMMYFUNCTION("""COMPUTED_VALUE"""),"2023-11-30 07.06.15")</f>
        <v>2023-11-30 07.06.15</v>
      </c>
      <c r="I253" s="18" t="str">
        <f>IFERROR(__xludf.DUMMYFUNCTION("""COMPUTED_VALUE"""),"2023-11-30 20.01.54")</f>
        <v>2023-11-30 20.01.54</v>
      </c>
      <c r="J253" s="36"/>
      <c r="K253" s="37" t="str">
        <f t="shared" si="1"/>
        <v>[210221691] ISMAIL</v>
      </c>
    </row>
    <row r="254">
      <c r="A254" s="17">
        <f>IFERROR(__xludf.DUMMYFUNCTION("""COMPUTED_VALUE"""),2.0821147E8)</f>
        <v>208211470</v>
      </c>
      <c r="B254" s="18" t="str">
        <f>IFERROR(__xludf.DUMMYFUNCTION("""COMPUTED_VALUE"""),"ISMAIL")</f>
        <v>ISMAIL</v>
      </c>
      <c r="C254" s="18">
        <f>IFERROR(__xludf.DUMMYFUNCTION("""COMPUTED_VALUE"""),52.0)</f>
        <v>52</v>
      </c>
      <c r="D254" s="35" t="str">
        <f>IFERROR(__xludf.DUMMYFUNCTION("""COMPUTED_VALUE"""),"Islam")</f>
        <v>Islam</v>
      </c>
      <c r="E254" s="18" t="str">
        <f>IFERROR(__xludf.DUMMYFUNCTION("""COMPUTED_VALUE"""),"CV. Adil Prima Perkasa")</f>
        <v>CV. Adil Prima Perkasa</v>
      </c>
      <c r="F254" s="18" t="str">
        <f>IFERROR(__xludf.DUMMYFUNCTION("""COMPUTED_VALUE"""),"OPERATOR GRADER")</f>
        <v>OPERATOR GRADER</v>
      </c>
      <c r="G254" s="18" t="str">
        <f>IFERROR(__xludf.DUMMYFUNCTION("""COMPUTED_VALUE"""),"PRODUKSI")</f>
        <v>PRODUKSI</v>
      </c>
      <c r="H254" s="18" t="str">
        <f>IFERROR(__xludf.DUMMYFUNCTION("""COMPUTED_VALUE"""),"2023-11-30 05.18.27")</f>
        <v>2023-11-30 05.18.27</v>
      </c>
      <c r="I254" s="18" t="str">
        <f>IFERROR(__xludf.DUMMYFUNCTION("""COMPUTED_VALUE"""),"2023-11-30 16.53.29")</f>
        <v>2023-11-30 16.53.29</v>
      </c>
      <c r="J254" s="36">
        <f>IFERROR(__xludf.DUMMYFUNCTION("""COMPUTED_VALUE"""),23454.0)</f>
        <v>23454</v>
      </c>
      <c r="K254" s="37" t="str">
        <f t="shared" si="1"/>
        <v>[208211470] ISMAIL</v>
      </c>
    </row>
    <row r="255">
      <c r="A255" s="17">
        <f>IFERROR(__xludf.DUMMYFUNCTION("""COMPUTED_VALUE"""),1.0823182E8)</f>
        <v>108231820</v>
      </c>
      <c r="B255" s="18" t="str">
        <f>IFERROR(__xludf.DUMMYFUNCTION("""COMPUTED_VALUE"""),"ISMAIL")</f>
        <v>ISMAIL</v>
      </c>
      <c r="C255" s="18">
        <f>IFERROR(__xludf.DUMMYFUNCTION("""COMPUTED_VALUE"""),30.0)</f>
        <v>30</v>
      </c>
      <c r="D255" s="35" t="str">
        <f>IFERROR(__xludf.DUMMYFUNCTION("""COMPUTED_VALUE"""),"Islam")</f>
        <v>Islam</v>
      </c>
      <c r="E255" s="18" t="str">
        <f>IFERROR(__xludf.DUMMYFUNCTION("""COMPUTED_VALUE"""),"CV. SENTOSA ABADI")</f>
        <v>CV. SENTOSA ABADI</v>
      </c>
      <c r="F255" s="18" t="str">
        <f>IFERROR(__xludf.DUMMYFUNCTION("""COMPUTED_VALUE"""),"HELPER FUEL")</f>
        <v>HELPER FUEL</v>
      </c>
      <c r="G255" s="18" t="str">
        <f>IFERROR(__xludf.DUMMYFUNCTION("""COMPUTED_VALUE"""),"MPE")</f>
        <v>MPE</v>
      </c>
      <c r="H255" s="18" t="str">
        <f>IFERROR(__xludf.DUMMYFUNCTION("""COMPUTED_VALUE"""),"2023-11-30 04.39.57")</f>
        <v>2023-11-30 04.39.57</v>
      </c>
      <c r="I255" s="18" t="str">
        <f>IFERROR(__xludf.DUMMYFUNCTION("""COMPUTED_VALUE"""),"2023-11-30 04.39.57")</f>
        <v>2023-11-30 04.39.57</v>
      </c>
      <c r="J255" s="36"/>
      <c r="K255" s="37" t="str">
        <f t="shared" si="1"/>
        <v>[108231820] ISMAIL</v>
      </c>
    </row>
    <row r="256">
      <c r="A256" s="17">
        <f>IFERROR(__xludf.DUMMYFUNCTION("""COMPUTED_VALUE"""),1.08191041E8)</f>
        <v>108191041</v>
      </c>
      <c r="B256" s="18" t="str">
        <f>IFERROR(__xludf.DUMMYFUNCTION("""COMPUTED_VALUE"""),"ISMAIL")</f>
        <v>ISMAIL</v>
      </c>
      <c r="C256" s="18">
        <f>IFERROR(__xludf.DUMMYFUNCTION("""COMPUTED_VALUE"""),37.0)</f>
        <v>37</v>
      </c>
      <c r="D256" s="35" t="str">
        <f>IFERROR(__xludf.DUMMYFUNCTION("""COMPUTED_VALUE"""),"Islam")</f>
        <v>Islam</v>
      </c>
      <c r="E256" s="18" t="str">
        <f>IFERROR(__xludf.DUMMYFUNCTION("""COMPUTED_VALUE"""),"CV. SENTOSA ABADI")</f>
        <v>CV. SENTOSA ABADI</v>
      </c>
      <c r="F256" s="18" t="str">
        <f>IFERROR(__xludf.DUMMYFUNCTION("""COMPUTED_VALUE"""),"DRIVER DT H700ZY")</f>
        <v>DRIVER DT H700ZY</v>
      </c>
      <c r="G256" s="18" t="str">
        <f>IFERROR(__xludf.DUMMYFUNCTION("""COMPUTED_VALUE"""),"KENDARAAN &amp; UNIT SUPPORT")</f>
        <v>KENDARAAN &amp; UNIT SUPPORT</v>
      </c>
      <c r="H256" s="18" t="str">
        <f>IFERROR(__xludf.DUMMYFUNCTION("""COMPUTED_VALUE"""),"2024-03-31 03.11.24")</f>
        <v>2024-03-31 03.11.24</v>
      </c>
      <c r="I256" s="18" t="str">
        <f>IFERROR(__xludf.DUMMYFUNCTION("""COMPUTED_VALUE"""),"2024-03-31 19.40.10")</f>
        <v>2024-03-31 19.40.10</v>
      </c>
      <c r="J256" s="36">
        <f>IFERROR(__xludf.DUMMYFUNCTION("""COMPUTED_VALUE"""),36015.0)</f>
        <v>36015</v>
      </c>
      <c r="K256" s="37" t="str">
        <f t="shared" si="1"/>
        <v>[108191041] ISMAIL</v>
      </c>
    </row>
    <row r="257">
      <c r="A257" s="17">
        <f>IFERROR(__xludf.DUMMYFUNCTION("""COMPUTED_VALUE"""),1.07201166E8)</f>
        <v>107201166</v>
      </c>
      <c r="B257" s="18" t="str">
        <f>IFERROR(__xludf.DUMMYFUNCTION("""COMPUTED_VALUE"""),"ISMAN.M")</f>
        <v>ISMAN.M</v>
      </c>
      <c r="C257" s="18">
        <f>IFERROR(__xludf.DUMMYFUNCTION("""COMPUTED_VALUE"""),40.0)</f>
        <v>40</v>
      </c>
      <c r="D257" s="35" t="str">
        <f>IFERROR(__xludf.DUMMYFUNCTION("""COMPUTED_VALUE"""),"Islam")</f>
        <v>Islam</v>
      </c>
      <c r="E257" s="18" t="str">
        <f>IFERROR(__xludf.DUMMYFUNCTION("""COMPUTED_VALUE"""),"CV. SENTOSA ABADI")</f>
        <v>CV. SENTOSA ABADI</v>
      </c>
      <c r="F257" s="18" t="str">
        <f>IFERROR(__xludf.DUMMYFUNCTION("""COMPUTED_VALUE"""),"FOREMAN GRADE CONTROL")</f>
        <v>FOREMAN GRADE CONTROL</v>
      </c>
      <c r="G257" s="18" t="str">
        <f>IFERROR(__xludf.DUMMYFUNCTION("""COMPUTED_VALUE"""),"GRADE CONTROL")</f>
        <v>GRADE CONTROL</v>
      </c>
      <c r="H257" s="18" t="str">
        <f>IFERROR(__xludf.DUMMYFUNCTION("""COMPUTED_VALUE"""),"2023-11-30 06.40.44")</f>
        <v>2023-11-30 06.40.44</v>
      </c>
      <c r="I257" s="18" t="str">
        <f>IFERROR(__xludf.DUMMYFUNCTION("""COMPUTED_VALUE"""),"2023-11-30 06.40.44")</f>
        <v>2023-11-30 06.40.44</v>
      </c>
      <c r="J257" s="36">
        <f>IFERROR(__xludf.DUMMYFUNCTION("""COMPUTED_VALUE"""),32453.0)</f>
        <v>32453</v>
      </c>
      <c r="K257" s="37" t="str">
        <f t="shared" si="1"/>
        <v>[107201166] ISMAN.M</v>
      </c>
    </row>
    <row r="258">
      <c r="A258" s="17">
        <f>IFERROR(__xludf.DUMMYFUNCTION("""COMPUTED_VALUE"""),1.08201211E8)</f>
        <v>108201211</v>
      </c>
      <c r="B258" s="18" t="str">
        <f>IFERROR(__xludf.DUMMYFUNCTION("""COMPUTED_VALUE"""),"ISRUN AKANGKUNG")</f>
        <v>ISRUN AKANGKUNG</v>
      </c>
      <c r="C258" s="18">
        <f>IFERROR(__xludf.DUMMYFUNCTION("""COMPUTED_VALUE"""),59.0)</f>
        <v>59</v>
      </c>
      <c r="D258" s="35" t="str">
        <f>IFERROR(__xludf.DUMMYFUNCTION("""COMPUTED_VALUE"""),"Islam")</f>
        <v>Islam</v>
      </c>
      <c r="E258" s="18" t="str">
        <f>IFERROR(__xludf.DUMMYFUNCTION("""COMPUTED_VALUE"""),"CV. SENTOSA ABADI")</f>
        <v>CV. SENTOSA ABADI</v>
      </c>
      <c r="F258" s="18" t="str">
        <f>IFERROR(__xludf.DUMMYFUNCTION("""COMPUTED_VALUE"""),"DRIVER DT H700ZY")</f>
        <v>DRIVER DT H700ZY</v>
      </c>
      <c r="G258" s="18" t="str">
        <f>IFERROR(__xludf.DUMMYFUNCTION("""COMPUTED_VALUE"""),"KENDARAAN &amp; UNIT SUPPORT")</f>
        <v>KENDARAAN &amp; UNIT SUPPORT</v>
      </c>
      <c r="H258" s="18" t="str">
        <f>IFERROR(__xludf.DUMMYFUNCTION("""COMPUTED_VALUE"""),"2024-03-31 07.07.49")</f>
        <v>2024-03-31 07.07.49</v>
      </c>
      <c r="I258" s="18" t="str">
        <f>IFERROR(__xludf.DUMMYFUNCTION("""COMPUTED_VALUE"""),"2024-03-31 17.16.01")</f>
        <v>2024-03-31 17.16.01</v>
      </c>
      <c r="J258" s="36"/>
      <c r="K258" s="37" t="str">
        <f t="shared" si="1"/>
        <v>[108201211] ISRUN AKANGKUNG</v>
      </c>
    </row>
    <row r="259">
      <c r="A259" s="17">
        <f>IFERROR(__xludf.DUMMYFUNCTION("""COMPUTED_VALUE"""),2.08231825E8)</f>
        <v>208231825</v>
      </c>
      <c r="B259" s="18" t="str">
        <f>IFERROR(__xludf.DUMMYFUNCTION("""COMPUTED_VALUE"""),"ISWANDI")</f>
        <v>ISWANDI</v>
      </c>
      <c r="C259" s="18">
        <f>IFERROR(__xludf.DUMMYFUNCTION("""COMPUTED_VALUE"""),29.0)</f>
        <v>29</v>
      </c>
      <c r="D259" s="35" t="str">
        <f>IFERROR(__xludf.DUMMYFUNCTION("""COMPUTED_VALUE"""),"Islam")</f>
        <v>Islam</v>
      </c>
      <c r="E259" s="18" t="str">
        <f>IFERROR(__xludf.DUMMYFUNCTION("""COMPUTED_VALUE"""),"CV. Adil Prima Perkasa")</f>
        <v>CV. Adil Prima Perkasa</v>
      </c>
      <c r="F259" s="18" t="str">
        <f>IFERROR(__xludf.DUMMYFUNCTION("""COMPUTED_VALUE"""),"HELPER MECHANIC DT OTR")</f>
        <v>HELPER MECHANIC DT OTR</v>
      </c>
      <c r="G259" s="18" t="str">
        <f>IFERROR(__xludf.DUMMYFUNCTION("""COMPUTED_VALUE"""),"WORKSHOP")</f>
        <v>WORKSHOP</v>
      </c>
      <c r="H259" s="18" t="str">
        <f>IFERROR(__xludf.DUMMYFUNCTION("""COMPUTED_VALUE"""),"2023-11-30 07.07.19")</f>
        <v>2023-11-30 07.07.19</v>
      </c>
      <c r="I259" s="18" t="str">
        <f>IFERROR(__xludf.DUMMYFUNCTION("""COMPUTED_VALUE"""),"2023-11-30 07.07.19")</f>
        <v>2023-11-30 07.07.19</v>
      </c>
      <c r="J259" s="36"/>
      <c r="K259" s="37" t="str">
        <f t="shared" si="1"/>
        <v>[208231825] ISWANDI</v>
      </c>
    </row>
    <row r="260">
      <c r="A260" s="17">
        <f>IFERROR(__xludf.DUMMYFUNCTION("""COMPUTED_VALUE"""),2.02211343E8)</f>
        <v>202211343</v>
      </c>
      <c r="B260" s="18" t="str">
        <f>IFERROR(__xludf.DUMMYFUNCTION("""COMPUTED_VALUE"""),"JABAL")</f>
        <v>JABAL</v>
      </c>
      <c r="C260" s="18">
        <f>IFERROR(__xludf.DUMMYFUNCTION("""COMPUTED_VALUE"""),22.0)</f>
        <v>22</v>
      </c>
      <c r="D260" s="35" t="str">
        <f>IFERROR(__xludf.DUMMYFUNCTION("""COMPUTED_VALUE"""),"Islam")</f>
        <v>Islam</v>
      </c>
      <c r="E260" s="18" t="str">
        <f>IFERROR(__xludf.DUMMYFUNCTION("""COMPUTED_VALUE"""),"CV. Adil Prima Perkasa")</f>
        <v>CV. Adil Prima Perkasa</v>
      </c>
      <c r="F260" s="18" t="str">
        <f>IFERROR(__xludf.DUMMYFUNCTION("""COMPUTED_VALUE"""),"CHECKER KENDARAAN")</f>
        <v>CHECKER KENDARAAN</v>
      </c>
      <c r="G260" s="18" t="str">
        <f>IFERROR(__xludf.DUMMYFUNCTION("""COMPUTED_VALUE"""),"KENDARAAN &amp; UNIT SUPPORT")</f>
        <v>KENDARAAN &amp; UNIT SUPPORT</v>
      </c>
      <c r="H260" s="18" t="str">
        <f>IFERROR(__xludf.DUMMYFUNCTION("""COMPUTED_VALUE"""),"2024-03-31 07.03.45")</f>
        <v>2024-03-31 07.03.45</v>
      </c>
      <c r="I260" s="18" t="str">
        <f>IFERROR(__xludf.DUMMYFUNCTION("""COMPUTED_VALUE"""),"2024-03-31 18.50.49")</f>
        <v>2024-03-31 18.50.49</v>
      </c>
      <c r="J260" s="36"/>
      <c r="K260" s="37" t="str">
        <f t="shared" si="1"/>
        <v>[202211343] JABAL</v>
      </c>
    </row>
    <row r="261">
      <c r="A261" s="17"/>
      <c r="B261" s="18" t="str">
        <f>IFERROR(__xludf.DUMMYFUNCTION("""COMPUTED_VALUE"""),"JABAL")</f>
        <v>JABAL</v>
      </c>
      <c r="C261" s="18">
        <f>IFERROR(__xludf.DUMMYFUNCTION("""COMPUTED_VALUE"""),0.0)</f>
        <v>0</v>
      </c>
      <c r="D261" s="35"/>
      <c r="E261" s="18" t="str">
        <f>IFERROR(__xludf.DUMMYFUNCTION("""COMPUTED_VALUE"""),"CV. SENTOSA ABADI")</f>
        <v>CV. SENTOSA ABADI</v>
      </c>
      <c r="F261" s="18" t="str">
        <f>IFERROR(__xludf.DUMMYFUNCTION("""COMPUTED_VALUE"""),"FALSE")</f>
        <v>FALSE</v>
      </c>
      <c r="G261" s="18" t="str">
        <f>IFERROR(__xludf.DUMMYFUNCTION("""COMPUTED_VALUE"""),"FALSE")</f>
        <v>FALSE</v>
      </c>
      <c r="H261" s="18"/>
      <c r="I261" s="18"/>
      <c r="J261" s="36"/>
      <c r="K261" s="37" t="str">
        <f t="shared" si="1"/>
        <v/>
      </c>
    </row>
    <row r="262">
      <c r="A262" s="17">
        <f>IFERROR(__xludf.DUMMYFUNCTION("""COMPUTED_VALUE"""),1.1223186E8)</f>
        <v>112231860</v>
      </c>
      <c r="B262" s="18" t="str">
        <f>IFERROR(__xludf.DUMMYFUNCTION("""COMPUTED_VALUE"""),"JAIN RAMDIANTO LUMOTO")</f>
        <v>JAIN RAMDIANTO LUMOTO</v>
      </c>
      <c r="C262" s="18">
        <f>IFERROR(__xludf.DUMMYFUNCTION("""COMPUTED_VALUE"""),0.0)</f>
        <v>0</v>
      </c>
      <c r="D262" s="35"/>
      <c r="E262" s="18" t="str">
        <f>IFERROR(__xludf.DUMMYFUNCTION("""COMPUTED_VALUE"""),"CV. SENTOSA ABADI")</f>
        <v>CV. SENTOSA ABADI</v>
      </c>
      <c r="F262" s="18" t="str">
        <f>IFERROR(__xludf.DUMMYFUNCTION("""COMPUTED_VALUE"""),"DRIVER DT H500")</f>
        <v>DRIVER DT H500</v>
      </c>
      <c r="G262" s="18" t="str">
        <f>IFERROR(__xludf.DUMMYFUNCTION("""COMPUTED_VALUE"""),"KENDARAAN &amp; UNIT SUPPORT")</f>
        <v>KENDARAAN &amp; UNIT SUPPORT</v>
      </c>
      <c r="H262" s="18" t="str">
        <f>IFERROR(__xludf.DUMMYFUNCTION("""COMPUTED_VALUE"""),"2024-03-30 07.32.07")</f>
        <v>2024-03-30 07.32.07</v>
      </c>
      <c r="I262" s="18" t="str">
        <f>IFERROR(__xludf.DUMMYFUNCTION("""COMPUTED_VALUE"""),"2024-03-30 07.32.07")</f>
        <v>2024-03-30 07.32.07</v>
      </c>
      <c r="J262" s="36"/>
      <c r="K262" s="37" t="str">
        <f t="shared" si="1"/>
        <v>[112231860] JAIN RAMDIANTO LUMOTO</v>
      </c>
    </row>
    <row r="263">
      <c r="A263" s="17">
        <f>IFERROR(__xludf.DUMMYFUNCTION("""COMPUTED_VALUE"""),3.09220106E8)</f>
        <v>309220106</v>
      </c>
      <c r="B263" s="18" t="str">
        <f>IFERROR(__xludf.DUMMYFUNCTION("""COMPUTED_VALUE"""),"JAINAL TURUSI")</f>
        <v>JAINAL TURUSI</v>
      </c>
      <c r="C263" s="18">
        <f>IFERROR(__xludf.DUMMYFUNCTION("""COMPUTED_VALUE"""),23.0)</f>
        <v>23</v>
      </c>
      <c r="D263" s="35" t="str">
        <f>IFERROR(__xludf.DUMMYFUNCTION("""COMPUTED_VALUE"""),"Islam")</f>
        <v>Islam</v>
      </c>
      <c r="E263" s="18" t="str">
        <f>IFERROR(__xludf.DUMMYFUNCTION("""COMPUTED_VALUE"""),"CV. Monalisa")</f>
        <v>CV. Monalisa</v>
      </c>
      <c r="F263" s="18" t="str">
        <f>IFERROR(__xludf.DUMMYFUNCTION("""COMPUTED_VALUE"""),"CREW SURVEY")</f>
        <v>CREW SURVEY</v>
      </c>
      <c r="G263" s="18" t="str">
        <f>IFERROR(__xludf.DUMMYFUNCTION("""COMPUTED_VALUE"""),"MPE")</f>
        <v>MPE</v>
      </c>
      <c r="H263" s="18" t="str">
        <f>IFERROR(__xludf.DUMMYFUNCTION("""COMPUTED_VALUE"""),"2023-11-30 21.08.08")</f>
        <v>2023-11-30 21.08.08</v>
      </c>
      <c r="I263" s="18" t="str">
        <f>IFERROR(__xludf.DUMMYFUNCTION("""COMPUTED_VALUE"""),"2023-11-30 21.08.08")</f>
        <v>2023-11-30 21.08.08</v>
      </c>
      <c r="J263" s="36"/>
      <c r="K263" s="37" t="str">
        <f t="shared" si="1"/>
        <v>[309220106] JAINAL TURUSI</v>
      </c>
    </row>
    <row r="264">
      <c r="A264" s="17">
        <f>IFERROR(__xludf.DUMMYFUNCTION("""COMPUTED_VALUE"""),2.03221602E8)</f>
        <v>203221602</v>
      </c>
      <c r="B264" s="18" t="str">
        <f>IFERROR(__xludf.DUMMYFUNCTION("""COMPUTED_VALUE"""),"JAMALUDDIN")</f>
        <v>JAMALUDDIN</v>
      </c>
      <c r="C264" s="18">
        <f>IFERROR(__xludf.DUMMYFUNCTION("""COMPUTED_VALUE"""),40.0)</f>
        <v>40</v>
      </c>
      <c r="D264" s="35" t="str">
        <f>IFERROR(__xludf.DUMMYFUNCTION("""COMPUTED_VALUE"""),"Islam")</f>
        <v>Islam</v>
      </c>
      <c r="E264" s="18" t="str">
        <f>IFERROR(__xludf.DUMMYFUNCTION("""COMPUTED_VALUE"""),"CV. Adil Prima Perkasa")</f>
        <v>CV. Adil Prima Perkasa</v>
      </c>
      <c r="F264" s="18" t="str">
        <f>IFERROR(__xludf.DUMMYFUNCTION("""COMPUTED_VALUE"""),"DRIVER DT H700ZY")</f>
        <v>DRIVER DT H700ZY</v>
      </c>
      <c r="G264" s="18" t="str">
        <f>IFERROR(__xludf.DUMMYFUNCTION("""COMPUTED_VALUE"""),"KENDARAAN &amp; UNIT SUPPORT")</f>
        <v>KENDARAAN &amp; UNIT SUPPORT</v>
      </c>
      <c r="H264" s="18" t="str">
        <f>IFERROR(__xludf.DUMMYFUNCTION("""COMPUTED_VALUE"""),"2024-03-31 05.46.29")</f>
        <v>2024-03-31 05.46.29</v>
      </c>
      <c r="I264" s="18" t="str">
        <f>IFERROR(__xludf.DUMMYFUNCTION("""COMPUTED_VALUE"""),"2024-03-31 17.08.18")</f>
        <v>2024-03-31 17.08.18</v>
      </c>
      <c r="J264" s="36"/>
      <c r="K264" s="37" t="str">
        <f t="shared" si="1"/>
        <v>[203221602] JAMALUDDIN</v>
      </c>
    </row>
    <row r="265">
      <c r="A265" s="17">
        <f>IFERROR(__xludf.DUMMYFUNCTION("""COMPUTED_VALUE"""),4.07230005E8)</f>
        <v>407230005</v>
      </c>
      <c r="B265" s="18" t="str">
        <f>IFERROR(__xludf.DUMMYFUNCTION("""COMPUTED_VALUE"""),"JAMALUDDIN TALAMOA")</f>
        <v>JAMALUDDIN TALAMOA</v>
      </c>
      <c r="C265" s="18">
        <f>IFERROR(__xludf.DUMMYFUNCTION("""COMPUTED_VALUE"""),0.0)</f>
        <v>0</v>
      </c>
      <c r="D265" s="35"/>
      <c r="E265" s="18" t="str">
        <f>IFERROR(__xludf.DUMMYFUNCTION("""COMPUTED_VALUE"""),"CV. SENTOSA ABADI")</f>
        <v>CV. SENTOSA ABADI</v>
      </c>
      <c r="F265" s="18" t="str">
        <f>IFERROR(__xludf.DUMMYFUNCTION("""COMPUTED_VALUE"""),"DRIVER DT H500")</f>
        <v>DRIVER DT H500</v>
      </c>
      <c r="G265" s="18" t="str">
        <f>IFERROR(__xludf.DUMMYFUNCTION("""COMPUTED_VALUE"""),"KENDARAAN &amp; UNIT SUPPORT")</f>
        <v>KENDARAAN &amp; UNIT SUPPORT</v>
      </c>
      <c r="H265" s="18" t="str">
        <f>IFERROR(__xludf.DUMMYFUNCTION("""COMPUTED_VALUE"""),"2023-11-28 06.33.11")</f>
        <v>2023-11-28 06.33.11</v>
      </c>
      <c r="I265" s="18" t="str">
        <f>IFERROR(__xludf.DUMMYFUNCTION("""COMPUTED_VALUE"""),"2023-11-28 06.33.11")</f>
        <v>2023-11-28 06.33.11</v>
      </c>
      <c r="J265" s="36"/>
      <c r="K265" s="37" t="str">
        <f t="shared" si="1"/>
        <v>[407230005] JAMALUDDIN TALAMOA</v>
      </c>
    </row>
    <row r="266">
      <c r="A266" s="17">
        <f>IFERROR(__xludf.DUMMYFUNCTION("""COMPUTED_VALUE"""),1.05221626E8)</f>
        <v>105221626</v>
      </c>
      <c r="B266" s="18" t="str">
        <f>IFERROR(__xludf.DUMMYFUNCTION("""COMPUTED_VALUE"""),"JAMALUDDIN. A")</f>
        <v>JAMALUDDIN. A</v>
      </c>
      <c r="C266" s="18">
        <f>IFERROR(__xludf.DUMMYFUNCTION("""COMPUTED_VALUE"""),51.0)</f>
        <v>51</v>
      </c>
      <c r="D266" s="35" t="str">
        <f>IFERROR(__xludf.DUMMYFUNCTION("""COMPUTED_VALUE"""),"Islam")</f>
        <v>Islam</v>
      </c>
      <c r="E266" s="18" t="str">
        <f>IFERROR(__xludf.DUMMYFUNCTION("""COMPUTED_VALUE"""),"CV. SENTOSA ABADI")</f>
        <v>CV. SENTOSA ABADI</v>
      </c>
      <c r="F266" s="18" t="str">
        <f>IFERROR(__xludf.DUMMYFUNCTION("""COMPUTED_VALUE"""),"DRIVER DT H700ZS")</f>
        <v>DRIVER DT H700ZS</v>
      </c>
      <c r="G266" s="18" t="str">
        <f>IFERROR(__xludf.DUMMYFUNCTION("""COMPUTED_VALUE"""),"KENDARAAN &amp; UNIT SUPPORT")</f>
        <v>KENDARAAN &amp; UNIT SUPPORT</v>
      </c>
      <c r="H266" s="18" t="str">
        <f>IFERROR(__xludf.DUMMYFUNCTION("""COMPUTED_VALUE"""),"2023-11-30 07.09.03")</f>
        <v>2023-11-30 07.09.03</v>
      </c>
      <c r="I266" s="18" t="str">
        <f>IFERROR(__xludf.DUMMYFUNCTION("""COMPUTED_VALUE"""),"2023-11-30 16.13.02")</f>
        <v>2023-11-30 16.13.02</v>
      </c>
      <c r="J266" s="36">
        <f>IFERROR(__xludf.DUMMYFUNCTION("""COMPUTED_VALUE"""),27885.0)</f>
        <v>27885</v>
      </c>
      <c r="K266" s="37" t="str">
        <f t="shared" si="1"/>
        <v>[105221626] JAMALUDDIN. A</v>
      </c>
    </row>
    <row r="267">
      <c r="A267" s="17">
        <f>IFERROR(__xludf.DUMMYFUNCTION("""COMPUTED_VALUE"""),2.07231811E8)</f>
        <v>207231811</v>
      </c>
      <c r="B267" s="18" t="str">
        <f>IFERROR(__xludf.DUMMYFUNCTION("""COMPUTED_VALUE"""),"JAMER SONGKO")</f>
        <v>JAMER SONGKO</v>
      </c>
      <c r="C267" s="18">
        <f>IFERROR(__xludf.DUMMYFUNCTION("""COMPUTED_VALUE"""),0.0)</f>
        <v>0</v>
      </c>
      <c r="D267" s="35"/>
      <c r="E267" s="18" t="str">
        <f>IFERROR(__xludf.DUMMYFUNCTION("""COMPUTED_VALUE"""),"CV. Adil Prima Perkasa")</f>
        <v>CV. Adil Prima Perkasa</v>
      </c>
      <c r="F267" s="18" t="str">
        <f>IFERROR(__xludf.DUMMYFUNCTION("""COMPUTED_VALUE"""),"HELPER TYRE")</f>
        <v>HELPER TYRE</v>
      </c>
      <c r="G267" s="18" t="str">
        <f>IFERROR(__xludf.DUMMYFUNCTION("""COMPUTED_VALUE"""),"WORKSHOP")</f>
        <v>WORKSHOP</v>
      </c>
      <c r="H267" s="18" t="str">
        <f>IFERROR(__xludf.DUMMYFUNCTION("""COMPUTED_VALUE"""),"2023-11-30 06.35.40")</f>
        <v>2023-11-30 06.35.40</v>
      </c>
      <c r="I267" s="18" t="str">
        <f>IFERROR(__xludf.DUMMYFUNCTION("""COMPUTED_VALUE"""),"2023-11-30 18.04.45")</f>
        <v>2023-11-30 18.04.45</v>
      </c>
      <c r="J267" s="36"/>
      <c r="K267" s="37" t="str">
        <f t="shared" si="1"/>
        <v>[207231811] JAMER SONGKO</v>
      </c>
    </row>
    <row r="268">
      <c r="A268" s="17">
        <f>IFERROR(__xludf.DUMMYFUNCTION("""COMPUTED_VALUE"""),1.02190772E8)</f>
        <v>102190772</v>
      </c>
      <c r="B268" s="18" t="str">
        <f>IFERROR(__xludf.DUMMYFUNCTION("""COMPUTED_VALUE"""),"JASMAN")</f>
        <v>JASMAN</v>
      </c>
      <c r="C268" s="18">
        <f>IFERROR(__xludf.DUMMYFUNCTION("""COMPUTED_VALUE"""),44.0)</f>
        <v>44</v>
      </c>
      <c r="D268" s="35" t="str">
        <f>IFERROR(__xludf.DUMMYFUNCTION("""COMPUTED_VALUE"""),"Islam")</f>
        <v>Islam</v>
      </c>
      <c r="E268" s="18" t="str">
        <f>IFERROR(__xludf.DUMMYFUNCTION("""COMPUTED_VALUE"""),"CV. SENTOSA ABADI")</f>
        <v>CV. SENTOSA ABADI</v>
      </c>
      <c r="F268" s="18" t="str">
        <f>IFERROR(__xludf.DUMMYFUNCTION("""COMPUTED_VALUE"""),"HELPER MEKANIK LV")</f>
        <v>HELPER MEKANIK LV</v>
      </c>
      <c r="G268" s="18" t="str">
        <f>IFERROR(__xludf.DUMMYFUNCTION("""COMPUTED_VALUE"""),"WORKSHOP")</f>
        <v>WORKSHOP</v>
      </c>
      <c r="H268" s="18" t="str">
        <f>IFERROR(__xludf.DUMMYFUNCTION("""COMPUTED_VALUE"""),"2023-11-30 06.59.08")</f>
        <v>2023-11-30 06.59.08</v>
      </c>
      <c r="I268" s="18" t="str">
        <f>IFERROR(__xludf.DUMMYFUNCTION("""COMPUTED_VALUE"""),"2023-11-30 16.20.00")</f>
        <v>2023-11-30 16.20.00</v>
      </c>
      <c r="J268" s="36">
        <f>IFERROR(__xludf.DUMMYFUNCTION("""COMPUTED_VALUE"""),27621.0)</f>
        <v>27621</v>
      </c>
      <c r="K268" s="37" t="str">
        <f t="shared" si="1"/>
        <v>[102190772] JASMAN</v>
      </c>
    </row>
    <row r="269">
      <c r="A269" s="17">
        <f>IFERROR(__xludf.DUMMYFUNCTION("""COMPUTED_VALUE"""),1.02150018E8)</f>
        <v>102150018</v>
      </c>
      <c r="B269" s="18" t="str">
        <f>IFERROR(__xludf.DUMMYFUNCTION("""COMPUTED_VALUE"""),"JEANETTE HANNA IRENE WATUNA")</f>
        <v>JEANETTE HANNA IRENE WATUNA</v>
      </c>
      <c r="C269" s="18">
        <f>IFERROR(__xludf.DUMMYFUNCTION("""COMPUTED_VALUE"""),34.0)</f>
        <v>34</v>
      </c>
      <c r="D269" s="35" t="str">
        <f>IFERROR(__xludf.DUMMYFUNCTION("""COMPUTED_VALUE"""),"Kristen Protestan")</f>
        <v>Kristen Protestan</v>
      </c>
      <c r="E269" s="18" t="str">
        <f>IFERROR(__xludf.DUMMYFUNCTION("""COMPUTED_VALUE"""),"CV. SENTOSA ABADI")</f>
        <v>CV. SENTOSA ABADI</v>
      </c>
      <c r="F269" s="18" t="str">
        <f>IFERROR(__xludf.DUMMYFUNCTION("""COMPUTED_VALUE"""),"ACCOUNTING")</f>
        <v>ACCOUNTING</v>
      </c>
      <c r="G269" s="18" t="str">
        <f>IFERROR(__xludf.DUMMYFUNCTION("""COMPUTED_VALUE"""),"FINANCE")</f>
        <v>FINANCE</v>
      </c>
      <c r="H269" s="18" t="str">
        <f>IFERROR(__xludf.DUMMYFUNCTION("""COMPUTED_VALUE"""),"2024-03-18 07.03.06")</f>
        <v>2024-03-18 07.03.06</v>
      </c>
      <c r="I269" s="18" t="str">
        <f>IFERROR(__xludf.DUMMYFUNCTION("""COMPUTED_VALUE"""),"2024-03-18 16.35.19")</f>
        <v>2024-03-18 16.35.19</v>
      </c>
      <c r="J269" s="36"/>
      <c r="K269" s="37" t="str">
        <f t="shared" si="1"/>
        <v>[102150018] JEANETTE HANNA IRENE WATUNA</v>
      </c>
    </row>
    <row r="270">
      <c r="A270" s="17">
        <f>IFERROR(__xludf.DUMMYFUNCTION("""COMPUTED_VALUE"""),1.11211533E8)</f>
        <v>111211533</v>
      </c>
      <c r="B270" s="18" t="str">
        <f>IFERROR(__xludf.DUMMYFUNCTION("""COMPUTED_VALUE"""),"JEMRIS MENGGAU")</f>
        <v>JEMRIS MENGGAU</v>
      </c>
      <c r="C270" s="18">
        <f>IFERROR(__xludf.DUMMYFUNCTION("""COMPUTED_VALUE"""),44.0)</f>
        <v>44</v>
      </c>
      <c r="D270" s="35" t="str">
        <f>IFERROR(__xludf.DUMMYFUNCTION("""COMPUTED_VALUE"""),"Kristen Protestan")</f>
        <v>Kristen Protestan</v>
      </c>
      <c r="E270" s="18" t="str">
        <f>IFERROR(__xludf.DUMMYFUNCTION("""COMPUTED_VALUE"""),"CV. SENTOSA ABADI")</f>
        <v>CV. SENTOSA ABADI</v>
      </c>
      <c r="F270" s="18" t="str">
        <f>IFERROR(__xludf.DUMMYFUNCTION("""COMPUTED_VALUE"""),"OPERATOR ADT")</f>
        <v>OPERATOR ADT</v>
      </c>
      <c r="G270" s="18" t="str">
        <f>IFERROR(__xludf.DUMMYFUNCTION("""COMPUTED_VALUE"""),"PRODUKSI")</f>
        <v>PRODUKSI</v>
      </c>
      <c r="H270" s="18" t="str">
        <f>IFERROR(__xludf.DUMMYFUNCTION("""COMPUTED_VALUE"""),"2023-11-30 16.51.33")</f>
        <v>2023-11-30 16.51.33</v>
      </c>
      <c r="I270" s="18" t="str">
        <f>IFERROR(__xludf.DUMMYFUNCTION("""COMPUTED_VALUE"""),"2023-11-30 16.51.33")</f>
        <v>2023-11-30 16.51.33</v>
      </c>
      <c r="J270" s="36">
        <f>IFERROR(__xludf.DUMMYFUNCTION("""COMPUTED_VALUE"""),29567.0)</f>
        <v>29567</v>
      </c>
      <c r="K270" s="37" t="str">
        <f t="shared" si="1"/>
        <v>[111211533] JEMRIS MENGGAU</v>
      </c>
    </row>
    <row r="271">
      <c r="A271" s="17">
        <f>IFERROR(__xludf.DUMMYFUNCTION("""COMPUTED_VALUE"""),1.09170014E8)</f>
        <v>109170014</v>
      </c>
      <c r="B271" s="18" t="str">
        <f>IFERROR(__xludf.DUMMYFUNCTION("""COMPUTED_VALUE"""),"JENES R. MANOPPO")</f>
        <v>JENES R. MANOPPO</v>
      </c>
      <c r="C271" s="18">
        <f>IFERROR(__xludf.DUMMYFUNCTION("""COMPUTED_VALUE"""),0.0)</f>
        <v>0</v>
      </c>
      <c r="D271" s="35"/>
      <c r="E271" s="18" t="str">
        <f>IFERROR(__xludf.DUMMYFUNCTION("""COMPUTED_VALUE"""),"CV. SENTOSA ABADI")</f>
        <v>CV. SENTOSA ABADI</v>
      </c>
      <c r="F271" s="18" t="str">
        <f>IFERROR(__xludf.DUMMYFUNCTION("""COMPUTED_VALUE"""),"HEAD OF LOGISTIC")</f>
        <v>HEAD OF LOGISTIC</v>
      </c>
      <c r="G271" s="18" t="str">
        <f>IFERROR(__xludf.DUMMYFUNCTION("""COMPUTED_VALUE"""),"LOGISTIC")</f>
        <v>LOGISTIC</v>
      </c>
      <c r="H271" s="18" t="str">
        <f>IFERROR(__xludf.DUMMYFUNCTION("""COMPUTED_VALUE"""),"2023-09-30 07.35.35")</f>
        <v>2023-09-30 07.35.35</v>
      </c>
      <c r="I271" s="18" t="str">
        <f>IFERROR(__xludf.DUMMYFUNCTION("""COMPUTED_VALUE"""),"2023-09-30 16.08.02")</f>
        <v>2023-09-30 16.08.02</v>
      </c>
      <c r="J271" s="36"/>
      <c r="K271" s="37" t="str">
        <f t="shared" si="1"/>
        <v>[109170014] JENES R. MANOPPO</v>
      </c>
    </row>
    <row r="272">
      <c r="A272" s="17"/>
      <c r="B272" s="18" t="str">
        <f>IFERROR(__xludf.DUMMYFUNCTION("""COMPUTED_VALUE"""),"JESKI")</f>
        <v>JESKI</v>
      </c>
      <c r="C272" s="18">
        <f>IFERROR(__xludf.DUMMYFUNCTION("""COMPUTED_VALUE"""),0.0)</f>
        <v>0</v>
      </c>
      <c r="D272" s="35"/>
      <c r="E272" s="18" t="str">
        <f>IFERROR(__xludf.DUMMYFUNCTION("""COMPUTED_VALUE"""),"CV. SENTOSA ABADI")</f>
        <v>CV. SENTOSA ABADI</v>
      </c>
      <c r="F272" s="18" t="str">
        <f>IFERROR(__xludf.DUMMYFUNCTION("""COMPUTED_VALUE"""),"FALSE")</f>
        <v>FALSE</v>
      </c>
      <c r="G272" s="18" t="str">
        <f>IFERROR(__xludf.DUMMYFUNCTION("""COMPUTED_VALUE"""),"FALSE")</f>
        <v>FALSE</v>
      </c>
      <c r="H272" s="18"/>
      <c r="I272" s="18"/>
      <c r="J272" s="36"/>
      <c r="K272" s="37" t="str">
        <f t="shared" si="1"/>
        <v/>
      </c>
    </row>
    <row r="273">
      <c r="A273" s="17"/>
      <c r="B273" s="18" t="str">
        <f>IFERROR(__xludf.DUMMYFUNCTION("""COMPUTED_VALUE"""),"JESSIKA SETIAWAN")</f>
        <v>JESSIKA SETIAWAN</v>
      </c>
      <c r="C273" s="18">
        <f>IFERROR(__xludf.DUMMYFUNCTION("""COMPUTED_VALUE"""),29.0)</f>
        <v>29</v>
      </c>
      <c r="D273" s="35" t="str">
        <f>IFERROR(__xludf.DUMMYFUNCTION("""COMPUTED_VALUE"""),"Kristen Protestan")</f>
        <v>Kristen Protestan</v>
      </c>
      <c r="E273" s="18" t="str">
        <f>IFERROR(__xludf.DUMMYFUNCTION("""COMPUTED_VALUE"""),"CV. Adil Prima Perkasa")</f>
        <v>CV. Adil Prima Perkasa</v>
      </c>
      <c r="F273" s="18" t="str">
        <f>IFERROR(__xludf.DUMMYFUNCTION("""COMPUTED_VALUE"""),"TREASURY (KASIR)")</f>
        <v>TREASURY (KASIR)</v>
      </c>
      <c r="G273" s="18" t="str">
        <f>IFERROR(__xludf.DUMMYFUNCTION("""COMPUTED_VALUE"""),"FINANCE")</f>
        <v>FINANCE</v>
      </c>
      <c r="H273" s="18"/>
      <c r="I273" s="18"/>
      <c r="J273" s="36"/>
      <c r="K273" s="37" t="str">
        <f t="shared" si="1"/>
        <v/>
      </c>
    </row>
    <row r="274">
      <c r="A274" s="17">
        <f>IFERROR(__xludf.DUMMYFUNCTION("""COMPUTED_VALUE"""),2.05241929E8)</f>
        <v>205241929</v>
      </c>
      <c r="B274" s="18" t="str">
        <f>IFERROR(__xludf.DUMMYFUNCTION("""COMPUTED_VALUE"""),"JONI PESE")</f>
        <v>JONI PESE</v>
      </c>
      <c r="C274" s="18">
        <f>IFERROR(__xludf.DUMMYFUNCTION("""COMPUTED_VALUE"""),0.0)</f>
        <v>0</v>
      </c>
      <c r="D274" s="35"/>
      <c r="E274" s="18" t="str">
        <f>IFERROR(__xludf.DUMMYFUNCTION("""COMPUTED_VALUE"""),"CV. Adil Prima Perkasa")</f>
        <v>CV. Adil Prima Perkasa</v>
      </c>
      <c r="F274" s="18" t="str">
        <f>IFERROR(__xludf.DUMMYFUNCTION("""COMPUTED_VALUE"""),"HELPER MEKANIK")</f>
        <v>HELPER MEKANIK</v>
      </c>
      <c r="G274" s="18" t="str">
        <f>IFERROR(__xludf.DUMMYFUNCTION("""COMPUTED_VALUE"""),"WORKSHOP")</f>
        <v>WORKSHOP</v>
      </c>
      <c r="H274" s="18"/>
      <c r="I274" s="18"/>
      <c r="J274" s="36"/>
      <c r="K274" s="37" t="str">
        <f t="shared" si="1"/>
        <v/>
      </c>
    </row>
    <row r="275">
      <c r="A275" s="17">
        <f>IFERROR(__xludf.DUMMYFUNCTION("""COMPUTED_VALUE"""),3.08210092E8)</f>
        <v>308210092</v>
      </c>
      <c r="B275" s="18" t="str">
        <f>IFERROR(__xludf.DUMMYFUNCTION("""COMPUTED_VALUE"""),"JONI PESE")</f>
        <v>JONI PESE</v>
      </c>
      <c r="C275" s="18">
        <f>IFERROR(__xludf.DUMMYFUNCTION("""COMPUTED_VALUE"""),22.0)</f>
        <v>22</v>
      </c>
      <c r="D275" s="35" t="str">
        <f>IFERROR(__xludf.DUMMYFUNCTION("""COMPUTED_VALUE"""),"Kristen Protestan")</f>
        <v>Kristen Protestan</v>
      </c>
      <c r="E275" s="18" t="str">
        <f>IFERROR(__xludf.DUMMYFUNCTION("""COMPUTED_VALUE"""),"CV. Monalisa")</f>
        <v>CV. Monalisa</v>
      </c>
      <c r="F275" s="18" t="str">
        <f>IFERROR(__xludf.DUMMYFUNCTION("""COMPUTED_VALUE"""),"HELPER MEKANIK ALAT BERAT")</f>
        <v>HELPER MEKANIK ALAT BERAT</v>
      </c>
      <c r="G275" s="18" t="str">
        <f>IFERROR(__xludf.DUMMYFUNCTION("""COMPUTED_VALUE"""),"WORKSHOP")</f>
        <v>WORKSHOP</v>
      </c>
      <c r="H275" s="18" t="str">
        <f>IFERROR(__xludf.DUMMYFUNCTION("""COMPUTED_VALUE"""),"2023-11-30 07.04.05")</f>
        <v>2023-11-30 07.04.05</v>
      </c>
      <c r="I275" s="18" t="str">
        <f>IFERROR(__xludf.DUMMYFUNCTION("""COMPUTED_VALUE"""),"2023-11-30 07.04.05")</f>
        <v>2023-11-30 07.04.05</v>
      </c>
      <c r="J275" s="36"/>
      <c r="K275" s="37" t="str">
        <f t="shared" si="1"/>
        <v>[308210092] JONI PESE</v>
      </c>
    </row>
    <row r="276">
      <c r="A276" s="17">
        <f>IFERROR(__xludf.DUMMYFUNCTION("""COMPUTED_VALUE"""),3.03210055E8)</f>
        <v>303210055</v>
      </c>
      <c r="B276" s="18" t="str">
        <f>IFERROR(__xludf.DUMMYFUNCTION("""COMPUTED_VALUE"""),"JONI SALI")</f>
        <v>JONI SALI</v>
      </c>
      <c r="C276" s="18">
        <f>IFERROR(__xludf.DUMMYFUNCTION("""COMPUTED_VALUE"""),46.0)</f>
        <v>46</v>
      </c>
      <c r="D276" s="35" t="str">
        <f>IFERROR(__xludf.DUMMYFUNCTION("""COMPUTED_VALUE"""),"Kristen Protestan")</f>
        <v>Kristen Protestan</v>
      </c>
      <c r="E276" s="18" t="str">
        <f>IFERROR(__xludf.DUMMYFUNCTION("""COMPUTED_VALUE"""),"CV. Monalisa")</f>
        <v>CV. Monalisa</v>
      </c>
      <c r="F276" s="18" t="str">
        <f>IFERROR(__xludf.DUMMYFUNCTION("""COMPUTED_VALUE"""),"OPERATOR BULLDOZER")</f>
        <v>OPERATOR BULLDOZER</v>
      </c>
      <c r="G276" s="18" t="str">
        <f>IFERROR(__xludf.DUMMYFUNCTION("""COMPUTED_VALUE"""),"PRODUKSI")</f>
        <v>PRODUKSI</v>
      </c>
      <c r="H276" s="18"/>
      <c r="I276" s="18"/>
      <c r="J276" s="36"/>
      <c r="K276" s="37" t="str">
        <f t="shared" si="1"/>
        <v/>
      </c>
    </row>
    <row r="277">
      <c r="A277" s="17">
        <f>IFERROR(__xludf.DUMMYFUNCTION("""COMPUTED_VALUE"""),1.11160142E8)</f>
        <v>111160142</v>
      </c>
      <c r="B277" s="18" t="str">
        <f>IFERROR(__xludf.DUMMYFUNCTION("""COMPUTED_VALUE"""),"JONI TAPPI")</f>
        <v>JONI TAPPI</v>
      </c>
      <c r="C277" s="18">
        <f>IFERROR(__xludf.DUMMYFUNCTION("""COMPUTED_VALUE"""),48.0)</f>
        <v>48</v>
      </c>
      <c r="D277" s="35" t="str">
        <f>IFERROR(__xludf.DUMMYFUNCTION("""COMPUTED_VALUE"""),"Kristen Protestan")</f>
        <v>Kristen Protestan</v>
      </c>
      <c r="E277" s="18" t="str">
        <f>IFERROR(__xludf.DUMMYFUNCTION("""COMPUTED_VALUE"""),"CV. SENTOSA ABADI")</f>
        <v>CV. SENTOSA ABADI</v>
      </c>
      <c r="F277" s="18" t="str">
        <f>IFERROR(__xludf.DUMMYFUNCTION("""COMPUTED_VALUE"""),"OPERATOR BULLDOZER")</f>
        <v>OPERATOR BULLDOZER</v>
      </c>
      <c r="G277" s="18" t="str">
        <f>IFERROR(__xludf.DUMMYFUNCTION("""COMPUTED_VALUE"""),"PRODUKSI")</f>
        <v>PRODUKSI</v>
      </c>
      <c r="H277" s="18" t="str">
        <f>IFERROR(__xludf.DUMMYFUNCTION("""COMPUTED_VALUE"""),"2023-11-30 05.24.13")</f>
        <v>2023-11-30 05.24.13</v>
      </c>
      <c r="I277" s="18" t="str">
        <f>IFERROR(__xludf.DUMMYFUNCTION("""COMPUTED_VALUE"""),"2023-11-30 16.51.58")</f>
        <v>2023-11-30 16.51.58</v>
      </c>
      <c r="J277" s="36"/>
      <c r="K277" s="37" t="str">
        <f t="shared" si="1"/>
        <v>[111160142] JONI TAPPI</v>
      </c>
    </row>
    <row r="278">
      <c r="A278" s="17">
        <f>IFERROR(__xludf.DUMMYFUNCTION("""COMPUTED_VALUE"""),1.10221686E8)</f>
        <v>110221686</v>
      </c>
      <c r="B278" s="18" t="str">
        <f>IFERROR(__xludf.DUMMYFUNCTION("""COMPUTED_VALUE"""),"JOYNAL SIMON")</f>
        <v>JOYNAL SIMON</v>
      </c>
      <c r="C278" s="18">
        <f>IFERROR(__xludf.DUMMYFUNCTION("""COMPUTED_VALUE"""),20.0)</f>
        <v>20</v>
      </c>
      <c r="D278" s="35" t="str">
        <f>IFERROR(__xludf.DUMMYFUNCTION("""COMPUTED_VALUE"""),"Kristen Protestan")</f>
        <v>Kristen Protestan</v>
      </c>
      <c r="E278" s="18" t="str">
        <f>IFERROR(__xludf.DUMMYFUNCTION("""COMPUTED_VALUE"""),"CV. SENTOSA ABADI")</f>
        <v>CV. SENTOSA ABADI</v>
      </c>
      <c r="F278" s="18" t="str">
        <f>IFERROR(__xludf.DUMMYFUNCTION("""COMPUTED_VALUE"""),"HELPER MECHANIC MAINTENANCE")</f>
        <v>HELPER MECHANIC MAINTENANCE</v>
      </c>
      <c r="G278" s="18" t="str">
        <f>IFERROR(__xludf.DUMMYFUNCTION("""COMPUTED_VALUE"""),"WORKSHOP")</f>
        <v>WORKSHOP</v>
      </c>
      <c r="H278" s="18" t="str">
        <f>IFERROR(__xludf.DUMMYFUNCTION("""COMPUTED_VALUE"""),"2023-11-30 21.38.33")</f>
        <v>2023-11-30 21.38.33</v>
      </c>
      <c r="I278" s="18" t="str">
        <f>IFERROR(__xludf.DUMMYFUNCTION("""COMPUTED_VALUE"""),"2023-11-30 21.38.33")</f>
        <v>2023-11-30 21.38.33</v>
      </c>
      <c r="J278" s="36"/>
      <c r="K278" s="37" t="str">
        <f t="shared" si="1"/>
        <v>[110221686] JOYNAL SIMON</v>
      </c>
    </row>
    <row r="279">
      <c r="A279" s="17">
        <f>IFERROR(__xludf.DUMMYFUNCTION("""COMPUTED_VALUE"""),1.02120144E8)</f>
        <v>102120144</v>
      </c>
      <c r="B279" s="18" t="str">
        <f>IFERROR(__xludf.DUMMYFUNCTION("""COMPUTED_VALUE"""),"JUFRY KOMALING")</f>
        <v>JUFRY KOMALING</v>
      </c>
      <c r="C279" s="18">
        <f>IFERROR(__xludf.DUMMYFUNCTION("""COMPUTED_VALUE"""),56.0)</f>
        <v>56</v>
      </c>
      <c r="D279" s="35" t="str">
        <f>IFERROR(__xludf.DUMMYFUNCTION("""COMPUTED_VALUE"""),"Kristen Protestan")</f>
        <v>Kristen Protestan</v>
      </c>
      <c r="E279" s="18" t="str">
        <f>IFERROR(__xludf.DUMMYFUNCTION("""COMPUTED_VALUE"""),"CV. SENTOSA ABADI")</f>
        <v>CV. SENTOSA ABADI</v>
      </c>
      <c r="F279" s="18" t="str">
        <f>IFERROR(__xludf.DUMMYFUNCTION("""COMPUTED_VALUE"""),"HEAD OF TYRE")</f>
        <v>HEAD OF TYRE</v>
      </c>
      <c r="G279" s="18" t="str">
        <f>IFERROR(__xludf.DUMMYFUNCTION("""COMPUTED_VALUE"""),"WORKSHOP")</f>
        <v>WORKSHOP</v>
      </c>
      <c r="H279" s="18" t="str">
        <f>IFERROR(__xludf.DUMMYFUNCTION("""COMPUTED_VALUE"""),"2023-11-30 06.37.23")</f>
        <v>2023-11-30 06.37.23</v>
      </c>
      <c r="I279" s="18" t="str">
        <f>IFERROR(__xludf.DUMMYFUNCTION("""COMPUTED_VALUE"""),"2023-11-30 17.56.30")</f>
        <v>2023-11-30 17.56.30</v>
      </c>
      <c r="J279" s="36">
        <f>IFERROR(__xludf.DUMMYFUNCTION("""COMPUTED_VALUE"""),28665.0)</f>
        <v>28665</v>
      </c>
      <c r="K279" s="37" t="str">
        <f t="shared" si="1"/>
        <v>[102120144] JUFRY KOMALING</v>
      </c>
    </row>
    <row r="280">
      <c r="A280" s="17">
        <f>IFERROR(__xludf.DUMMYFUNCTION("""COMPUTED_VALUE"""),1.11201282E8)</f>
        <v>111201282</v>
      </c>
      <c r="B280" s="18" t="str">
        <f>IFERROR(__xludf.DUMMYFUNCTION("""COMPUTED_VALUE"""),"JUMADI")</f>
        <v>JUMADI</v>
      </c>
      <c r="C280" s="18">
        <f>IFERROR(__xludf.DUMMYFUNCTION("""COMPUTED_VALUE"""),39.0)</f>
        <v>39</v>
      </c>
      <c r="D280" s="35" t="str">
        <f>IFERROR(__xludf.DUMMYFUNCTION("""COMPUTED_VALUE"""),"Islam")</f>
        <v>Islam</v>
      </c>
      <c r="E280" s="18" t="str">
        <f>IFERROR(__xludf.DUMMYFUNCTION("""COMPUTED_VALUE"""),"CV. SENTOSA ABADI")</f>
        <v>CV. SENTOSA ABADI</v>
      </c>
      <c r="F280" s="18" t="str">
        <f>IFERROR(__xludf.DUMMYFUNCTION("""COMPUTED_VALUE"""),"DRIVER DT H700ZY")</f>
        <v>DRIVER DT H700ZY</v>
      </c>
      <c r="G280" s="18" t="str">
        <f>IFERROR(__xludf.DUMMYFUNCTION("""COMPUTED_VALUE"""),"KENDARAAN &amp; UNIT SUPPORT")</f>
        <v>KENDARAAN &amp; UNIT SUPPORT</v>
      </c>
      <c r="H280" s="18" t="str">
        <f>IFERROR(__xludf.DUMMYFUNCTION("""COMPUTED_VALUE"""),"2024-03-31 16.20.47")</f>
        <v>2024-03-31 16.20.47</v>
      </c>
      <c r="I280" s="18" t="str">
        <f>IFERROR(__xludf.DUMMYFUNCTION("""COMPUTED_VALUE"""),"2024-03-31 16.20.47")</f>
        <v>2024-03-31 16.20.47</v>
      </c>
      <c r="J280" s="36">
        <f>IFERROR(__xludf.DUMMYFUNCTION("""COMPUTED_VALUE"""),30713.0)</f>
        <v>30713</v>
      </c>
      <c r="K280" s="37" t="str">
        <f t="shared" si="1"/>
        <v>[111201282] JUMADI</v>
      </c>
    </row>
    <row r="281">
      <c r="A281" s="17">
        <f>IFERROR(__xludf.DUMMYFUNCTION("""COMPUTED_VALUE"""),2.10221696E8)</f>
        <v>210221696</v>
      </c>
      <c r="B281" s="18" t="str">
        <f>IFERROR(__xludf.DUMMYFUNCTION("""COMPUTED_VALUE"""),"JUNAIDI")</f>
        <v>JUNAIDI</v>
      </c>
      <c r="C281" s="18">
        <f>IFERROR(__xludf.DUMMYFUNCTION("""COMPUTED_VALUE"""),39.0)</f>
        <v>39</v>
      </c>
      <c r="D281" s="35" t="str">
        <f>IFERROR(__xludf.DUMMYFUNCTION("""COMPUTED_VALUE"""),"Islam")</f>
        <v>Islam</v>
      </c>
      <c r="E281" s="18" t="str">
        <f>IFERROR(__xludf.DUMMYFUNCTION("""COMPUTED_VALUE"""),"CV. Adil Prima Perkasa")</f>
        <v>CV. Adil Prima Perkasa</v>
      </c>
      <c r="F281" s="18" t="str">
        <f>IFERROR(__xludf.DUMMYFUNCTION("""COMPUTED_VALUE"""),"DRIVER LV")</f>
        <v>DRIVER LV</v>
      </c>
      <c r="G281" s="18" t="str">
        <f>IFERROR(__xludf.DUMMYFUNCTION("""COMPUTED_VALUE"""),"KENDARAAN &amp; UNIT SUPPORT")</f>
        <v>KENDARAAN &amp; UNIT SUPPORT</v>
      </c>
      <c r="H281" s="18" t="str">
        <f>IFERROR(__xludf.DUMMYFUNCTION("""COMPUTED_VALUE"""),"2024-03-31 04.27.26")</f>
        <v>2024-03-31 04.27.26</v>
      </c>
      <c r="I281" s="18" t="str">
        <f>IFERROR(__xludf.DUMMYFUNCTION("""COMPUTED_VALUE"""),"2024-03-31 20.12.01")</f>
        <v>2024-03-31 20.12.01</v>
      </c>
      <c r="J281" s="36">
        <f>IFERROR(__xludf.DUMMYFUNCTION("""COMPUTED_VALUE"""),31603.0)</f>
        <v>31603</v>
      </c>
      <c r="K281" s="37" t="str">
        <f t="shared" si="1"/>
        <v>[210221696] JUNAIDI</v>
      </c>
    </row>
    <row r="282">
      <c r="A282" s="17"/>
      <c r="B282" s="18" t="str">
        <f>IFERROR(__xludf.DUMMYFUNCTION("""COMPUTED_VALUE"""),"JUNAIDI")</f>
        <v>JUNAIDI</v>
      </c>
      <c r="C282" s="18">
        <f>IFERROR(__xludf.DUMMYFUNCTION("""COMPUTED_VALUE"""),0.0)</f>
        <v>0</v>
      </c>
      <c r="D282" s="35"/>
      <c r="E282" s="18" t="str">
        <f>IFERROR(__xludf.DUMMYFUNCTION("""COMPUTED_VALUE"""),"CV. SENTOSA ABADI")</f>
        <v>CV. SENTOSA ABADI</v>
      </c>
      <c r="F282" s="18" t="str">
        <f>IFERROR(__xludf.DUMMYFUNCTION("""COMPUTED_VALUE"""),"FALSE")</f>
        <v>FALSE</v>
      </c>
      <c r="G282" s="18" t="str">
        <f>IFERROR(__xludf.DUMMYFUNCTION("""COMPUTED_VALUE"""),"FALSE")</f>
        <v>FALSE</v>
      </c>
      <c r="H282" s="18"/>
      <c r="I282" s="18"/>
      <c r="J282" s="36"/>
      <c r="K282" s="37" t="str">
        <f t="shared" si="1"/>
        <v/>
      </c>
    </row>
    <row r="283">
      <c r="A283" s="17">
        <f>IFERROR(__xludf.DUMMYFUNCTION("""COMPUTED_VALUE"""),2.06221654E8)</f>
        <v>206221654</v>
      </c>
      <c r="B283" s="18" t="str">
        <f>IFERROR(__xludf.DUMMYFUNCTION("""COMPUTED_VALUE"""),"JUSMAIL")</f>
        <v>JUSMAIL</v>
      </c>
      <c r="C283" s="18">
        <f>IFERROR(__xludf.DUMMYFUNCTION("""COMPUTED_VALUE"""),45.0)</f>
        <v>45</v>
      </c>
      <c r="D283" s="35" t="str">
        <f>IFERROR(__xludf.DUMMYFUNCTION("""COMPUTED_VALUE"""),"Islam")</f>
        <v>Islam</v>
      </c>
      <c r="E283" s="18" t="str">
        <f>IFERROR(__xludf.DUMMYFUNCTION("""COMPUTED_VALUE"""),"CV. Adil Prima Perkasa")</f>
        <v>CV. Adil Prima Perkasa</v>
      </c>
      <c r="F283" s="18" t="str">
        <f>IFERROR(__xludf.DUMMYFUNCTION("""COMPUTED_VALUE"""),"DRIVER DT H700ZY")</f>
        <v>DRIVER DT H700ZY</v>
      </c>
      <c r="G283" s="18" t="str">
        <f>IFERROR(__xludf.DUMMYFUNCTION("""COMPUTED_VALUE"""),"KENDARAAN &amp; UNIT SUPPORT")</f>
        <v>KENDARAAN &amp; UNIT SUPPORT</v>
      </c>
      <c r="H283" s="18" t="str">
        <f>IFERROR(__xludf.DUMMYFUNCTION("""COMPUTED_VALUE"""),"2023-11-30 06.04.25")</f>
        <v>2023-11-30 06.04.25</v>
      </c>
      <c r="I283" s="18" t="str">
        <f>IFERROR(__xludf.DUMMYFUNCTION("""COMPUTED_VALUE"""),"2023-11-30 17.58.49")</f>
        <v>2023-11-30 17.58.49</v>
      </c>
      <c r="J283" s="36"/>
      <c r="K283" s="37" t="str">
        <f t="shared" si="1"/>
        <v>[206221654] JUSMAIL</v>
      </c>
    </row>
    <row r="284">
      <c r="A284" s="17">
        <f>IFERROR(__xludf.DUMMYFUNCTION("""COMPUTED_VALUE"""),1.07190944E8)</f>
        <v>107190944</v>
      </c>
      <c r="B284" s="18" t="str">
        <f>IFERROR(__xludf.DUMMYFUNCTION("""COMPUTED_VALUE"""),"JUSRAN")</f>
        <v>JUSRAN</v>
      </c>
      <c r="C284" s="18">
        <f>IFERROR(__xludf.DUMMYFUNCTION("""COMPUTED_VALUE"""),38.0)</f>
        <v>38</v>
      </c>
      <c r="D284" s="35" t="str">
        <f>IFERROR(__xludf.DUMMYFUNCTION("""COMPUTED_VALUE"""),"Islam")</f>
        <v>Islam</v>
      </c>
      <c r="E284" s="18" t="str">
        <f>IFERROR(__xludf.DUMMYFUNCTION("""COMPUTED_VALUE"""),"CV. SENTOSA ABADI")</f>
        <v>CV. SENTOSA ABADI</v>
      </c>
      <c r="F284" s="18" t="str">
        <f>IFERROR(__xludf.DUMMYFUNCTION("""COMPUTED_VALUE"""),"FOREMAN PRODUKSI")</f>
        <v>FOREMAN PRODUKSI</v>
      </c>
      <c r="G284" s="18" t="str">
        <f>IFERROR(__xludf.DUMMYFUNCTION("""COMPUTED_VALUE"""),"PRODUKSI")</f>
        <v>PRODUKSI</v>
      </c>
      <c r="H284" s="18" t="str">
        <f>IFERROR(__xludf.DUMMYFUNCTION("""COMPUTED_VALUE"""),"2023-11-30 07.15.47")</f>
        <v>2023-11-30 07.15.47</v>
      </c>
      <c r="I284" s="18" t="str">
        <f>IFERROR(__xludf.DUMMYFUNCTION("""COMPUTED_VALUE"""),"2023-11-30 20.32.49")</f>
        <v>2023-11-30 20.32.49</v>
      </c>
      <c r="J284" s="36">
        <f>IFERROR(__xludf.DUMMYFUNCTION("""COMPUTED_VALUE"""),33313.0)</f>
        <v>33313</v>
      </c>
      <c r="K284" s="37" t="str">
        <f t="shared" si="1"/>
        <v>[107190944] JUSRAN</v>
      </c>
    </row>
    <row r="285">
      <c r="A285" s="17">
        <f>IFERROR(__xludf.DUMMYFUNCTION("""COMPUTED_VALUE"""),2.07160684E8)</f>
        <v>207160684</v>
      </c>
      <c r="B285" s="18" t="str">
        <f>IFERROR(__xludf.DUMMYFUNCTION("""COMPUTED_VALUE"""),"KADIR DG. KULLE")</f>
        <v>KADIR DG. KULLE</v>
      </c>
      <c r="C285" s="18">
        <f>IFERROR(__xludf.DUMMYFUNCTION("""COMPUTED_VALUE"""),38.0)</f>
        <v>38</v>
      </c>
      <c r="D285" s="35" t="str">
        <f>IFERROR(__xludf.DUMMYFUNCTION("""COMPUTED_VALUE"""),"Islam")</f>
        <v>Islam</v>
      </c>
      <c r="E285" s="18" t="str">
        <f>IFERROR(__xludf.DUMMYFUNCTION("""COMPUTED_VALUE"""),"CV. Adil Prima Perkasa")</f>
        <v>CV. Adil Prima Perkasa</v>
      </c>
      <c r="F285" s="18" t="str">
        <f>IFERROR(__xludf.DUMMYFUNCTION("""COMPUTED_VALUE"""),"OPERATOR EXCAVATOR")</f>
        <v>OPERATOR EXCAVATOR</v>
      </c>
      <c r="G285" s="18" t="str">
        <f>IFERROR(__xludf.DUMMYFUNCTION("""COMPUTED_VALUE"""),"PRODUKSI")</f>
        <v>PRODUKSI</v>
      </c>
      <c r="H285" s="18" t="str">
        <f>IFERROR(__xludf.DUMMYFUNCTION("""COMPUTED_VALUE"""),"2023-11-28 05.58.56")</f>
        <v>2023-11-28 05.58.56</v>
      </c>
      <c r="I285" s="18" t="str">
        <f>IFERROR(__xludf.DUMMYFUNCTION("""COMPUTED_VALUE"""),"2023-11-28 05.58.56")</f>
        <v>2023-11-28 05.58.56</v>
      </c>
      <c r="J285" s="36"/>
      <c r="K285" s="37" t="str">
        <f t="shared" si="1"/>
        <v>[207160684] KADIR DG. KULLE</v>
      </c>
    </row>
    <row r="286">
      <c r="A286" s="17">
        <f>IFERROR(__xludf.DUMMYFUNCTION("""COMPUTED_VALUE"""),2.07211453E8)</f>
        <v>207211453</v>
      </c>
      <c r="B286" s="18" t="str">
        <f>IFERROR(__xludf.DUMMYFUNCTION("""COMPUTED_VALUE"""),"KAHARUDDIN")</f>
        <v>KAHARUDDIN</v>
      </c>
      <c r="C286" s="18">
        <f>IFERROR(__xludf.DUMMYFUNCTION("""COMPUTED_VALUE"""),38.0)</f>
        <v>38</v>
      </c>
      <c r="D286" s="35" t="str">
        <f>IFERROR(__xludf.DUMMYFUNCTION("""COMPUTED_VALUE"""),"Islam")</f>
        <v>Islam</v>
      </c>
      <c r="E286" s="18" t="str">
        <f>IFERROR(__xludf.DUMMYFUNCTION("""COMPUTED_VALUE"""),"CV. Adil Prima Perkasa")</f>
        <v>CV. Adil Prima Perkasa</v>
      </c>
      <c r="F286" s="18" t="str">
        <f>IFERROR(__xludf.DUMMYFUNCTION("""COMPUTED_VALUE"""),"WASHING MAN")</f>
        <v>WASHING MAN</v>
      </c>
      <c r="G286" s="18" t="str">
        <f>IFERROR(__xludf.DUMMYFUNCTION("""COMPUTED_VALUE"""),"WORKSHOP")</f>
        <v>WORKSHOP</v>
      </c>
      <c r="H286" s="18" t="str">
        <f>IFERROR(__xludf.DUMMYFUNCTION("""COMPUTED_VALUE"""),"2023-11-30 07.25.31")</f>
        <v>2023-11-30 07.25.31</v>
      </c>
      <c r="I286" s="18" t="str">
        <f>IFERROR(__xludf.DUMMYFUNCTION("""COMPUTED_VALUE"""),"2023-11-30 07.25.31")</f>
        <v>2023-11-30 07.25.31</v>
      </c>
      <c r="J286" s="36"/>
      <c r="K286" s="37" t="str">
        <f t="shared" si="1"/>
        <v>[207211453] KAHARUDDIN</v>
      </c>
    </row>
    <row r="287">
      <c r="A287" s="17">
        <f>IFERROR(__xludf.DUMMYFUNCTION("""COMPUTED_VALUE"""),2.09201234E8)</f>
        <v>209201234</v>
      </c>
      <c r="B287" s="18" t="str">
        <f>IFERROR(__xludf.DUMMYFUNCTION("""COMPUTED_VALUE"""),"KAMARUDDIN")</f>
        <v>KAMARUDDIN</v>
      </c>
      <c r="C287" s="18">
        <f>IFERROR(__xludf.DUMMYFUNCTION("""COMPUTED_VALUE"""),32.0)</f>
        <v>32</v>
      </c>
      <c r="D287" s="35" t="str">
        <f>IFERROR(__xludf.DUMMYFUNCTION("""COMPUTED_VALUE"""),"Islam")</f>
        <v>Islam</v>
      </c>
      <c r="E287" s="18" t="str">
        <f>IFERROR(__xludf.DUMMYFUNCTION("""COMPUTED_VALUE"""),"CV. Adil Prima Perkasa")</f>
        <v>CV. Adil Prima Perkasa</v>
      </c>
      <c r="F287" s="18" t="str">
        <f>IFERROR(__xludf.DUMMYFUNCTION("""COMPUTED_VALUE"""),"DRIVER DT H700ZY")</f>
        <v>DRIVER DT H700ZY</v>
      </c>
      <c r="G287" s="18" t="str">
        <f>IFERROR(__xludf.DUMMYFUNCTION("""COMPUTED_VALUE"""),"KENDARAAN &amp; UNIT SUPPORT")</f>
        <v>KENDARAAN &amp; UNIT SUPPORT</v>
      </c>
      <c r="H287" s="18" t="str">
        <f>IFERROR(__xludf.DUMMYFUNCTION("""COMPUTED_VALUE"""),"2024-03-31 05.54.42")</f>
        <v>2024-03-31 05.54.42</v>
      </c>
      <c r="I287" s="18" t="str">
        <f>IFERROR(__xludf.DUMMYFUNCTION("""COMPUTED_VALUE"""),"2024-03-31 16.01.05")</f>
        <v>2024-03-31 16.01.05</v>
      </c>
      <c r="J287" s="36"/>
      <c r="K287" s="37" t="str">
        <f t="shared" si="1"/>
        <v>[209201234] KAMARUDDIN</v>
      </c>
    </row>
    <row r="288">
      <c r="A288" s="17">
        <f>IFERROR(__xludf.DUMMYFUNCTION("""COMPUTED_VALUE"""),2.0220113E8)</f>
        <v>202201130</v>
      </c>
      <c r="B288" s="18" t="str">
        <f>IFERROR(__xludf.DUMMYFUNCTION("""COMPUTED_VALUE"""),"KAMARUDDIN DG BUNDU")</f>
        <v>KAMARUDDIN DG BUNDU</v>
      </c>
      <c r="C288" s="18">
        <f>IFERROR(__xludf.DUMMYFUNCTION("""COMPUTED_VALUE"""),53.0)</f>
        <v>53</v>
      </c>
      <c r="D288" s="35" t="str">
        <f>IFERROR(__xludf.DUMMYFUNCTION("""COMPUTED_VALUE"""),"Islam")</f>
        <v>Islam</v>
      </c>
      <c r="E288" s="18" t="str">
        <f>IFERROR(__xludf.DUMMYFUNCTION("""COMPUTED_VALUE"""),"CV. Adil Prima Perkasa")</f>
        <v>CV. Adil Prima Perkasa</v>
      </c>
      <c r="F288" s="18" t="str">
        <f>IFERROR(__xludf.DUMMYFUNCTION("""COMPUTED_VALUE"""),"OPERATOR ADT")</f>
        <v>OPERATOR ADT</v>
      </c>
      <c r="G288" s="18" t="str">
        <f>IFERROR(__xludf.DUMMYFUNCTION("""COMPUTED_VALUE"""),"PRODUKSI")</f>
        <v>PRODUKSI</v>
      </c>
      <c r="H288" s="18" t="str">
        <f>IFERROR(__xludf.DUMMYFUNCTION("""COMPUTED_VALUE"""),"2023-11-30 05.50.44")</f>
        <v>2023-11-30 05.50.44</v>
      </c>
      <c r="I288" s="18" t="str">
        <f>IFERROR(__xludf.DUMMYFUNCTION("""COMPUTED_VALUE"""),"2023-11-30 16.53.21")</f>
        <v>2023-11-30 16.53.21</v>
      </c>
      <c r="J288" s="36"/>
      <c r="K288" s="37" t="str">
        <f t="shared" si="1"/>
        <v>[202201130] KAMARUDDIN DG BUNDU</v>
      </c>
    </row>
    <row r="289">
      <c r="A289" s="17">
        <f>IFERROR(__xludf.DUMMYFUNCTION("""COMPUTED_VALUE"""),2.0324189E8)</f>
        <v>203241890</v>
      </c>
      <c r="B289" s="18" t="str">
        <f>IFERROR(__xludf.DUMMYFUNCTION("""COMPUTED_VALUE"""),"KAROLIUS SEDA")</f>
        <v>KAROLIUS SEDA</v>
      </c>
      <c r="C289" s="18">
        <f>IFERROR(__xludf.DUMMYFUNCTION("""COMPUTED_VALUE"""),23.0)</f>
        <v>23</v>
      </c>
      <c r="D289" s="35" t="str">
        <f>IFERROR(__xludf.DUMMYFUNCTION("""COMPUTED_VALUE"""),"Kristen Khatolik")</f>
        <v>Kristen Khatolik</v>
      </c>
      <c r="E289" s="18" t="str">
        <f>IFERROR(__xludf.DUMMYFUNCTION("""COMPUTED_VALUE"""),"CV. Adil Prima Perkasa")</f>
        <v>CV. Adil Prima Perkasa</v>
      </c>
      <c r="F289" s="18" t="str">
        <f>IFERROR(__xludf.DUMMYFUNCTION("""COMPUTED_VALUE"""),"CREW SURVEY")</f>
        <v>CREW SURVEY</v>
      </c>
      <c r="G289" s="18" t="str">
        <f>IFERROR(__xludf.DUMMYFUNCTION("""COMPUTED_VALUE"""),"MPE")</f>
        <v>MPE</v>
      </c>
      <c r="H289" s="18"/>
      <c r="I289" s="18"/>
      <c r="J289" s="36"/>
      <c r="K289" s="37" t="str">
        <f t="shared" si="1"/>
        <v/>
      </c>
    </row>
    <row r="290">
      <c r="A290" s="17">
        <f>IFERROR(__xludf.DUMMYFUNCTION("""COMPUTED_VALUE"""),2.0324189E8)</f>
        <v>203241890</v>
      </c>
      <c r="B290" s="18" t="str">
        <f>IFERROR(__xludf.DUMMYFUNCTION("""COMPUTED_VALUE"""),"KAROLUS SEDA")</f>
        <v>KAROLUS SEDA</v>
      </c>
      <c r="C290" s="18">
        <f>IFERROR(__xludf.DUMMYFUNCTION("""COMPUTED_VALUE"""),0.0)</f>
        <v>0</v>
      </c>
      <c r="D290" s="35"/>
      <c r="E290" s="18" t="str">
        <f>IFERROR(__xludf.DUMMYFUNCTION("""COMPUTED_VALUE"""),"CV. Adil Prima Perkasa")</f>
        <v>CV. Adil Prima Perkasa</v>
      </c>
      <c r="F290" s="18" t="str">
        <f>IFERROR(__xludf.DUMMYFUNCTION("""COMPUTED_VALUE"""),"CREW SURVEY")</f>
        <v>CREW SURVEY</v>
      </c>
      <c r="G290" s="18" t="str">
        <f>IFERROR(__xludf.DUMMYFUNCTION("""COMPUTED_VALUE"""),"MPE")</f>
        <v>MPE</v>
      </c>
      <c r="H290" s="18"/>
      <c r="I290" s="18"/>
      <c r="J290" s="36"/>
      <c r="K290" s="37" t="str">
        <f t="shared" si="1"/>
        <v/>
      </c>
    </row>
    <row r="291">
      <c r="A291" s="17">
        <f>IFERROR(__xludf.DUMMYFUNCTION("""COMPUTED_VALUE"""),2.05231767E8)</f>
        <v>205231767</v>
      </c>
      <c r="B291" s="18" t="str">
        <f>IFERROR(__xludf.DUMMYFUNCTION("""COMPUTED_VALUE"""),"KAYSAR")</f>
        <v>KAYSAR</v>
      </c>
      <c r="C291" s="18">
        <f>IFERROR(__xludf.DUMMYFUNCTION("""COMPUTED_VALUE"""),0.0)</f>
        <v>0</v>
      </c>
      <c r="D291" s="35"/>
      <c r="E291" s="18" t="str">
        <f>IFERROR(__xludf.DUMMYFUNCTION("""COMPUTED_VALUE"""),"CV. Adil Prima Perkasa")</f>
        <v>CV. Adil Prima Perkasa</v>
      </c>
      <c r="F291" s="18" t="str">
        <f>IFERROR(__xludf.DUMMYFUNCTION("""COMPUTED_VALUE"""),"OPERATOR EXCAVATOR")</f>
        <v>OPERATOR EXCAVATOR</v>
      </c>
      <c r="G291" s="18" t="str">
        <f>IFERROR(__xludf.DUMMYFUNCTION("""COMPUTED_VALUE"""),"FALSE")</f>
        <v>FALSE</v>
      </c>
      <c r="H291" s="18" t="str">
        <f>IFERROR(__xludf.DUMMYFUNCTION("""COMPUTED_VALUE"""),"2023-11-30 04.59.10")</f>
        <v>2023-11-30 04.59.10</v>
      </c>
      <c r="I291" s="18" t="str">
        <f>IFERROR(__xludf.DUMMYFUNCTION("""COMPUTED_VALUE"""),"2023-11-30 16.55.12")</f>
        <v>2023-11-30 16.55.12</v>
      </c>
      <c r="J291" s="36"/>
      <c r="K291" s="37" t="str">
        <f t="shared" si="1"/>
        <v>[205231767] KAYSAR</v>
      </c>
    </row>
    <row r="292">
      <c r="A292" s="17">
        <f>IFERROR(__xludf.DUMMYFUNCTION("""COMPUTED_VALUE"""),3.03230111E8)</f>
        <v>303230111</v>
      </c>
      <c r="B292" s="18" t="str">
        <f>IFERROR(__xludf.DUMMYFUNCTION("""COMPUTED_VALUE"""),"KERYO SAMANA")</f>
        <v>KERYO SAMANA</v>
      </c>
      <c r="C292" s="18">
        <f>IFERROR(__xludf.DUMMYFUNCTION("""COMPUTED_VALUE"""),20.0)</f>
        <v>20</v>
      </c>
      <c r="D292" s="35" t="str">
        <f>IFERROR(__xludf.DUMMYFUNCTION("""COMPUTED_VALUE"""),"Kristen Protestan")</f>
        <v>Kristen Protestan</v>
      </c>
      <c r="E292" s="18" t="str">
        <f>IFERROR(__xludf.DUMMYFUNCTION("""COMPUTED_VALUE"""),"CV. Monalisa")</f>
        <v>CV. Monalisa</v>
      </c>
      <c r="F292" s="18" t="str">
        <f>IFERROR(__xludf.DUMMYFUNCTION("""COMPUTED_VALUE"""),"SECURITY")</f>
        <v>SECURITY</v>
      </c>
      <c r="G292" s="18" t="str">
        <f>IFERROR(__xludf.DUMMYFUNCTION("""COMPUTED_VALUE"""),"HRD &amp; GA")</f>
        <v>HRD &amp; GA</v>
      </c>
      <c r="H292" s="18" t="str">
        <f>IFERROR(__xludf.DUMMYFUNCTION("""COMPUTED_VALUE"""),"2023-11-29 07.00.19")</f>
        <v>2023-11-29 07.00.19</v>
      </c>
      <c r="I292" s="18" t="str">
        <f>IFERROR(__xludf.DUMMYFUNCTION("""COMPUTED_VALUE"""),"2023-11-29 18.38.20")</f>
        <v>2023-11-29 18.38.20</v>
      </c>
      <c r="J292" s="36"/>
      <c r="K292" s="37" t="str">
        <f t="shared" si="1"/>
        <v>[303230111] KERYO SAMANA</v>
      </c>
    </row>
    <row r="293">
      <c r="A293" s="17">
        <f>IFERROR(__xludf.DUMMYFUNCTION("""COMPUTED_VALUE"""),2.01221579E8)</f>
        <v>201221579</v>
      </c>
      <c r="B293" s="18" t="str">
        <f>IFERROR(__xludf.DUMMYFUNCTION("""COMPUTED_VALUE"""),"KHAERUL SAPUTRA")</f>
        <v>KHAERUL SAPUTRA</v>
      </c>
      <c r="C293" s="18">
        <f>IFERROR(__xludf.DUMMYFUNCTION("""COMPUTED_VALUE"""),27.0)</f>
        <v>27</v>
      </c>
      <c r="D293" s="35" t="str">
        <f>IFERROR(__xludf.DUMMYFUNCTION("""COMPUTED_VALUE"""),"Islam")</f>
        <v>Islam</v>
      </c>
      <c r="E293" s="18" t="str">
        <f>IFERROR(__xludf.DUMMYFUNCTION("""COMPUTED_VALUE"""),"CV. Adil Prima Perkasa")</f>
        <v>CV. Adil Prima Perkasa</v>
      </c>
      <c r="F293" s="18" t="str">
        <f>IFERROR(__xludf.DUMMYFUNCTION("""COMPUTED_VALUE"""),"DRIVER MAINTENANCE")</f>
        <v>DRIVER MAINTENANCE</v>
      </c>
      <c r="G293" s="18" t="str">
        <f>IFERROR(__xludf.DUMMYFUNCTION("""COMPUTED_VALUE"""),"KENDARAAN &amp; UNIT SUPPORT")</f>
        <v>KENDARAAN &amp; UNIT SUPPORT</v>
      </c>
      <c r="H293" s="18" t="str">
        <f>IFERROR(__xludf.DUMMYFUNCTION("""COMPUTED_VALUE"""),"2024-03-30 08.03.05")</f>
        <v>2024-03-30 08.03.05</v>
      </c>
      <c r="I293" s="18" t="str">
        <f>IFERROR(__xludf.DUMMYFUNCTION("""COMPUTED_VALUE"""),"2024-03-30 18.06.31")</f>
        <v>2024-03-30 18.06.31</v>
      </c>
      <c r="J293" s="36"/>
      <c r="K293" s="37" t="str">
        <f t="shared" si="1"/>
        <v>[201221579] KHAERUL SAPUTRA</v>
      </c>
    </row>
    <row r="294">
      <c r="A294" s="17">
        <f>IFERROR(__xludf.DUMMYFUNCTION("""COMPUTED_VALUE"""),1.09201212E8)</f>
        <v>109201212</v>
      </c>
      <c r="B294" s="18" t="str">
        <f>IFERROR(__xludf.DUMMYFUNCTION("""COMPUTED_VALUE"""),"KRISTIAN DWI JAYANTO")</f>
        <v>KRISTIAN DWI JAYANTO</v>
      </c>
      <c r="C294" s="18">
        <f>IFERROR(__xludf.DUMMYFUNCTION("""COMPUTED_VALUE"""),31.0)</f>
        <v>31</v>
      </c>
      <c r="D294" s="35" t="str">
        <f>IFERROR(__xludf.DUMMYFUNCTION("""COMPUTED_VALUE"""),"Kristen Khatolik")</f>
        <v>Kristen Khatolik</v>
      </c>
      <c r="E294" s="18" t="str">
        <f>IFERROR(__xludf.DUMMYFUNCTION("""COMPUTED_VALUE"""),"CV. SENTOSA ABADI")</f>
        <v>CV. SENTOSA ABADI</v>
      </c>
      <c r="F294" s="18" t="str">
        <f>IFERROR(__xludf.DUMMYFUNCTION("""COMPUTED_VALUE"""),"SAFETY OFFICER")</f>
        <v>SAFETY OFFICER</v>
      </c>
      <c r="G294" s="18" t="str">
        <f>IFERROR(__xludf.DUMMYFUNCTION("""COMPUTED_VALUE"""),"HSE")</f>
        <v>HSE</v>
      </c>
      <c r="H294" s="18" t="str">
        <f>IFERROR(__xludf.DUMMYFUNCTION("""COMPUTED_VALUE"""),"2024-03-19 16.02.28")</f>
        <v>2024-03-19 16.02.28</v>
      </c>
      <c r="I294" s="18" t="str">
        <f>IFERROR(__xludf.DUMMYFUNCTION("""COMPUTED_VALUE"""),"2024-03-19 16.02.28")</f>
        <v>2024-03-19 16.02.28</v>
      </c>
      <c r="J294" s="36"/>
      <c r="K294" s="37" t="str">
        <f t="shared" si="1"/>
        <v>[109201212] KRISTIAN DWI JAYANTO</v>
      </c>
    </row>
    <row r="295">
      <c r="A295" s="17">
        <f>IFERROR(__xludf.DUMMYFUNCTION("""COMPUTED_VALUE"""),2.05221633E8)</f>
        <v>205221633</v>
      </c>
      <c r="B295" s="18" t="str">
        <f>IFERROR(__xludf.DUMMYFUNCTION("""COMPUTED_VALUE"""),"KRISTOFORUS WAI")</f>
        <v>KRISTOFORUS WAI</v>
      </c>
      <c r="C295" s="18">
        <f>IFERROR(__xludf.DUMMYFUNCTION("""COMPUTED_VALUE"""),26.0)</f>
        <v>26</v>
      </c>
      <c r="D295" s="35" t="str">
        <f>IFERROR(__xludf.DUMMYFUNCTION("""COMPUTED_VALUE"""),"Kristen Khatolik")</f>
        <v>Kristen Khatolik</v>
      </c>
      <c r="E295" s="18" t="str">
        <f>IFERROR(__xludf.DUMMYFUNCTION("""COMPUTED_VALUE"""),"CV. Adil Prima Perkasa")</f>
        <v>CV. Adil Prima Perkasa</v>
      </c>
      <c r="F295" s="18" t="str">
        <f>IFERROR(__xludf.DUMMYFUNCTION("""COMPUTED_VALUE"""),"HELPER MEKANIK")</f>
        <v>HELPER MEKANIK</v>
      </c>
      <c r="G295" s="18" t="str">
        <f>IFERROR(__xludf.DUMMYFUNCTION("""COMPUTED_VALUE"""),"WORKSHOP")</f>
        <v>WORKSHOP</v>
      </c>
      <c r="H295" s="18" t="str">
        <f>IFERROR(__xludf.DUMMYFUNCTION("""COMPUTED_VALUE"""),"2023-11-30 07.21.53")</f>
        <v>2023-11-30 07.21.53</v>
      </c>
      <c r="I295" s="18" t="str">
        <f>IFERROR(__xludf.DUMMYFUNCTION("""COMPUTED_VALUE"""),"2023-11-30 07.21.53")</f>
        <v>2023-11-30 07.21.53</v>
      </c>
      <c r="J295" s="36"/>
      <c r="K295" s="37" t="str">
        <f t="shared" si="1"/>
        <v>[205221633] KRISTOFORUS WAI</v>
      </c>
    </row>
    <row r="296">
      <c r="A296" s="17">
        <f>IFERROR(__xludf.DUMMYFUNCTION("""COMPUTED_VALUE"""),2.0623178E8)</f>
        <v>206231780</v>
      </c>
      <c r="B296" s="18" t="str">
        <f>IFERROR(__xludf.DUMMYFUNCTION("""COMPUTED_VALUE"""),"LANTIF SUSENO")</f>
        <v>LANTIF SUSENO</v>
      </c>
      <c r="C296" s="18">
        <f>IFERROR(__xludf.DUMMYFUNCTION("""COMPUTED_VALUE"""),38.0)</f>
        <v>38</v>
      </c>
      <c r="D296" s="35" t="str">
        <f>IFERROR(__xludf.DUMMYFUNCTION("""COMPUTED_VALUE"""),"Islam")</f>
        <v>Islam</v>
      </c>
      <c r="E296" s="18" t="str">
        <f>IFERROR(__xludf.DUMMYFUNCTION("""COMPUTED_VALUE"""),"CV. Adil Prima Perkasa")</f>
        <v>CV. Adil Prima Perkasa</v>
      </c>
      <c r="F296" s="18" t="str">
        <f>IFERROR(__xludf.DUMMYFUNCTION("""COMPUTED_VALUE"""),"STAFF GA")</f>
        <v>STAFF GA</v>
      </c>
      <c r="G296" s="18" t="str">
        <f>IFERROR(__xludf.DUMMYFUNCTION("""COMPUTED_VALUE"""),"HRD &amp; GA")</f>
        <v>HRD &amp; GA</v>
      </c>
      <c r="H296" s="18" t="str">
        <f>IFERROR(__xludf.DUMMYFUNCTION("""COMPUTED_VALUE"""),"2024-03-31 06.51.44")</f>
        <v>2024-03-31 06.51.44</v>
      </c>
      <c r="I296" s="18" t="str">
        <f>IFERROR(__xludf.DUMMYFUNCTION("""COMPUTED_VALUE"""),"2024-03-31 21.38.51")</f>
        <v>2024-03-31 21.38.51</v>
      </c>
      <c r="J296" s="36">
        <f>IFERROR(__xludf.DUMMYFUNCTION("""COMPUTED_VALUE"""),34830.0)</f>
        <v>34830</v>
      </c>
      <c r="K296" s="37" t="str">
        <f t="shared" si="1"/>
        <v>[206231780] LANTIF SUSENO</v>
      </c>
    </row>
    <row r="297">
      <c r="A297" s="17"/>
      <c r="B297" s="18" t="str">
        <f>IFERROR(__xludf.DUMMYFUNCTION("""COMPUTED_VALUE"""),"LAUDYA ARSI")</f>
        <v>LAUDYA ARSI</v>
      </c>
      <c r="C297" s="18">
        <f>IFERROR(__xludf.DUMMYFUNCTION("""COMPUTED_VALUE"""),0.0)</f>
        <v>0</v>
      </c>
      <c r="D297" s="35"/>
      <c r="E297" s="18" t="str">
        <f>IFERROR(__xludf.DUMMYFUNCTION("""COMPUTED_VALUE"""),"CV. SENTOSA ABADI")</f>
        <v>CV. SENTOSA ABADI</v>
      </c>
      <c r="F297" s="18" t="str">
        <f>IFERROR(__xludf.DUMMYFUNCTION("""COMPUTED_VALUE"""),"FALSE")</f>
        <v>FALSE</v>
      </c>
      <c r="G297" s="18" t="str">
        <f>IFERROR(__xludf.DUMMYFUNCTION("""COMPUTED_VALUE"""),"FALSE")</f>
        <v>FALSE</v>
      </c>
      <c r="H297" s="18"/>
      <c r="I297" s="18"/>
      <c r="J297" s="36"/>
      <c r="K297" s="37" t="str">
        <f t="shared" si="1"/>
        <v/>
      </c>
    </row>
    <row r="298">
      <c r="A298" s="17">
        <f>IFERROR(__xludf.DUMMYFUNCTION("""COMPUTED_VALUE"""),2.02241883E8)</f>
        <v>202241883</v>
      </c>
      <c r="B298" s="18" t="str">
        <f>IFERROR(__xludf.DUMMYFUNCTION("""COMPUTED_VALUE"""),"LEFRAN PANGATI")</f>
        <v>LEFRAN PANGATI</v>
      </c>
      <c r="C298" s="18">
        <f>IFERROR(__xludf.DUMMYFUNCTION("""COMPUTED_VALUE"""),0.0)</f>
        <v>0</v>
      </c>
      <c r="D298" s="35"/>
      <c r="E298" s="18" t="str">
        <f>IFERROR(__xludf.DUMMYFUNCTION("""COMPUTED_VALUE"""),"CV. Adil Prima Perkasa")</f>
        <v>CV. Adil Prima Perkasa</v>
      </c>
      <c r="F298" s="18" t="str">
        <f>IFERROR(__xludf.DUMMYFUNCTION("""COMPUTED_VALUE"""),"HELPER MECHANIC MAINTENANCE")</f>
        <v>HELPER MECHANIC MAINTENANCE</v>
      </c>
      <c r="G298" s="18" t="str">
        <f>IFERROR(__xludf.DUMMYFUNCTION("""COMPUTED_VALUE"""),"WORKSHOP")</f>
        <v>WORKSHOP</v>
      </c>
      <c r="H298" s="18"/>
      <c r="I298" s="18"/>
      <c r="J298" s="36"/>
      <c r="K298" s="37" t="str">
        <f t="shared" si="1"/>
        <v/>
      </c>
    </row>
    <row r="299">
      <c r="A299" s="17">
        <f>IFERROR(__xludf.DUMMYFUNCTION("""COMPUTED_VALUE"""),2.03241897E8)</f>
        <v>203241897</v>
      </c>
      <c r="B299" s="18" t="str">
        <f>IFERROR(__xludf.DUMMYFUNCTION("""COMPUTED_VALUE"""),"LESLI RENGKU")</f>
        <v>LESLI RENGKU</v>
      </c>
      <c r="C299" s="18">
        <f>IFERROR(__xludf.DUMMYFUNCTION("""COMPUTED_VALUE"""),0.0)</f>
        <v>0</v>
      </c>
      <c r="D299" s="35"/>
      <c r="E299" s="18" t="str">
        <f>IFERROR(__xludf.DUMMYFUNCTION("""COMPUTED_VALUE"""),"CV. Adil Prima Perkasa")</f>
        <v>CV. Adil Prima Perkasa</v>
      </c>
      <c r="F299" s="18" t="str">
        <f>IFERROR(__xludf.DUMMYFUNCTION("""COMPUTED_VALUE"""),"HELPER TYRE")</f>
        <v>HELPER TYRE</v>
      </c>
      <c r="G299" s="18" t="str">
        <f>IFERROR(__xludf.DUMMYFUNCTION("""COMPUTED_VALUE"""),"WORKSHOP")</f>
        <v>WORKSHOP</v>
      </c>
      <c r="H299" s="18"/>
      <c r="I299" s="18"/>
      <c r="J299" s="36"/>
      <c r="K299" s="37" t="str">
        <f t="shared" si="1"/>
        <v/>
      </c>
    </row>
    <row r="300">
      <c r="A300" s="17"/>
      <c r="B300" s="18" t="str">
        <f>IFERROR(__xludf.DUMMYFUNCTION("""COMPUTED_VALUE"""),"LEXSY")</f>
        <v>LEXSY</v>
      </c>
      <c r="C300" s="18">
        <f>IFERROR(__xludf.DUMMYFUNCTION("""COMPUTED_VALUE"""),0.0)</f>
        <v>0</v>
      </c>
      <c r="D300" s="35"/>
      <c r="E300" s="18" t="str">
        <f>IFERROR(__xludf.DUMMYFUNCTION("""COMPUTED_VALUE"""),"CV. SENTOSA ABADI")</f>
        <v>CV. SENTOSA ABADI</v>
      </c>
      <c r="F300" s="18" t="str">
        <f>IFERROR(__xludf.DUMMYFUNCTION("""COMPUTED_VALUE"""),"FALSE")</f>
        <v>FALSE</v>
      </c>
      <c r="G300" s="18" t="str">
        <f>IFERROR(__xludf.DUMMYFUNCTION("""COMPUTED_VALUE"""),"FALSE")</f>
        <v>FALSE</v>
      </c>
      <c r="H300" s="18"/>
      <c r="I300" s="18"/>
      <c r="J300" s="36"/>
      <c r="K300" s="37" t="str">
        <f t="shared" si="1"/>
        <v/>
      </c>
    </row>
    <row r="301">
      <c r="A301" s="17">
        <f>IFERROR(__xludf.DUMMYFUNCTION("""COMPUTED_VALUE"""),2.03231743E8)</f>
        <v>203231743</v>
      </c>
      <c r="B301" s="18" t="str">
        <f>IFERROR(__xludf.DUMMYFUNCTION("""COMPUTED_VALUE"""),"LEXSY SUMBUNG")</f>
        <v>LEXSY SUMBUNG</v>
      </c>
      <c r="C301" s="18">
        <f>IFERROR(__xludf.DUMMYFUNCTION("""COMPUTED_VALUE"""),26.0)</f>
        <v>26</v>
      </c>
      <c r="D301" s="35" t="str">
        <f>IFERROR(__xludf.DUMMYFUNCTION("""COMPUTED_VALUE"""),"Kristen Protestan")</f>
        <v>Kristen Protestan</v>
      </c>
      <c r="E301" s="18" t="str">
        <f>IFERROR(__xludf.DUMMYFUNCTION("""COMPUTED_VALUE"""),"CV. Adil Prima Perkasa")</f>
        <v>CV. Adil Prima Perkasa</v>
      </c>
      <c r="F301" s="18" t="str">
        <f>IFERROR(__xludf.DUMMYFUNCTION("""COMPUTED_VALUE"""),"CREW SURVEY")</f>
        <v>CREW SURVEY</v>
      </c>
      <c r="G301" s="18" t="str">
        <f>IFERROR(__xludf.DUMMYFUNCTION("""COMPUTED_VALUE"""),"MPE")</f>
        <v>MPE</v>
      </c>
      <c r="H301" s="18" t="str">
        <f>IFERROR(__xludf.DUMMYFUNCTION("""COMPUTED_VALUE"""),"2023-11-30 22.06.57")</f>
        <v>2023-11-30 22.06.57</v>
      </c>
      <c r="I301" s="18" t="str">
        <f>IFERROR(__xludf.DUMMYFUNCTION("""COMPUTED_VALUE"""),"2023-11-30 22.06.57")</f>
        <v>2023-11-30 22.06.57</v>
      </c>
      <c r="J301" s="36"/>
      <c r="K301" s="37" t="str">
        <f t="shared" si="1"/>
        <v>[203231743] LEXSY SUMBUNG</v>
      </c>
    </row>
    <row r="302">
      <c r="A302" s="17">
        <f>IFERROR(__xludf.DUMMYFUNCTION("""COMPUTED_VALUE"""),1.05241928E8)</f>
        <v>105241928</v>
      </c>
      <c r="B302" s="18" t="str">
        <f>IFERROR(__xludf.DUMMYFUNCTION("""COMPUTED_VALUE"""),"LUDIA ASRI SIAMPA")</f>
        <v>LUDIA ASRI SIAMPA</v>
      </c>
      <c r="C302" s="18">
        <f>IFERROR(__xludf.DUMMYFUNCTION("""COMPUTED_VALUE"""),0.0)</f>
        <v>0</v>
      </c>
      <c r="D302" s="35"/>
      <c r="E302" s="18" t="str">
        <f>IFERROR(__xludf.DUMMYFUNCTION("""COMPUTED_VALUE"""),"CV. SENTOSA ABADI")</f>
        <v>CV. SENTOSA ABADI</v>
      </c>
      <c r="F302" s="18" t="str">
        <f>IFERROR(__xludf.DUMMYFUNCTION("""COMPUTED_VALUE"""),"STOCKER")</f>
        <v>STOCKER</v>
      </c>
      <c r="G302" s="18" t="str">
        <f>IFERROR(__xludf.DUMMYFUNCTION("""COMPUTED_VALUE"""),"HRD &amp; GA")</f>
        <v>HRD &amp; GA</v>
      </c>
      <c r="H302" s="18"/>
      <c r="I302" s="18"/>
      <c r="J302" s="36"/>
      <c r="K302" s="37" t="str">
        <f t="shared" si="1"/>
        <v/>
      </c>
    </row>
    <row r="303">
      <c r="A303" s="17">
        <f>IFERROR(__xludf.DUMMYFUNCTION("""COMPUTED_VALUE"""),1.10191103E8)</f>
        <v>110191103</v>
      </c>
      <c r="B303" s="18" t="str">
        <f>IFERROR(__xludf.DUMMYFUNCTION("""COMPUTED_VALUE"""),"M. AKBAR")</f>
        <v>M. AKBAR</v>
      </c>
      <c r="C303" s="18">
        <f>IFERROR(__xludf.DUMMYFUNCTION("""COMPUTED_VALUE"""),26.0)</f>
        <v>26</v>
      </c>
      <c r="D303" s="35" t="str">
        <f>IFERROR(__xludf.DUMMYFUNCTION("""COMPUTED_VALUE"""),"Islam")</f>
        <v>Islam</v>
      </c>
      <c r="E303" s="18" t="str">
        <f>IFERROR(__xludf.DUMMYFUNCTION("""COMPUTED_VALUE"""),"CV. SENTOSA ABADI")</f>
        <v>CV. SENTOSA ABADI</v>
      </c>
      <c r="F303" s="18" t="str">
        <f>IFERROR(__xludf.DUMMYFUNCTION("""COMPUTED_VALUE"""),"OPERATOR EXCAVATOR")</f>
        <v>OPERATOR EXCAVATOR</v>
      </c>
      <c r="G303" s="18" t="str">
        <f>IFERROR(__xludf.DUMMYFUNCTION("""COMPUTED_VALUE"""),"PRODUKSI")</f>
        <v>PRODUKSI</v>
      </c>
      <c r="H303" s="18" t="str">
        <f>IFERROR(__xludf.DUMMYFUNCTION("""COMPUTED_VALUE"""),"2023-11-30 06.09.26")</f>
        <v>2023-11-30 06.09.26</v>
      </c>
      <c r="I303" s="18" t="str">
        <f>IFERROR(__xludf.DUMMYFUNCTION("""COMPUTED_VALUE"""),"2023-11-30 06.09.26")</f>
        <v>2023-11-30 06.09.26</v>
      </c>
      <c r="J303" s="36"/>
      <c r="K303" s="37" t="str">
        <f t="shared" si="1"/>
        <v>[110191103] M. AKBAR</v>
      </c>
    </row>
    <row r="304">
      <c r="A304" s="17">
        <f>IFERROR(__xludf.DUMMYFUNCTION("""COMPUTED_VALUE"""),2.12211546E8)</f>
        <v>212211546</v>
      </c>
      <c r="B304" s="18" t="str">
        <f>IFERROR(__xludf.DUMMYFUNCTION("""COMPUTED_VALUE"""),"M. NASIR YALE")</f>
        <v>M. NASIR YALE</v>
      </c>
      <c r="C304" s="18">
        <f>IFERROR(__xludf.DUMMYFUNCTION("""COMPUTED_VALUE"""),52.0)</f>
        <v>52</v>
      </c>
      <c r="D304" s="35" t="str">
        <f>IFERROR(__xludf.DUMMYFUNCTION("""COMPUTED_VALUE"""),"Islam")</f>
        <v>Islam</v>
      </c>
      <c r="E304" s="18" t="str">
        <f>IFERROR(__xludf.DUMMYFUNCTION("""COMPUTED_VALUE"""),"CV. Adil Prima Perkasa")</f>
        <v>CV. Adil Prima Perkasa</v>
      </c>
      <c r="F304" s="18" t="str">
        <f>IFERROR(__xludf.DUMMYFUNCTION("""COMPUTED_VALUE"""),"DRIVER DT H700ZY")</f>
        <v>DRIVER DT H700ZY</v>
      </c>
      <c r="G304" s="18" t="str">
        <f>IFERROR(__xludf.DUMMYFUNCTION("""COMPUTED_VALUE"""),"KENDARAAN &amp; UNIT SUPPORT")</f>
        <v>KENDARAAN &amp; UNIT SUPPORT</v>
      </c>
      <c r="H304" s="18" t="str">
        <f>IFERROR(__xludf.DUMMYFUNCTION("""COMPUTED_VALUE"""),"2024-03-31 06.35.27")</f>
        <v>2024-03-31 06.35.27</v>
      </c>
      <c r="I304" s="18" t="str">
        <f>IFERROR(__xludf.DUMMYFUNCTION("""COMPUTED_VALUE"""),"2024-03-31 17.11.14")</f>
        <v>2024-03-31 17.11.14</v>
      </c>
      <c r="J304" s="36"/>
      <c r="K304" s="37" t="str">
        <f t="shared" si="1"/>
        <v>[212211546] M. NASIR YALE</v>
      </c>
    </row>
    <row r="305">
      <c r="A305" s="17"/>
      <c r="B305" s="18" t="str">
        <f>IFERROR(__xludf.DUMMYFUNCTION("""COMPUTED_VALUE"""),"M.RISKY")</f>
        <v>M.RISKY</v>
      </c>
      <c r="C305" s="18">
        <f>IFERROR(__xludf.DUMMYFUNCTION("""COMPUTED_VALUE"""),0.0)</f>
        <v>0</v>
      </c>
      <c r="D305" s="35"/>
      <c r="E305" s="18" t="str">
        <f>IFERROR(__xludf.DUMMYFUNCTION("""COMPUTED_VALUE"""),"CV. SENTOSA ABADI")</f>
        <v>CV. SENTOSA ABADI</v>
      </c>
      <c r="F305" s="18" t="str">
        <f>IFERROR(__xludf.DUMMYFUNCTION("""COMPUTED_VALUE"""),"FALSE")</f>
        <v>FALSE</v>
      </c>
      <c r="G305" s="18" t="str">
        <f>IFERROR(__xludf.DUMMYFUNCTION("""COMPUTED_VALUE"""),"FALSE")</f>
        <v>FALSE</v>
      </c>
      <c r="H305" s="18"/>
      <c r="I305" s="18"/>
      <c r="J305" s="36"/>
      <c r="K305" s="37" t="str">
        <f t="shared" si="1"/>
        <v/>
      </c>
    </row>
    <row r="306">
      <c r="A306" s="17">
        <f>IFERROR(__xludf.DUMMYFUNCTION("""COMPUTED_VALUE"""),1.03190805E8)</f>
        <v>103190805</v>
      </c>
      <c r="B306" s="18" t="str">
        <f>IFERROR(__xludf.DUMMYFUNCTION("""COMPUTED_VALUE"""),"MAHALI BIN AHMAD")</f>
        <v>MAHALI BIN AHMAD</v>
      </c>
      <c r="C306" s="18">
        <f>IFERROR(__xludf.DUMMYFUNCTION("""COMPUTED_VALUE"""),44.0)</f>
        <v>44</v>
      </c>
      <c r="D306" s="35" t="str">
        <f>IFERROR(__xludf.DUMMYFUNCTION("""COMPUTED_VALUE"""),"Islam")</f>
        <v>Islam</v>
      </c>
      <c r="E306" s="18" t="str">
        <f>IFERROR(__xludf.DUMMYFUNCTION("""COMPUTED_VALUE"""),"CV. SENTOSA ABADI")</f>
        <v>CV. SENTOSA ABADI</v>
      </c>
      <c r="F306" s="18" t="str">
        <f>IFERROR(__xludf.DUMMYFUNCTION("""COMPUTED_VALUE"""),"OPERATOR BULLDOZER")</f>
        <v>OPERATOR BULLDOZER</v>
      </c>
      <c r="G306" s="18" t="str">
        <f>IFERROR(__xludf.DUMMYFUNCTION("""COMPUTED_VALUE"""),"PRODUKSI")</f>
        <v>PRODUKSI</v>
      </c>
      <c r="H306" s="18"/>
      <c r="I306" s="18"/>
      <c r="J306" s="36"/>
      <c r="K306" s="37" t="str">
        <f t="shared" si="1"/>
        <v/>
      </c>
    </row>
    <row r="307">
      <c r="A307" s="17">
        <f>IFERROR(__xludf.DUMMYFUNCTION("""COMPUTED_VALUE"""),1.08201173E8)</f>
        <v>108201173</v>
      </c>
      <c r="B307" s="18" t="str">
        <f>IFERROR(__xludf.DUMMYFUNCTION("""COMPUTED_VALUE"""),"MAING")</f>
        <v>MAING</v>
      </c>
      <c r="C307" s="18">
        <f>IFERROR(__xludf.DUMMYFUNCTION("""COMPUTED_VALUE"""),48.0)</f>
        <v>48</v>
      </c>
      <c r="D307" s="35" t="str">
        <f>IFERROR(__xludf.DUMMYFUNCTION("""COMPUTED_VALUE"""),"Islam")</f>
        <v>Islam</v>
      </c>
      <c r="E307" s="18" t="str">
        <f>IFERROR(__xludf.DUMMYFUNCTION("""COMPUTED_VALUE"""),"CV. SENTOSA ABADI")</f>
        <v>CV. SENTOSA ABADI</v>
      </c>
      <c r="F307" s="18" t="str">
        <f>IFERROR(__xludf.DUMMYFUNCTION("""COMPUTED_VALUE"""),"DRIVER DT H700ZY")</f>
        <v>DRIVER DT H700ZY</v>
      </c>
      <c r="G307" s="18" t="str">
        <f>IFERROR(__xludf.DUMMYFUNCTION("""COMPUTED_VALUE"""),"KENDARAAN &amp; UNIT SUPPORT")</f>
        <v>KENDARAAN &amp; UNIT SUPPORT</v>
      </c>
      <c r="H307" s="18" t="str">
        <f>IFERROR(__xludf.DUMMYFUNCTION("""COMPUTED_VALUE"""),"2024-03-31 15.57.30")</f>
        <v>2024-03-31 15.57.30</v>
      </c>
      <c r="I307" s="18" t="str">
        <f>IFERROR(__xludf.DUMMYFUNCTION("""COMPUTED_VALUE"""),"2024-03-31 16.00.38")</f>
        <v>2024-03-31 16.00.38</v>
      </c>
      <c r="J307" s="36"/>
      <c r="K307" s="37" t="str">
        <f t="shared" si="1"/>
        <v>[108201173] MAING</v>
      </c>
    </row>
    <row r="308">
      <c r="A308" s="17"/>
      <c r="B308" s="18" t="str">
        <f>IFERROR(__xludf.DUMMYFUNCTION("""COMPUTED_VALUE"""),"MARC")</f>
        <v>MARC</v>
      </c>
      <c r="C308" s="18">
        <f>IFERROR(__xludf.DUMMYFUNCTION("""COMPUTED_VALUE"""),0.0)</f>
        <v>0</v>
      </c>
      <c r="D308" s="35"/>
      <c r="E308" s="18" t="str">
        <f>IFERROR(__xludf.DUMMYFUNCTION("""COMPUTED_VALUE"""),"CV. Adil Prima Perkasa")</f>
        <v>CV. Adil Prima Perkasa</v>
      </c>
      <c r="F308" s="18" t="str">
        <f>IFERROR(__xludf.DUMMYFUNCTION("""COMPUTED_VALUE"""),"FALSE")</f>
        <v>FALSE</v>
      </c>
      <c r="G308" s="18" t="str">
        <f>IFERROR(__xludf.DUMMYFUNCTION("""COMPUTED_VALUE"""),"FALSE")</f>
        <v>FALSE</v>
      </c>
      <c r="H308" s="18"/>
      <c r="I308" s="18"/>
      <c r="J308" s="36"/>
      <c r="K308" s="37" t="str">
        <f t="shared" si="1"/>
        <v/>
      </c>
    </row>
    <row r="309">
      <c r="A309" s="17">
        <f>IFERROR(__xludf.DUMMYFUNCTION("""COMPUTED_VALUE"""),4.07230006E8)</f>
        <v>407230006</v>
      </c>
      <c r="B309" s="18" t="str">
        <f>IFERROR(__xludf.DUMMYFUNCTION("""COMPUTED_VALUE"""),"MARCHO FRITS WOTULO")</f>
        <v>MARCHO FRITS WOTULO</v>
      </c>
      <c r="C309" s="18">
        <f>IFERROR(__xludf.DUMMYFUNCTION("""COMPUTED_VALUE"""),0.0)</f>
        <v>0</v>
      </c>
      <c r="D309" s="35"/>
      <c r="E309" s="18" t="str">
        <f>IFERROR(__xludf.DUMMYFUNCTION("""COMPUTED_VALUE"""),"CV. SENTOSA ABADI")</f>
        <v>CV. SENTOSA ABADI</v>
      </c>
      <c r="F309" s="18" t="str">
        <f>IFERROR(__xludf.DUMMYFUNCTION("""COMPUTED_VALUE"""),"DRIVER LV")</f>
        <v>DRIVER LV</v>
      </c>
      <c r="G309" s="18" t="str">
        <f>IFERROR(__xludf.DUMMYFUNCTION("""COMPUTED_VALUE"""),"KENDARAAN &amp; UNIT SUPPORT")</f>
        <v>KENDARAAN &amp; UNIT SUPPORT</v>
      </c>
      <c r="H309" s="18"/>
      <c r="I309" s="18"/>
      <c r="J309" s="36"/>
      <c r="K309" s="37" t="str">
        <f t="shared" si="1"/>
        <v/>
      </c>
    </row>
    <row r="310">
      <c r="A310" s="17">
        <f>IFERROR(__xludf.DUMMYFUNCTION("""COMPUTED_VALUE"""),2.11201271E8)</f>
        <v>211201271</v>
      </c>
      <c r="B310" s="18" t="str">
        <f>IFERROR(__xludf.DUMMYFUNCTION("""COMPUTED_VALUE"""),"MARDI")</f>
        <v>MARDI</v>
      </c>
      <c r="C310" s="18">
        <f>IFERROR(__xludf.DUMMYFUNCTION("""COMPUTED_VALUE"""),38.0)</f>
        <v>38</v>
      </c>
      <c r="D310" s="35" t="str">
        <f>IFERROR(__xludf.DUMMYFUNCTION("""COMPUTED_VALUE"""),"Islam")</f>
        <v>Islam</v>
      </c>
      <c r="E310" s="18" t="str">
        <f>IFERROR(__xludf.DUMMYFUNCTION("""COMPUTED_VALUE"""),"CV. Adil Prima Perkasa")</f>
        <v>CV. Adil Prima Perkasa</v>
      </c>
      <c r="F310" s="18" t="str">
        <f>IFERROR(__xludf.DUMMYFUNCTION("""COMPUTED_VALUE"""),"DRIVER DT H700ZY")</f>
        <v>DRIVER DT H700ZY</v>
      </c>
      <c r="G310" s="18" t="str">
        <f>IFERROR(__xludf.DUMMYFUNCTION("""COMPUTED_VALUE"""),"KENDARAAN &amp; UNIT SUPPORT")</f>
        <v>KENDARAAN &amp; UNIT SUPPORT</v>
      </c>
      <c r="H310" s="18" t="str">
        <f>IFERROR(__xludf.DUMMYFUNCTION("""COMPUTED_VALUE"""),"2024-03-31 03.11.30")</f>
        <v>2024-03-31 03.11.30</v>
      </c>
      <c r="I310" s="18" t="str">
        <f>IFERROR(__xludf.DUMMYFUNCTION("""COMPUTED_VALUE"""),"2024-03-31 16.51.12")</f>
        <v>2024-03-31 16.51.12</v>
      </c>
      <c r="J310" s="36"/>
      <c r="K310" s="37" t="str">
        <f t="shared" si="1"/>
        <v>[211201271] MARDI</v>
      </c>
    </row>
    <row r="311">
      <c r="A311" s="17">
        <f>IFERROR(__xludf.DUMMYFUNCTION("""COMPUTED_VALUE"""),1.08191056E8)</f>
        <v>108191056</v>
      </c>
      <c r="B311" s="18" t="str">
        <f>IFERROR(__xludf.DUMMYFUNCTION("""COMPUTED_VALUE"""),"MARIONO")</f>
        <v>MARIONO</v>
      </c>
      <c r="C311" s="18">
        <f>IFERROR(__xludf.DUMMYFUNCTION("""COMPUTED_VALUE"""),43.0)</f>
        <v>43</v>
      </c>
      <c r="D311" s="35" t="str">
        <f>IFERROR(__xludf.DUMMYFUNCTION("""COMPUTED_VALUE"""),"Islam")</f>
        <v>Islam</v>
      </c>
      <c r="E311" s="18" t="str">
        <f>IFERROR(__xludf.DUMMYFUNCTION("""COMPUTED_VALUE"""),"CV. SENTOSA ABADI")</f>
        <v>CV. SENTOSA ABADI</v>
      </c>
      <c r="F311" s="18" t="str">
        <f>IFERROR(__xludf.DUMMYFUNCTION("""COMPUTED_VALUE"""),"DRIVER DT H700ZY")</f>
        <v>DRIVER DT H700ZY</v>
      </c>
      <c r="G311" s="18" t="str">
        <f>IFERROR(__xludf.DUMMYFUNCTION("""COMPUTED_VALUE"""),"KENDARAAN &amp; UNIT SUPPORT")</f>
        <v>KENDARAAN &amp; UNIT SUPPORT</v>
      </c>
      <c r="H311" s="18" t="str">
        <f>IFERROR(__xludf.DUMMYFUNCTION("""COMPUTED_VALUE"""),"2024-03-31 05.13.14")</f>
        <v>2024-03-31 05.13.14</v>
      </c>
      <c r="I311" s="18" t="str">
        <f>IFERROR(__xludf.DUMMYFUNCTION("""COMPUTED_VALUE"""),"2024-03-31 05.13.14")</f>
        <v>2024-03-31 05.13.14</v>
      </c>
      <c r="J311" s="36"/>
      <c r="K311" s="37" t="str">
        <f t="shared" si="1"/>
        <v>[108191056] MARIONO</v>
      </c>
    </row>
    <row r="312">
      <c r="A312" s="17">
        <f>IFERROR(__xludf.DUMMYFUNCTION("""COMPUTED_VALUE"""),3.06200007E8)</f>
        <v>306200007</v>
      </c>
      <c r="B312" s="18" t="str">
        <f>IFERROR(__xludf.DUMMYFUNCTION("""COMPUTED_VALUE"""),"MARKUS PADANG")</f>
        <v>MARKUS PADANG</v>
      </c>
      <c r="C312" s="18">
        <f>IFERROR(__xludf.DUMMYFUNCTION("""COMPUTED_VALUE"""),32.0)</f>
        <v>32</v>
      </c>
      <c r="D312" s="35" t="str">
        <f>IFERROR(__xludf.DUMMYFUNCTION("""COMPUTED_VALUE"""),"Kristen Protestan")</f>
        <v>Kristen Protestan</v>
      </c>
      <c r="E312" s="18" t="str">
        <f>IFERROR(__xludf.DUMMYFUNCTION("""COMPUTED_VALUE"""),"CV. Monalisa")</f>
        <v>CV. Monalisa</v>
      </c>
      <c r="F312" s="18" t="str">
        <f>IFERROR(__xludf.DUMMYFUNCTION("""COMPUTED_VALUE"""),"CREW SURVEY")</f>
        <v>CREW SURVEY</v>
      </c>
      <c r="G312" s="18" t="str">
        <f>IFERROR(__xludf.DUMMYFUNCTION("""COMPUTED_VALUE"""),"MPE")</f>
        <v>MPE</v>
      </c>
      <c r="H312" s="18"/>
      <c r="I312" s="18"/>
      <c r="J312" s="36"/>
      <c r="K312" s="37" t="str">
        <f t="shared" si="1"/>
        <v/>
      </c>
    </row>
    <row r="313">
      <c r="A313" s="17">
        <f>IFERROR(__xludf.DUMMYFUNCTION("""COMPUTED_VALUE"""),2.10231847E8)</f>
        <v>210231847</v>
      </c>
      <c r="B313" s="18" t="str">
        <f>IFERROR(__xludf.DUMMYFUNCTION("""COMPUTED_VALUE"""),"MARSEL MOA'E")</f>
        <v>MARSEL MOA'E</v>
      </c>
      <c r="C313" s="18">
        <f>IFERROR(__xludf.DUMMYFUNCTION("""COMPUTED_VALUE"""),0.0)</f>
        <v>0</v>
      </c>
      <c r="D313" s="35"/>
      <c r="E313" s="18" t="str">
        <f>IFERROR(__xludf.DUMMYFUNCTION("""COMPUTED_VALUE"""),"CV. Adil Prima Perkasa")</f>
        <v>CV. Adil Prima Perkasa</v>
      </c>
      <c r="F313" s="18" t="str">
        <f>IFERROR(__xludf.DUMMYFUNCTION("""COMPUTED_VALUE"""),"SECURITY")</f>
        <v>SECURITY</v>
      </c>
      <c r="G313" s="18" t="str">
        <f>IFERROR(__xludf.DUMMYFUNCTION("""COMPUTED_VALUE"""),"HRD &amp; GA")</f>
        <v>HRD &amp; GA</v>
      </c>
      <c r="H313" s="18" t="str">
        <f>IFERROR(__xludf.DUMMYFUNCTION("""COMPUTED_VALUE"""),"2024-03-31 14.41.52")</f>
        <v>2024-03-31 14.41.52</v>
      </c>
      <c r="I313" s="18" t="str">
        <f>IFERROR(__xludf.DUMMYFUNCTION("""COMPUTED_VALUE"""),"2024-03-31 23.11.17")</f>
        <v>2024-03-31 23.11.17</v>
      </c>
      <c r="J313" s="36"/>
      <c r="K313" s="37" t="str">
        <f t="shared" si="1"/>
        <v>[210231847] MARSEL MOA'E</v>
      </c>
    </row>
    <row r="314">
      <c r="A314" s="17">
        <f>IFERROR(__xludf.DUMMYFUNCTION("""COMPUTED_VALUE"""),2.02221596E8)</f>
        <v>202221596</v>
      </c>
      <c r="B314" s="18" t="str">
        <f>IFERROR(__xludf.DUMMYFUNCTION("""COMPUTED_VALUE"""),"MARSELUS JEMI")</f>
        <v>MARSELUS JEMI</v>
      </c>
      <c r="C314" s="18">
        <f>IFERROR(__xludf.DUMMYFUNCTION("""COMPUTED_VALUE"""),32.0)</f>
        <v>32</v>
      </c>
      <c r="D314" s="35" t="str">
        <f>IFERROR(__xludf.DUMMYFUNCTION("""COMPUTED_VALUE"""),"Kristen Khatolik")</f>
        <v>Kristen Khatolik</v>
      </c>
      <c r="E314" s="18" t="str">
        <f>IFERROR(__xludf.DUMMYFUNCTION("""COMPUTED_VALUE"""),"CV. Adil Prima Perkasa")</f>
        <v>CV. Adil Prima Perkasa</v>
      </c>
      <c r="F314" s="18" t="str">
        <f>IFERROR(__xludf.DUMMYFUNCTION("""COMPUTED_VALUE"""),"HELPER MECHANIC MAINTENANCE")</f>
        <v>HELPER MECHANIC MAINTENANCE</v>
      </c>
      <c r="G314" s="18" t="str">
        <f>IFERROR(__xludf.DUMMYFUNCTION("""COMPUTED_VALUE"""),"WORKSHOP")</f>
        <v>WORKSHOP</v>
      </c>
      <c r="H314" s="18" t="str">
        <f>IFERROR(__xludf.DUMMYFUNCTION("""COMPUTED_VALUE"""),"2023-02-10 06.57.29")</f>
        <v>2023-02-10 06.57.29</v>
      </c>
      <c r="I314" s="18" t="str">
        <f>IFERROR(__xludf.DUMMYFUNCTION("""COMPUTED_VALUE"""),"2023-02-10 06.57.29")</f>
        <v>2023-02-10 06.57.29</v>
      </c>
      <c r="J314" s="36">
        <f>IFERROR(__xludf.DUMMYFUNCTION("""COMPUTED_VALUE"""),34508.0)</f>
        <v>34508</v>
      </c>
      <c r="K314" s="37" t="str">
        <f t="shared" si="1"/>
        <v>[202221596] MARSELUS JEMI</v>
      </c>
    </row>
    <row r="315">
      <c r="A315" s="17">
        <f>IFERROR(__xludf.DUMMYFUNCTION("""COMPUTED_VALUE"""),2.06190939E8)</f>
        <v>206190939</v>
      </c>
      <c r="B315" s="18" t="str">
        <f>IFERROR(__xludf.DUMMYFUNCTION("""COMPUTED_VALUE"""),"MARSUKI")</f>
        <v>MARSUKI</v>
      </c>
      <c r="C315" s="18">
        <f>IFERROR(__xludf.DUMMYFUNCTION("""COMPUTED_VALUE"""),44.0)</f>
        <v>44</v>
      </c>
      <c r="D315" s="35" t="str">
        <f>IFERROR(__xludf.DUMMYFUNCTION("""COMPUTED_VALUE"""),"Islam")</f>
        <v>Islam</v>
      </c>
      <c r="E315" s="18" t="str">
        <f>IFERROR(__xludf.DUMMYFUNCTION("""COMPUTED_VALUE"""),"CV. Adil Prima Perkasa")</f>
        <v>CV. Adil Prima Perkasa</v>
      </c>
      <c r="F315" s="18" t="str">
        <f>IFERROR(__xludf.DUMMYFUNCTION("""COMPUTED_VALUE"""),"OPERATOR ADT")</f>
        <v>OPERATOR ADT</v>
      </c>
      <c r="G315" s="18" t="str">
        <f>IFERROR(__xludf.DUMMYFUNCTION("""COMPUTED_VALUE"""),"PRODUKSI")</f>
        <v>PRODUKSI</v>
      </c>
      <c r="H315" s="18" t="str">
        <f>IFERROR(__xludf.DUMMYFUNCTION("""COMPUTED_VALUE"""),"2023-11-30 05.10.51")</f>
        <v>2023-11-30 05.10.51</v>
      </c>
      <c r="I315" s="18" t="str">
        <f>IFERROR(__xludf.DUMMYFUNCTION("""COMPUTED_VALUE"""),"2023-11-30 16.52.06")</f>
        <v>2023-11-30 16.52.06</v>
      </c>
      <c r="J315" s="36"/>
      <c r="K315" s="37" t="str">
        <f t="shared" si="1"/>
        <v>[206190939] MARSUKI</v>
      </c>
    </row>
    <row r="316">
      <c r="A316" s="17">
        <f>IFERROR(__xludf.DUMMYFUNCTION("""COMPUTED_VALUE"""),2.12221706E8)</f>
        <v>212221706</v>
      </c>
      <c r="B316" s="18" t="str">
        <f>IFERROR(__xludf.DUMMYFUNCTION("""COMPUTED_VALUE"""),"MARTHEN KALATIKU YUSAKA")</f>
        <v>MARTHEN KALATIKU YUSAKA</v>
      </c>
      <c r="C316" s="18">
        <f>IFERROR(__xludf.DUMMYFUNCTION("""COMPUTED_VALUE"""),0.0)</f>
        <v>0</v>
      </c>
      <c r="D316" s="35"/>
      <c r="E316" s="18" t="str">
        <f>IFERROR(__xludf.DUMMYFUNCTION("""COMPUTED_VALUE"""),"CV. Adil Prima Perkasa")</f>
        <v>CV. Adil Prima Perkasa</v>
      </c>
      <c r="F316" s="18" t="str">
        <f>IFERROR(__xludf.DUMMYFUNCTION("""COMPUTED_VALUE"""),"DRIVER LV")</f>
        <v>DRIVER LV</v>
      </c>
      <c r="G316" s="18" t="str">
        <f>IFERROR(__xludf.DUMMYFUNCTION("""COMPUTED_VALUE"""),"KENDARAAN &amp; UNIT SUPPORT")</f>
        <v>KENDARAAN &amp; UNIT SUPPORT</v>
      </c>
      <c r="H316" s="18" t="str">
        <f>IFERROR(__xludf.DUMMYFUNCTION("""COMPUTED_VALUE"""),"2024-03-31 06.57.54")</f>
        <v>2024-03-31 06.57.54</v>
      </c>
      <c r="I316" s="18" t="str">
        <f>IFERROR(__xludf.DUMMYFUNCTION("""COMPUTED_VALUE"""),"2024-03-31 21.06.32")</f>
        <v>2024-03-31 21.06.32</v>
      </c>
      <c r="J316" s="36"/>
      <c r="K316" s="37" t="str">
        <f t="shared" si="1"/>
        <v>[212221706] MARTHEN KALATIKU YUSAKA</v>
      </c>
    </row>
    <row r="317">
      <c r="A317" s="17">
        <f>IFERROR(__xludf.DUMMYFUNCTION("""COMPUTED_VALUE"""),2.02201133E8)</f>
        <v>202201133</v>
      </c>
      <c r="B317" s="18" t="str">
        <f>IFERROR(__xludf.DUMMYFUNCTION("""COMPUTED_VALUE"""),"MARTHINUS")</f>
        <v>MARTHINUS</v>
      </c>
      <c r="C317" s="18">
        <f>IFERROR(__xludf.DUMMYFUNCTION("""COMPUTED_VALUE"""),48.0)</f>
        <v>48</v>
      </c>
      <c r="D317" s="35" t="str">
        <f>IFERROR(__xludf.DUMMYFUNCTION("""COMPUTED_VALUE"""),"Kristen Protestan")</f>
        <v>Kristen Protestan</v>
      </c>
      <c r="E317" s="18" t="str">
        <f>IFERROR(__xludf.DUMMYFUNCTION("""COMPUTED_VALUE"""),"CV. Adil Prima Perkasa")</f>
        <v>CV. Adil Prima Perkasa</v>
      </c>
      <c r="F317" s="18" t="str">
        <f>IFERROR(__xludf.DUMMYFUNCTION("""COMPUTED_VALUE"""),"OPERATOR COMPACTOR")</f>
        <v>OPERATOR COMPACTOR</v>
      </c>
      <c r="G317" s="18" t="str">
        <f>IFERROR(__xludf.DUMMYFUNCTION("""COMPUTED_VALUE"""),"PRODUKSI")</f>
        <v>PRODUKSI</v>
      </c>
      <c r="H317" s="18" t="str">
        <f>IFERROR(__xludf.DUMMYFUNCTION("""COMPUTED_VALUE"""),"2023-11-30 05.44.16")</f>
        <v>2023-11-30 05.44.16</v>
      </c>
      <c r="I317" s="18" t="str">
        <f>IFERROR(__xludf.DUMMYFUNCTION("""COMPUTED_VALUE"""),"2023-11-30 05.44.16")</f>
        <v>2023-11-30 05.44.16</v>
      </c>
      <c r="J317" s="36"/>
      <c r="K317" s="37" t="str">
        <f t="shared" si="1"/>
        <v>[202201133] MARTHINUS</v>
      </c>
    </row>
    <row r="318">
      <c r="A318" s="17">
        <f>IFERROR(__xludf.DUMMYFUNCTION("""COMPUTED_VALUE"""),1.12211553E8)</f>
        <v>112211553</v>
      </c>
      <c r="B318" s="18" t="str">
        <f>IFERROR(__xludf.DUMMYFUNCTION("""COMPUTED_VALUE"""),"MARTINUS")</f>
        <v>MARTINUS</v>
      </c>
      <c r="C318" s="18">
        <f>IFERROR(__xludf.DUMMYFUNCTION("""COMPUTED_VALUE"""),49.0)</f>
        <v>49</v>
      </c>
      <c r="D318" s="35" t="str">
        <f>IFERROR(__xludf.DUMMYFUNCTION("""COMPUTED_VALUE"""),"Kristen Protestan")</f>
        <v>Kristen Protestan</v>
      </c>
      <c r="E318" s="18" t="str">
        <f>IFERROR(__xludf.DUMMYFUNCTION("""COMPUTED_VALUE"""),"CV. SENTOSA ABADI")</f>
        <v>CV. SENTOSA ABADI</v>
      </c>
      <c r="F318" s="18" t="str">
        <f>IFERROR(__xludf.DUMMYFUNCTION("""COMPUTED_VALUE"""),"OPERATOR COMPACTOR")</f>
        <v>OPERATOR COMPACTOR</v>
      </c>
      <c r="G318" s="18" t="str">
        <f>IFERROR(__xludf.DUMMYFUNCTION("""COMPUTED_VALUE"""),"PRODUKSI")</f>
        <v>PRODUKSI</v>
      </c>
      <c r="H318" s="18" t="str">
        <f>IFERROR(__xludf.DUMMYFUNCTION("""COMPUTED_VALUE"""),"2023-11-30 05.33.53")</f>
        <v>2023-11-30 05.33.53</v>
      </c>
      <c r="I318" s="18" t="str">
        <f>IFERROR(__xludf.DUMMYFUNCTION("""COMPUTED_VALUE"""),"2023-11-30 05.33.53")</f>
        <v>2023-11-30 05.33.53</v>
      </c>
      <c r="J318" s="36">
        <f>IFERROR(__xludf.DUMMYFUNCTION("""COMPUTED_VALUE"""),24067.0)</f>
        <v>24067</v>
      </c>
      <c r="K318" s="37" t="str">
        <f t="shared" si="1"/>
        <v>[112211553] MARTINUS</v>
      </c>
    </row>
    <row r="319">
      <c r="A319" s="17">
        <f>IFERROR(__xludf.DUMMYFUNCTION("""COMPUTED_VALUE"""),1.03231738E8)</f>
        <v>103231738</v>
      </c>
      <c r="B319" s="18" t="str">
        <f>IFERROR(__xludf.DUMMYFUNCTION("""COMPUTED_VALUE"""),"MARYA SUSAN SIMBANGU")</f>
        <v>MARYA SUSAN SIMBANGU</v>
      </c>
      <c r="C319" s="18">
        <f>IFERROR(__xludf.DUMMYFUNCTION("""COMPUTED_VALUE"""),30.0)</f>
        <v>30</v>
      </c>
      <c r="D319" s="35" t="str">
        <f>IFERROR(__xludf.DUMMYFUNCTION("""COMPUTED_VALUE"""),"Kristen Protestan")</f>
        <v>Kristen Protestan</v>
      </c>
      <c r="E319" s="18" t="str">
        <f>IFERROR(__xludf.DUMMYFUNCTION("""COMPUTED_VALUE"""),"CV. SENTOSA ABADI")</f>
        <v>CV. SENTOSA ABADI</v>
      </c>
      <c r="F319" s="18" t="str">
        <f>IFERROR(__xludf.DUMMYFUNCTION("""COMPUTED_VALUE"""),"HEAD OF STOCKER")</f>
        <v>HEAD OF STOCKER</v>
      </c>
      <c r="G319" s="18" t="str">
        <f>IFERROR(__xludf.DUMMYFUNCTION("""COMPUTED_VALUE"""),"HRD &amp; GA")</f>
        <v>HRD &amp; GA</v>
      </c>
      <c r="H319" s="18" t="str">
        <f>IFERROR(__xludf.DUMMYFUNCTION("""COMPUTED_VALUE"""),"2024-03-17 07.29.41")</f>
        <v>2024-03-17 07.29.41</v>
      </c>
      <c r="I319" s="18" t="str">
        <f>IFERROR(__xludf.DUMMYFUNCTION("""COMPUTED_VALUE"""),"2024-03-17 17.27.50")</f>
        <v>2024-03-17 17.27.50</v>
      </c>
      <c r="J319" s="36"/>
      <c r="K319" s="37" t="str">
        <f t="shared" si="1"/>
        <v>[103231738] MARYA SUSAN SIMBANGU</v>
      </c>
    </row>
    <row r="320">
      <c r="A320" s="17">
        <f>IFERROR(__xludf.DUMMYFUNCTION("""COMPUTED_VALUE"""),1.09231837E8)</f>
        <v>109231837</v>
      </c>
      <c r="B320" s="18" t="str">
        <f>IFERROR(__xludf.DUMMYFUNCTION("""COMPUTED_VALUE"""),"MAYKEL JULSINTO DEKE")</f>
        <v>MAYKEL JULSINTO DEKE</v>
      </c>
      <c r="C320" s="18">
        <f>IFERROR(__xludf.DUMMYFUNCTION("""COMPUTED_VALUE"""),26.0)</f>
        <v>26</v>
      </c>
      <c r="D320" s="35" t="str">
        <f>IFERROR(__xludf.DUMMYFUNCTION("""COMPUTED_VALUE"""),"Kristen Protestan")</f>
        <v>Kristen Protestan</v>
      </c>
      <c r="E320" s="18" t="str">
        <f>IFERROR(__xludf.DUMMYFUNCTION("""COMPUTED_VALUE"""),"CV. SENTOSA ABADI")</f>
        <v>CV. SENTOSA ABADI</v>
      </c>
      <c r="F320" s="18" t="str">
        <f>IFERROR(__xludf.DUMMYFUNCTION("""COMPUTED_VALUE"""),"DRIVER DT H500")</f>
        <v>DRIVER DT H500</v>
      </c>
      <c r="G320" s="18" t="str">
        <f>IFERROR(__xludf.DUMMYFUNCTION("""COMPUTED_VALUE"""),"KENDARAAN &amp; UNIT SUPPORT")</f>
        <v>KENDARAAN &amp; UNIT SUPPORT</v>
      </c>
      <c r="H320" s="18" t="str">
        <f>IFERROR(__xludf.DUMMYFUNCTION("""COMPUTED_VALUE"""),"2024-03-31 07.33.02")</f>
        <v>2024-03-31 07.33.02</v>
      </c>
      <c r="I320" s="18" t="str">
        <f>IFERROR(__xludf.DUMMYFUNCTION("""COMPUTED_VALUE"""),"2024-03-31 18.36.08")</f>
        <v>2024-03-31 18.36.08</v>
      </c>
      <c r="J320" s="36">
        <f>IFERROR(__xludf.DUMMYFUNCTION("""COMPUTED_VALUE"""),34839.0)</f>
        <v>34839</v>
      </c>
      <c r="K320" s="37" t="str">
        <f t="shared" si="1"/>
        <v>[109231837] MAYKEL JULSINTO DEKE</v>
      </c>
    </row>
    <row r="321">
      <c r="A321" s="17">
        <f>IFERROR(__xludf.DUMMYFUNCTION("""COMPUTED_VALUE"""),3.11200018E8)</f>
        <v>311200018</v>
      </c>
      <c r="B321" s="18" t="str">
        <f>IFERROR(__xludf.DUMMYFUNCTION("""COMPUTED_VALUE"""),"MELKHIOR TIPO")</f>
        <v>MELKHIOR TIPO</v>
      </c>
      <c r="C321" s="18">
        <f>IFERROR(__xludf.DUMMYFUNCTION("""COMPUTED_VALUE"""),40.0)</f>
        <v>40</v>
      </c>
      <c r="D321" s="35" t="str">
        <f>IFERROR(__xludf.DUMMYFUNCTION("""COMPUTED_VALUE"""),"Kristen Khatolik")</f>
        <v>Kristen Khatolik</v>
      </c>
      <c r="E321" s="18" t="str">
        <f>IFERROR(__xludf.DUMMYFUNCTION("""COMPUTED_VALUE"""),"CV. Monalisa")</f>
        <v>CV. Monalisa</v>
      </c>
      <c r="F321" s="18" t="str">
        <f>IFERROR(__xludf.DUMMYFUNCTION("""COMPUTED_VALUE"""),"OPERATOR BULLDOZER")</f>
        <v>OPERATOR BULLDOZER</v>
      </c>
      <c r="G321" s="18" t="str">
        <f>IFERROR(__xludf.DUMMYFUNCTION("""COMPUTED_VALUE"""),"PRODUKSI")</f>
        <v>PRODUKSI</v>
      </c>
      <c r="H321" s="18"/>
      <c r="I321" s="18"/>
      <c r="J321" s="36"/>
      <c r="K321" s="37" t="str">
        <f t="shared" si="1"/>
        <v/>
      </c>
    </row>
    <row r="322">
      <c r="A322" s="17">
        <f>IFERROR(__xludf.DUMMYFUNCTION("""COMPUTED_VALUE"""),2.04231749E8)</f>
        <v>204231749</v>
      </c>
      <c r="B322" s="18" t="str">
        <f>IFERROR(__xludf.DUMMYFUNCTION("""COMPUTED_VALUE"""),"MICHAEL JONAS THOMPSON FREDHYK KARUNDENG")</f>
        <v>MICHAEL JONAS THOMPSON FREDHYK KARUNDENG</v>
      </c>
      <c r="C322" s="18">
        <f>IFERROR(__xludf.DUMMYFUNCTION("""COMPUTED_VALUE"""),40.0)</f>
        <v>40</v>
      </c>
      <c r="D322" s="35" t="str">
        <f>IFERROR(__xludf.DUMMYFUNCTION("""COMPUTED_VALUE"""),"Kristen Khatolik")</f>
        <v>Kristen Khatolik</v>
      </c>
      <c r="E322" s="18" t="str">
        <f>IFERROR(__xludf.DUMMYFUNCTION("""COMPUTED_VALUE"""),"CV. Adil Prima Perkasa")</f>
        <v>CV. Adil Prima Perkasa</v>
      </c>
      <c r="F322" s="18" t="str">
        <f>IFERROR(__xludf.DUMMYFUNCTION("""COMPUTED_VALUE"""),"DRIVER DT H700ZS")</f>
        <v>DRIVER DT H700ZS</v>
      </c>
      <c r="G322" s="18" t="str">
        <f>IFERROR(__xludf.DUMMYFUNCTION("""COMPUTED_VALUE"""),"KENDARAAN &amp; UNIT SUPPORT")</f>
        <v>KENDARAAN &amp; UNIT SUPPORT</v>
      </c>
      <c r="H322" s="18" t="str">
        <f>IFERROR(__xludf.DUMMYFUNCTION("""COMPUTED_VALUE"""),"2024-03-31 04.58.56")</f>
        <v>2024-03-31 04.58.56</v>
      </c>
      <c r="I322" s="18" t="str">
        <f>IFERROR(__xludf.DUMMYFUNCTION("""COMPUTED_VALUE"""),"2024-03-31 04.58.56")</f>
        <v>2024-03-31 04.58.56</v>
      </c>
      <c r="J322" s="36">
        <f>IFERROR(__xludf.DUMMYFUNCTION("""COMPUTED_VALUE"""),31703.0)</f>
        <v>31703</v>
      </c>
      <c r="K322" s="37" t="str">
        <f t="shared" si="1"/>
        <v>[204231749] MICHAEL JONAS THOMPSON FREDHYK KARUNDENG</v>
      </c>
    </row>
    <row r="323">
      <c r="A323" s="17">
        <f>IFERROR(__xludf.DUMMYFUNCTION("""COMPUTED_VALUE"""),1.12201318E8)</f>
        <v>112201318</v>
      </c>
      <c r="B323" s="18" t="str">
        <f>IFERROR(__xludf.DUMMYFUNCTION("""COMPUTED_VALUE"""),"MIDUN HULOPI")</f>
        <v>MIDUN HULOPI</v>
      </c>
      <c r="C323" s="18">
        <f>IFERROR(__xludf.DUMMYFUNCTION("""COMPUTED_VALUE"""),48.0)</f>
        <v>48</v>
      </c>
      <c r="D323" s="35" t="str">
        <f>IFERROR(__xludf.DUMMYFUNCTION("""COMPUTED_VALUE"""),"Islam")</f>
        <v>Islam</v>
      </c>
      <c r="E323" s="18" t="str">
        <f>IFERROR(__xludf.DUMMYFUNCTION("""COMPUTED_VALUE"""),"CV. SENTOSA ABADI")</f>
        <v>CV. SENTOSA ABADI</v>
      </c>
      <c r="F323" s="18" t="str">
        <f>IFERROR(__xludf.DUMMYFUNCTION("""COMPUTED_VALUE"""),"DRIVER DT H700ZS")</f>
        <v>DRIVER DT H700ZS</v>
      </c>
      <c r="G323" s="18" t="str">
        <f>IFERROR(__xludf.DUMMYFUNCTION("""COMPUTED_VALUE"""),"KENDARAAN &amp; UNIT SUPPORT")</f>
        <v>KENDARAAN &amp; UNIT SUPPORT</v>
      </c>
      <c r="H323" s="18" t="str">
        <f>IFERROR(__xludf.DUMMYFUNCTION("""COMPUTED_VALUE"""),"2024-03-31 05.17.22")</f>
        <v>2024-03-31 05.17.22</v>
      </c>
      <c r="I323" s="18" t="str">
        <f>IFERROR(__xludf.DUMMYFUNCTION("""COMPUTED_VALUE"""),"2024-03-31 17.41.13")</f>
        <v>2024-03-31 17.41.13</v>
      </c>
      <c r="J323" s="36"/>
      <c r="K323" s="37" t="str">
        <f t="shared" si="1"/>
        <v>[112201318] MIDUN HULOPI</v>
      </c>
    </row>
    <row r="324">
      <c r="A324" s="17">
        <f>IFERROR(__xludf.DUMMYFUNCTION("""COMPUTED_VALUE"""),1.08160013E8)</f>
        <v>108160013</v>
      </c>
      <c r="B324" s="18" t="str">
        <f>IFERROR(__xludf.DUMMYFUNCTION("""COMPUTED_VALUE"""),"MIFTAHUDDIN, ST")</f>
        <v>MIFTAHUDDIN, ST</v>
      </c>
      <c r="C324" s="18">
        <f>IFERROR(__xludf.DUMMYFUNCTION("""COMPUTED_VALUE"""),43.0)</f>
        <v>43</v>
      </c>
      <c r="D324" s="35" t="str">
        <f>IFERROR(__xludf.DUMMYFUNCTION("""COMPUTED_VALUE"""),"Islam")</f>
        <v>Islam</v>
      </c>
      <c r="E324" s="18" t="str">
        <f>IFERROR(__xludf.DUMMYFUNCTION("""COMPUTED_VALUE"""),"CV. SENTOSA ABADI")</f>
        <v>CV. SENTOSA ABADI</v>
      </c>
      <c r="F324" s="18" t="str">
        <f>IFERROR(__xludf.DUMMYFUNCTION("""COMPUTED_VALUE"""),"FOREMAN PRODUKSI")</f>
        <v>FOREMAN PRODUKSI</v>
      </c>
      <c r="G324" s="18" t="str">
        <f>IFERROR(__xludf.DUMMYFUNCTION("""COMPUTED_VALUE"""),"PRODUKSI")</f>
        <v>PRODUKSI</v>
      </c>
      <c r="H324" s="18" t="str">
        <f>IFERROR(__xludf.DUMMYFUNCTION("""COMPUTED_VALUE"""),"2023-11-27 06.16.23")</f>
        <v>2023-11-27 06.16.23</v>
      </c>
      <c r="I324" s="18" t="str">
        <f>IFERROR(__xludf.DUMMYFUNCTION("""COMPUTED_VALUE"""),"2023-11-27 06.16.23")</f>
        <v>2023-11-27 06.16.23</v>
      </c>
      <c r="J324" s="36"/>
      <c r="K324" s="37" t="str">
        <f t="shared" si="1"/>
        <v>[108160013] MIFTAHUDDIN, ST</v>
      </c>
    </row>
    <row r="325">
      <c r="A325" s="17">
        <f>IFERROR(__xludf.DUMMYFUNCTION("""COMPUTED_VALUE"""),2.0219077E8)</f>
        <v>202190770</v>
      </c>
      <c r="B325" s="18" t="str">
        <f>IFERROR(__xludf.DUMMYFUNCTION("""COMPUTED_VALUE"""),"MILTO ASTEFANO MAGANIA")</f>
        <v>MILTO ASTEFANO MAGANIA</v>
      </c>
      <c r="C325" s="18">
        <f>IFERROR(__xludf.DUMMYFUNCTION("""COMPUTED_VALUE"""),32.0)</f>
        <v>32</v>
      </c>
      <c r="D325" s="35" t="str">
        <f>IFERROR(__xludf.DUMMYFUNCTION("""COMPUTED_VALUE"""),"Islam")</f>
        <v>Islam</v>
      </c>
      <c r="E325" s="18" t="str">
        <f>IFERROR(__xludf.DUMMYFUNCTION("""COMPUTED_VALUE"""),"CV. Adil Prima Perkasa")</f>
        <v>CV. Adil Prima Perkasa</v>
      </c>
      <c r="F325" s="18" t="str">
        <f>IFERROR(__xludf.DUMMYFUNCTION("""COMPUTED_VALUE"""),"OPERATOR BULLDOZER")</f>
        <v>OPERATOR BULLDOZER</v>
      </c>
      <c r="G325" s="18" t="str">
        <f>IFERROR(__xludf.DUMMYFUNCTION("""COMPUTED_VALUE"""),"PRODUKSI")</f>
        <v>PRODUKSI</v>
      </c>
      <c r="H325" s="18" t="str">
        <f>IFERROR(__xludf.DUMMYFUNCTION("""COMPUTED_VALUE"""),"2023-11-30 08.54.18")</f>
        <v>2023-11-30 08.54.18</v>
      </c>
      <c r="I325" s="18" t="str">
        <f>IFERROR(__xludf.DUMMYFUNCTION("""COMPUTED_VALUE"""),"2023-11-30 08.54.18")</f>
        <v>2023-11-30 08.54.18</v>
      </c>
      <c r="J325" s="36"/>
      <c r="K325" s="37" t="str">
        <f t="shared" si="1"/>
        <v>[202190770] MILTO ASTEFANO MAGANIA</v>
      </c>
    </row>
    <row r="326">
      <c r="A326" s="17">
        <f>IFERROR(__xludf.DUMMYFUNCTION("""COMPUTED_VALUE"""),1.04211387E8)</f>
        <v>104211387</v>
      </c>
      <c r="B326" s="18" t="str">
        <f>IFERROR(__xludf.DUMMYFUNCTION("""COMPUTED_VALUE"""),"MIRZAL")</f>
        <v>MIRZAL</v>
      </c>
      <c r="C326" s="18">
        <f>IFERROR(__xludf.DUMMYFUNCTION("""COMPUTED_VALUE"""),42.0)</f>
        <v>42</v>
      </c>
      <c r="D326" s="35" t="str">
        <f>IFERROR(__xludf.DUMMYFUNCTION("""COMPUTED_VALUE"""),"Islam")</f>
        <v>Islam</v>
      </c>
      <c r="E326" s="18" t="str">
        <f>IFERROR(__xludf.DUMMYFUNCTION("""COMPUTED_VALUE"""),"CV. SENTOSA ABADI")</f>
        <v>CV. SENTOSA ABADI</v>
      </c>
      <c r="F326" s="18" t="str">
        <f>IFERROR(__xludf.DUMMYFUNCTION("""COMPUTED_VALUE"""),"MEKANIK")</f>
        <v>MEKANIK</v>
      </c>
      <c r="G326" s="18" t="str">
        <f>IFERROR(__xludf.DUMMYFUNCTION("""COMPUTED_VALUE"""),"WORKSHOP")</f>
        <v>WORKSHOP</v>
      </c>
      <c r="H326" s="18" t="str">
        <f>IFERROR(__xludf.DUMMYFUNCTION("""COMPUTED_VALUE"""),"2023-12-30 07.00.00")</f>
        <v>2023-12-30 07.00.00</v>
      </c>
      <c r="I326" s="18" t="str">
        <f>IFERROR(__xludf.DUMMYFUNCTION("""COMPUTED_VALUE"""),"2023-12-30 18.20.41")</f>
        <v>2023-12-30 18.20.41</v>
      </c>
      <c r="J326" s="36"/>
      <c r="K326" s="37" t="str">
        <f t="shared" si="1"/>
        <v>[104211387] MIRZAL</v>
      </c>
    </row>
    <row r="327">
      <c r="A327" s="17">
        <f>IFERROR(__xludf.DUMMYFUNCTION("""COMPUTED_VALUE"""),1.10211507E8)</f>
        <v>110211507</v>
      </c>
      <c r="B327" s="18" t="str">
        <f>IFERROR(__xludf.DUMMYFUNCTION("""COMPUTED_VALUE"""),"MOCHAMMAD SOEBARQAH ANDI PASO")</f>
        <v>MOCHAMMAD SOEBARQAH ANDI PASO</v>
      </c>
      <c r="C327" s="18">
        <f>IFERROR(__xludf.DUMMYFUNCTION("""COMPUTED_VALUE"""),30.0)</f>
        <v>30</v>
      </c>
      <c r="D327" s="35" t="str">
        <f>IFERROR(__xludf.DUMMYFUNCTION("""COMPUTED_VALUE"""),"Islam")</f>
        <v>Islam</v>
      </c>
      <c r="E327" s="18" t="str">
        <f>IFERROR(__xludf.DUMMYFUNCTION("""COMPUTED_VALUE"""),"CV. SENTOSA ABADI")</f>
        <v>CV. SENTOSA ABADI</v>
      </c>
      <c r="F327" s="18" t="str">
        <f>IFERROR(__xludf.DUMMYFUNCTION("""COMPUTED_VALUE"""),"FOREMAN KENDARAAN")</f>
        <v>FOREMAN KENDARAAN</v>
      </c>
      <c r="G327" s="18" t="str">
        <f>IFERROR(__xludf.DUMMYFUNCTION("""COMPUTED_VALUE"""),"KENDARAAN &amp; UNIT SUPPORT")</f>
        <v>KENDARAAN &amp; UNIT SUPPORT</v>
      </c>
      <c r="H327" s="18" t="str">
        <f>IFERROR(__xludf.DUMMYFUNCTION("""COMPUTED_VALUE"""),"2024-03-31 08.29.03")</f>
        <v>2024-03-31 08.29.03</v>
      </c>
      <c r="I327" s="18" t="str">
        <f>IFERROR(__xludf.DUMMYFUNCTION("""COMPUTED_VALUE"""),"2024-03-31 08.48.21")</f>
        <v>2024-03-31 08.48.21</v>
      </c>
      <c r="J327" s="36"/>
      <c r="K327" s="37" t="str">
        <f t="shared" si="1"/>
        <v>[110211507] MOCHAMMAD SOEBARQAH ANDI PASO</v>
      </c>
    </row>
    <row r="328">
      <c r="A328" s="17">
        <f>IFERROR(__xludf.DUMMYFUNCTION("""COMPUTED_VALUE"""),2.08231815E8)</f>
        <v>208231815</v>
      </c>
      <c r="B328" s="18" t="str">
        <f>IFERROR(__xludf.DUMMYFUNCTION("""COMPUTED_VALUE"""),"MOH . KHOLIK FATUR RAHMAN")</f>
        <v>MOH . KHOLIK FATUR RAHMAN</v>
      </c>
      <c r="C328" s="18">
        <f>IFERROR(__xludf.DUMMYFUNCTION("""COMPUTED_VALUE"""),19.0)</f>
        <v>19</v>
      </c>
      <c r="D328" s="35" t="str">
        <f>IFERROR(__xludf.DUMMYFUNCTION("""COMPUTED_VALUE"""),"Islam")</f>
        <v>Islam</v>
      </c>
      <c r="E328" s="18" t="str">
        <f>IFERROR(__xludf.DUMMYFUNCTION("""COMPUTED_VALUE"""),"CV. Adil Prima Perkasa")</f>
        <v>CV. Adil Prima Perkasa</v>
      </c>
      <c r="F328" s="18" t="str">
        <f>IFERROR(__xludf.DUMMYFUNCTION("""COMPUTED_VALUE"""),"HELPER TYRE")</f>
        <v>HELPER TYRE</v>
      </c>
      <c r="G328" s="18" t="str">
        <f>IFERROR(__xludf.DUMMYFUNCTION("""COMPUTED_VALUE"""),"WORKSHOP")</f>
        <v>WORKSHOP</v>
      </c>
      <c r="H328" s="18" t="str">
        <f>IFERROR(__xludf.DUMMYFUNCTION("""COMPUTED_VALUE"""),"2023-11-29 22.32.15")</f>
        <v>2023-11-29 22.32.15</v>
      </c>
      <c r="I328" s="18" t="str">
        <f>IFERROR(__xludf.DUMMYFUNCTION("""COMPUTED_VALUE"""),"2023-11-29 22.32.15")</f>
        <v>2023-11-29 22.32.15</v>
      </c>
      <c r="J328" s="36"/>
      <c r="K328" s="37" t="str">
        <f t="shared" si="1"/>
        <v>[208231815] MOH . KHOLIK FATUR RAHMAN</v>
      </c>
    </row>
    <row r="329">
      <c r="A329" s="17"/>
      <c r="B329" s="18" t="str">
        <f>IFERROR(__xludf.DUMMYFUNCTION("""COMPUTED_VALUE"""),"MOH ALDIN")</f>
        <v>MOH ALDIN</v>
      </c>
      <c r="C329" s="18">
        <f>IFERROR(__xludf.DUMMYFUNCTION("""COMPUTED_VALUE"""),0.0)</f>
        <v>0</v>
      </c>
      <c r="D329" s="35"/>
      <c r="E329" s="18" t="str">
        <f>IFERROR(__xludf.DUMMYFUNCTION("""COMPUTED_VALUE"""),"CV. SENTOSA ABADI")</f>
        <v>CV. SENTOSA ABADI</v>
      </c>
      <c r="F329" s="18" t="str">
        <f>IFERROR(__xludf.DUMMYFUNCTION("""COMPUTED_VALUE"""),"FALSE")</f>
        <v>FALSE</v>
      </c>
      <c r="G329" s="18" t="str">
        <f>IFERROR(__xludf.DUMMYFUNCTION("""COMPUTED_VALUE"""),"FALSE")</f>
        <v>FALSE</v>
      </c>
      <c r="H329" s="18"/>
      <c r="I329" s="18"/>
      <c r="J329" s="36"/>
      <c r="K329" s="37" t="str">
        <f t="shared" si="1"/>
        <v/>
      </c>
    </row>
    <row r="330">
      <c r="A330" s="17">
        <f>IFERROR(__xludf.DUMMYFUNCTION("""COMPUTED_VALUE"""),2.0524192E8)</f>
        <v>205241920</v>
      </c>
      <c r="B330" s="18" t="str">
        <f>IFERROR(__xludf.DUMMYFUNCTION("""COMPUTED_VALUE"""),"MOH FEBRIANSYAH")</f>
        <v>MOH FEBRIANSYAH</v>
      </c>
      <c r="C330" s="18">
        <f>IFERROR(__xludf.DUMMYFUNCTION("""COMPUTED_VALUE"""),0.0)</f>
        <v>0</v>
      </c>
      <c r="D330" s="35"/>
      <c r="E330" s="18" t="str">
        <f>IFERROR(__xludf.DUMMYFUNCTION("""COMPUTED_VALUE"""),"CV. Adil Prima Perkasa")</f>
        <v>CV. Adil Prima Perkasa</v>
      </c>
      <c r="F330" s="18" t="str">
        <f>IFERROR(__xludf.DUMMYFUNCTION("""COMPUTED_VALUE"""),"HELPER TYRE")</f>
        <v>HELPER TYRE</v>
      </c>
      <c r="G330" s="18" t="str">
        <f>IFERROR(__xludf.DUMMYFUNCTION("""COMPUTED_VALUE"""),"WORKSHOP")</f>
        <v>WORKSHOP</v>
      </c>
      <c r="H330" s="18"/>
      <c r="I330" s="18"/>
      <c r="J330" s="36"/>
      <c r="K330" s="37" t="str">
        <f t="shared" si="1"/>
        <v/>
      </c>
    </row>
    <row r="331">
      <c r="A331" s="17">
        <f>IFERROR(__xludf.DUMMYFUNCTION("""COMPUTED_VALUE"""),2.06221645E8)</f>
        <v>206221645</v>
      </c>
      <c r="B331" s="18" t="str">
        <f>IFERROR(__xludf.DUMMYFUNCTION("""COMPUTED_VALUE"""),"MOH. FARDIANSAH")</f>
        <v>MOH. FARDIANSAH</v>
      </c>
      <c r="C331" s="18">
        <f>IFERROR(__xludf.DUMMYFUNCTION("""COMPUTED_VALUE"""),26.0)</f>
        <v>26</v>
      </c>
      <c r="D331" s="35" t="str">
        <f>IFERROR(__xludf.DUMMYFUNCTION("""COMPUTED_VALUE"""),"Islam")</f>
        <v>Islam</v>
      </c>
      <c r="E331" s="18" t="str">
        <f>IFERROR(__xludf.DUMMYFUNCTION("""COMPUTED_VALUE"""),"CV. Adil Prima Perkasa")</f>
        <v>CV. Adil Prima Perkasa</v>
      </c>
      <c r="F331" s="18" t="str">
        <f>IFERROR(__xludf.DUMMYFUNCTION("""COMPUTED_VALUE"""),"ASISTEN FOREMAN KENDARAAN")</f>
        <v>ASISTEN FOREMAN KENDARAAN</v>
      </c>
      <c r="G331" s="18" t="str">
        <f>IFERROR(__xludf.DUMMYFUNCTION("""COMPUTED_VALUE"""),"KENDARAAN &amp; UNIT SUPPORT")</f>
        <v>KENDARAAN &amp; UNIT SUPPORT</v>
      </c>
      <c r="H331" s="18" t="str">
        <f>IFERROR(__xludf.DUMMYFUNCTION("""COMPUTED_VALUE"""),"2024-03-31 08.51.53")</f>
        <v>2024-03-31 08.51.53</v>
      </c>
      <c r="I331" s="18" t="str">
        <f>IFERROR(__xludf.DUMMYFUNCTION("""COMPUTED_VALUE"""),"2024-03-31 23.14.42")</f>
        <v>2024-03-31 23.14.42</v>
      </c>
      <c r="J331" s="36"/>
      <c r="K331" s="37" t="str">
        <f t="shared" si="1"/>
        <v>[206221645] MOH. FARDIANSAH</v>
      </c>
    </row>
    <row r="332">
      <c r="A332" s="17">
        <f>IFERROR(__xludf.DUMMYFUNCTION("""COMPUTED_VALUE"""),2.12211548E8)</f>
        <v>212211548</v>
      </c>
      <c r="B332" s="18" t="str">
        <f>IFERROR(__xludf.DUMMYFUNCTION("""COMPUTED_VALUE"""),"MOH. RAMADHAN")</f>
        <v>MOH. RAMADHAN</v>
      </c>
      <c r="C332" s="18">
        <f>IFERROR(__xludf.DUMMYFUNCTION("""COMPUTED_VALUE"""),34.0)</f>
        <v>34</v>
      </c>
      <c r="D332" s="35" t="str">
        <f>IFERROR(__xludf.DUMMYFUNCTION("""COMPUTED_VALUE"""),"Islam")</f>
        <v>Islam</v>
      </c>
      <c r="E332" s="18" t="str">
        <f>IFERROR(__xludf.DUMMYFUNCTION("""COMPUTED_VALUE"""),"CV. Adil Prima Perkasa")</f>
        <v>CV. Adil Prima Perkasa</v>
      </c>
      <c r="F332" s="18" t="str">
        <f>IFERROR(__xludf.DUMMYFUNCTION("""COMPUTED_VALUE"""),"DRIVER DT H700ZY")</f>
        <v>DRIVER DT H700ZY</v>
      </c>
      <c r="G332" s="18" t="str">
        <f>IFERROR(__xludf.DUMMYFUNCTION("""COMPUTED_VALUE"""),"KENDARAAN &amp; UNIT SUPPORT")</f>
        <v>KENDARAAN &amp; UNIT SUPPORT</v>
      </c>
      <c r="H332" s="18" t="str">
        <f>IFERROR(__xludf.DUMMYFUNCTION("""COMPUTED_VALUE"""),"2024-03-31 07.13.25")</f>
        <v>2024-03-31 07.13.25</v>
      </c>
      <c r="I332" s="18" t="str">
        <f>IFERROR(__xludf.DUMMYFUNCTION("""COMPUTED_VALUE"""),"2024-03-31 16.37.48")</f>
        <v>2024-03-31 16.37.48</v>
      </c>
      <c r="J332" s="36"/>
      <c r="K332" s="37" t="str">
        <f t="shared" si="1"/>
        <v>[212211548] MOH. RAMADHAN</v>
      </c>
    </row>
    <row r="333">
      <c r="A333" s="17">
        <f>IFERROR(__xludf.DUMMYFUNCTION("""COMPUTED_VALUE"""),2.11231852E8)</f>
        <v>211231852</v>
      </c>
      <c r="B333" s="18" t="str">
        <f>IFERROR(__xludf.DUMMYFUNCTION("""COMPUTED_VALUE"""),"MOH. RIZKI L.")</f>
        <v>MOH. RIZKI L.</v>
      </c>
      <c r="C333" s="18">
        <f>IFERROR(__xludf.DUMMYFUNCTION("""COMPUTED_VALUE"""),23.0)</f>
        <v>23</v>
      </c>
      <c r="D333" s="35" t="str">
        <f>IFERROR(__xludf.DUMMYFUNCTION("""COMPUTED_VALUE"""),"Islam")</f>
        <v>Islam</v>
      </c>
      <c r="E333" s="18" t="str">
        <f>IFERROR(__xludf.DUMMYFUNCTION("""COMPUTED_VALUE"""),"CV. Adil Prima Perkasa")</f>
        <v>CV. Adil Prima Perkasa</v>
      </c>
      <c r="F333" s="18" t="str">
        <f>IFERROR(__xludf.DUMMYFUNCTION("""COMPUTED_VALUE"""),"FALSE")</f>
        <v>FALSE</v>
      </c>
      <c r="G333" s="18" t="str">
        <f>IFERROR(__xludf.DUMMYFUNCTION("""COMPUTED_VALUE"""),"KENDARAAN &amp; UNIT SUPPORT")</f>
        <v>KENDARAAN &amp; UNIT SUPPORT</v>
      </c>
      <c r="H333" s="18" t="str">
        <f>IFERROR(__xludf.DUMMYFUNCTION("""COMPUTED_VALUE"""),"2023-11-30 06.31.01")</f>
        <v>2023-11-30 06.31.01</v>
      </c>
      <c r="I333" s="18" t="str">
        <f>IFERROR(__xludf.DUMMYFUNCTION("""COMPUTED_VALUE"""),"2023-11-30 18.03.41")</f>
        <v>2023-11-30 18.03.41</v>
      </c>
      <c r="J333" s="36"/>
      <c r="K333" s="37" t="str">
        <f t="shared" si="1"/>
        <v>[211231852] MOH. RIZKI L.</v>
      </c>
    </row>
    <row r="334">
      <c r="A334" s="17">
        <f>IFERROR(__xludf.DUMMYFUNCTION("""COMPUTED_VALUE"""),2.08231818E8)</f>
        <v>208231818</v>
      </c>
      <c r="B334" s="18" t="str">
        <f>IFERROR(__xludf.DUMMYFUNCTION("""COMPUTED_VALUE"""),"MOHAMMAD RUDITO WIDAGDO")</f>
        <v>MOHAMMAD RUDITO WIDAGDO</v>
      </c>
      <c r="C334" s="18">
        <f>IFERROR(__xludf.DUMMYFUNCTION("""COMPUTED_VALUE"""),49.0)</f>
        <v>49</v>
      </c>
      <c r="D334" s="35" t="str">
        <f>IFERROR(__xludf.DUMMYFUNCTION("""COMPUTED_VALUE"""),"Islam")</f>
        <v>Islam</v>
      </c>
      <c r="E334" s="18" t="str">
        <f>IFERROR(__xludf.DUMMYFUNCTION("""COMPUTED_VALUE"""),"CV. Adil Prima Perkasa")</f>
        <v>CV. Adil Prima Perkasa</v>
      </c>
      <c r="F334" s="18" t="str">
        <f>IFERROR(__xludf.DUMMYFUNCTION("""COMPUTED_VALUE"""),"DEPUTY PM SUPPORT")</f>
        <v>DEPUTY PM SUPPORT</v>
      </c>
      <c r="G334" s="18" t="str">
        <f>IFERROR(__xludf.DUMMYFUNCTION("""COMPUTED_VALUE"""),"PROJECT MANAGER")</f>
        <v>PROJECT MANAGER</v>
      </c>
      <c r="H334" s="18" t="str">
        <f>IFERROR(__xludf.DUMMYFUNCTION("""COMPUTED_VALUE"""),"2023-11-30 06.50.02")</f>
        <v>2023-11-30 06.50.02</v>
      </c>
      <c r="I334" s="18" t="str">
        <f>IFERROR(__xludf.DUMMYFUNCTION("""COMPUTED_VALUE"""),"2023-11-30 20.03.51")</f>
        <v>2023-11-30 20.03.51</v>
      </c>
      <c r="J334" s="36"/>
      <c r="K334" s="37" t="str">
        <f t="shared" si="1"/>
        <v>[208231818] MOHAMMAD RUDITO WIDAGDO</v>
      </c>
    </row>
    <row r="335">
      <c r="A335" s="17">
        <f>IFERROR(__xludf.DUMMYFUNCTION("""COMPUTED_VALUE"""),2.10170666E8)</f>
        <v>210170666</v>
      </c>
      <c r="B335" s="18" t="str">
        <f>IFERROR(__xludf.DUMMYFUNCTION("""COMPUTED_VALUE"""),"MOSES ALO")</f>
        <v>MOSES ALO</v>
      </c>
      <c r="C335" s="18">
        <f>IFERROR(__xludf.DUMMYFUNCTION("""COMPUTED_VALUE"""),35.0)</f>
        <v>35</v>
      </c>
      <c r="D335" s="35" t="str">
        <f>IFERROR(__xludf.DUMMYFUNCTION("""COMPUTED_VALUE"""),"Kristen Protestan")</f>
        <v>Kristen Protestan</v>
      </c>
      <c r="E335" s="18" t="str">
        <f>IFERROR(__xludf.DUMMYFUNCTION("""COMPUTED_VALUE"""),"CV. Adil Prima Perkasa")</f>
        <v>CV. Adil Prima Perkasa</v>
      </c>
      <c r="F335" s="18" t="str">
        <f>IFERROR(__xludf.DUMMYFUNCTION("""COMPUTED_VALUE"""),"FOREMAN PRODUKSI")</f>
        <v>FOREMAN PRODUKSI</v>
      </c>
      <c r="G335" s="18" t="str">
        <f>IFERROR(__xludf.DUMMYFUNCTION("""COMPUTED_VALUE"""),"PRODUKSI")</f>
        <v>PRODUKSI</v>
      </c>
      <c r="H335" s="18" t="str">
        <f>IFERROR(__xludf.DUMMYFUNCTION("""COMPUTED_VALUE"""),"2023-11-30 13.57.09")</f>
        <v>2023-11-30 13.57.09</v>
      </c>
      <c r="I335" s="18" t="str">
        <f>IFERROR(__xludf.DUMMYFUNCTION("""COMPUTED_VALUE"""),"2023-11-30 17.42.49")</f>
        <v>2023-11-30 17.42.49</v>
      </c>
      <c r="J335" s="36">
        <f>IFERROR(__xludf.DUMMYFUNCTION("""COMPUTED_VALUE"""),33127.0)</f>
        <v>33127</v>
      </c>
      <c r="K335" s="37" t="str">
        <f t="shared" si="1"/>
        <v>[210170666] MOSES ALO</v>
      </c>
    </row>
    <row r="336">
      <c r="A336" s="17">
        <f>IFERROR(__xludf.DUMMYFUNCTION("""COMPUTED_VALUE"""),1.10231842E8)</f>
        <v>110231842</v>
      </c>
      <c r="B336" s="18" t="str">
        <f>IFERROR(__xludf.DUMMYFUNCTION("""COMPUTED_VALUE"""),"MUCHLIS")</f>
        <v>MUCHLIS</v>
      </c>
      <c r="C336" s="18">
        <f>IFERROR(__xludf.DUMMYFUNCTION("""COMPUTED_VALUE"""),42.0)</f>
        <v>42</v>
      </c>
      <c r="D336" s="35" t="str">
        <f>IFERROR(__xludf.DUMMYFUNCTION("""COMPUTED_VALUE"""),"Islam")</f>
        <v>Islam</v>
      </c>
      <c r="E336" s="18" t="str">
        <f>IFERROR(__xludf.DUMMYFUNCTION("""COMPUTED_VALUE"""),"CV. SENTOSA ABADI")</f>
        <v>CV. SENTOSA ABADI</v>
      </c>
      <c r="F336" s="18" t="str">
        <f>IFERROR(__xludf.DUMMYFUNCTION("""COMPUTED_VALUE"""),"DRIVER DT H500")</f>
        <v>DRIVER DT H500</v>
      </c>
      <c r="G336" s="18" t="str">
        <f>IFERROR(__xludf.DUMMYFUNCTION("""COMPUTED_VALUE"""),"KENDARAAN &amp; UNIT SUPPORT")</f>
        <v>KENDARAAN &amp; UNIT SUPPORT</v>
      </c>
      <c r="H336" s="18" t="str">
        <f>IFERROR(__xludf.DUMMYFUNCTION("""COMPUTED_VALUE"""),"2024-03-31 05.54.35")</f>
        <v>2024-03-31 05.54.35</v>
      </c>
      <c r="I336" s="18" t="str">
        <f>IFERROR(__xludf.DUMMYFUNCTION("""COMPUTED_VALUE"""),"2024-03-31 05.54.35")</f>
        <v>2024-03-31 05.54.35</v>
      </c>
      <c r="J336" s="36">
        <f>IFERROR(__xludf.DUMMYFUNCTION("""COMPUTED_VALUE"""),30599.0)</f>
        <v>30599</v>
      </c>
      <c r="K336" s="37" t="str">
        <f t="shared" si="1"/>
        <v>[110231842] MUCHLIS</v>
      </c>
    </row>
    <row r="337">
      <c r="A337" s="17">
        <f>IFERROR(__xludf.DUMMYFUNCTION("""COMPUTED_VALUE"""),1.10211511E8)</f>
        <v>110211511</v>
      </c>
      <c r="B337" s="18" t="str">
        <f>IFERROR(__xludf.DUMMYFUNCTION("""COMPUTED_VALUE"""),"MUCHLIS JAMALUDDIN")</f>
        <v>MUCHLIS JAMALUDDIN</v>
      </c>
      <c r="C337" s="18">
        <f>IFERROR(__xludf.DUMMYFUNCTION("""COMPUTED_VALUE"""),40.0)</f>
        <v>40</v>
      </c>
      <c r="D337" s="35" t="str">
        <f>IFERROR(__xludf.DUMMYFUNCTION("""COMPUTED_VALUE"""),"Islam")</f>
        <v>Islam</v>
      </c>
      <c r="E337" s="18" t="str">
        <f>IFERROR(__xludf.DUMMYFUNCTION("""COMPUTED_VALUE"""),"CV. SENTOSA ABADI")</f>
        <v>CV. SENTOSA ABADI</v>
      </c>
      <c r="F337" s="18" t="str">
        <f>IFERROR(__xludf.DUMMYFUNCTION("""COMPUTED_VALUE"""),"DRIVER DT H700ZY")</f>
        <v>DRIVER DT H700ZY</v>
      </c>
      <c r="G337" s="18" t="str">
        <f>IFERROR(__xludf.DUMMYFUNCTION("""COMPUTED_VALUE"""),"KENDARAAN &amp; UNIT SUPPORT")</f>
        <v>KENDARAAN &amp; UNIT SUPPORT</v>
      </c>
      <c r="H337" s="18" t="str">
        <f>IFERROR(__xludf.DUMMYFUNCTION("""COMPUTED_VALUE"""),"2023-11-30 07.34.43")</f>
        <v>2023-11-30 07.34.43</v>
      </c>
      <c r="I337" s="18" t="str">
        <f>IFERROR(__xludf.DUMMYFUNCTION("""COMPUTED_VALUE"""),"2023-11-30 07.34.43")</f>
        <v>2023-11-30 07.34.43</v>
      </c>
      <c r="J337" s="36"/>
      <c r="K337" s="37" t="str">
        <f t="shared" si="1"/>
        <v>[110211511] MUCHLIS JAMALUDDIN</v>
      </c>
    </row>
    <row r="338">
      <c r="A338" s="17">
        <f>IFERROR(__xludf.DUMMYFUNCTION("""COMPUTED_VALUE"""),2.03241902E8)</f>
        <v>203241902</v>
      </c>
      <c r="B338" s="18" t="str">
        <f>IFERROR(__xludf.DUMMYFUNCTION("""COMPUTED_VALUE"""),"MUH ARIF")</f>
        <v>MUH ARIF</v>
      </c>
      <c r="C338" s="18">
        <f>IFERROR(__xludf.DUMMYFUNCTION("""COMPUTED_VALUE"""),0.0)</f>
        <v>0</v>
      </c>
      <c r="D338" s="35"/>
      <c r="E338" s="18" t="str">
        <f>IFERROR(__xludf.DUMMYFUNCTION("""COMPUTED_VALUE"""),"CV. Adil Prima Perkasa")</f>
        <v>CV. Adil Prima Perkasa</v>
      </c>
      <c r="F338" s="18" t="str">
        <f>IFERROR(__xludf.DUMMYFUNCTION("""COMPUTED_VALUE"""),"HELPER TYRE")</f>
        <v>HELPER TYRE</v>
      </c>
      <c r="G338" s="18" t="str">
        <f>IFERROR(__xludf.DUMMYFUNCTION("""COMPUTED_VALUE"""),"FALSE")</f>
        <v>FALSE</v>
      </c>
      <c r="H338" s="18"/>
      <c r="I338" s="18"/>
      <c r="J338" s="36"/>
      <c r="K338" s="37" t="str">
        <f t="shared" si="1"/>
        <v/>
      </c>
    </row>
    <row r="339">
      <c r="A339" s="17">
        <f>IFERROR(__xludf.DUMMYFUNCTION("""COMPUTED_VALUE"""),2.0523177E8)</f>
        <v>205231770</v>
      </c>
      <c r="B339" s="18" t="str">
        <f>IFERROR(__xludf.DUMMYFUNCTION("""COMPUTED_VALUE"""),"MUH ARIF DG NOMBONG")</f>
        <v>MUH ARIF DG NOMBONG</v>
      </c>
      <c r="C339" s="18">
        <f>IFERROR(__xludf.DUMMYFUNCTION("""COMPUTED_VALUE"""),41.0)</f>
        <v>41</v>
      </c>
      <c r="D339" s="35" t="str">
        <f>IFERROR(__xludf.DUMMYFUNCTION("""COMPUTED_VALUE"""),"Islam")</f>
        <v>Islam</v>
      </c>
      <c r="E339" s="18" t="str">
        <f>IFERROR(__xludf.DUMMYFUNCTION("""COMPUTED_VALUE"""),"CV. Adil Prima Perkasa")</f>
        <v>CV. Adil Prima Perkasa</v>
      </c>
      <c r="F339" s="18" t="str">
        <f>IFERROR(__xludf.DUMMYFUNCTION("""COMPUTED_VALUE"""),"OPERATOR ADT")</f>
        <v>OPERATOR ADT</v>
      </c>
      <c r="G339" s="18" t="str">
        <f>IFERROR(__xludf.DUMMYFUNCTION("""COMPUTED_VALUE"""),"PRODUKSI")</f>
        <v>PRODUKSI</v>
      </c>
      <c r="H339" s="18" t="str">
        <f>IFERROR(__xludf.DUMMYFUNCTION("""COMPUTED_VALUE"""),"2023-11-30 17.15.21")</f>
        <v>2023-11-30 17.15.21</v>
      </c>
      <c r="I339" s="18" t="str">
        <f>IFERROR(__xludf.DUMMYFUNCTION("""COMPUTED_VALUE"""),"2023-11-30 17.15.21")</f>
        <v>2023-11-30 17.15.21</v>
      </c>
      <c r="J339" s="36"/>
      <c r="K339" s="37" t="str">
        <f t="shared" si="1"/>
        <v>[205231770] MUH ARIF DG NOMBONG</v>
      </c>
    </row>
    <row r="340">
      <c r="A340" s="17">
        <f>IFERROR(__xludf.DUMMYFUNCTION("""COMPUTED_VALUE"""),2.01221568E8)</f>
        <v>201221568</v>
      </c>
      <c r="B340" s="18" t="str">
        <f>IFERROR(__xludf.DUMMYFUNCTION("""COMPUTED_VALUE"""),"MUH IQRAM NUR")</f>
        <v>MUH IQRAM NUR</v>
      </c>
      <c r="C340" s="18">
        <f>IFERROR(__xludf.DUMMYFUNCTION("""COMPUTED_VALUE"""),25.0)</f>
        <v>25</v>
      </c>
      <c r="D340" s="35" t="str">
        <f>IFERROR(__xludf.DUMMYFUNCTION("""COMPUTED_VALUE"""),"Islam")</f>
        <v>Islam</v>
      </c>
      <c r="E340" s="18" t="str">
        <f>IFERROR(__xludf.DUMMYFUNCTION("""COMPUTED_VALUE"""),"CV. Adil Prima Perkasa")</f>
        <v>CV. Adil Prima Perkasa</v>
      </c>
      <c r="F340" s="18" t="str">
        <f>IFERROR(__xludf.DUMMYFUNCTION("""COMPUTED_VALUE"""),"DRIVER DT H700ZS")</f>
        <v>DRIVER DT H700ZS</v>
      </c>
      <c r="G340" s="18" t="str">
        <f>IFERROR(__xludf.DUMMYFUNCTION("""COMPUTED_VALUE"""),"KENDARAAN &amp; UNIT SUPPORT")</f>
        <v>KENDARAAN &amp; UNIT SUPPORT</v>
      </c>
      <c r="H340" s="18" t="str">
        <f>IFERROR(__xludf.DUMMYFUNCTION("""COMPUTED_VALUE"""),"2023-08-28 06.26.03")</f>
        <v>2023-08-28 06.26.03</v>
      </c>
      <c r="I340" s="18" t="str">
        <f>IFERROR(__xludf.DUMMYFUNCTION("""COMPUTED_VALUE"""),"2023-08-28 06.26.03")</f>
        <v>2023-08-28 06.26.03</v>
      </c>
      <c r="J340" s="36"/>
      <c r="K340" s="37" t="str">
        <f t="shared" si="1"/>
        <v>[201221568] MUH IQRAM NUR</v>
      </c>
    </row>
    <row r="341">
      <c r="A341" s="17">
        <f>IFERROR(__xludf.DUMMYFUNCTION("""COMPUTED_VALUE"""),2.05241924E8)</f>
        <v>205241924</v>
      </c>
      <c r="B341" s="18" t="str">
        <f>IFERROR(__xludf.DUMMYFUNCTION("""COMPUTED_VALUE"""),"MUH SYAFAAT")</f>
        <v>MUH SYAFAAT</v>
      </c>
      <c r="C341" s="18">
        <f>IFERROR(__xludf.DUMMYFUNCTION("""COMPUTED_VALUE"""),29.0)</f>
        <v>29</v>
      </c>
      <c r="D341" s="35" t="str">
        <f>IFERROR(__xludf.DUMMYFUNCTION("""COMPUTED_VALUE"""),"Islam")</f>
        <v>Islam</v>
      </c>
      <c r="E341" s="18" t="str">
        <f>IFERROR(__xludf.DUMMYFUNCTION("""COMPUTED_VALUE"""),"CV. Adil Prima Perkasa")</f>
        <v>CV. Adil Prima Perkasa</v>
      </c>
      <c r="F341" s="18" t="str">
        <f>IFERROR(__xludf.DUMMYFUNCTION("""COMPUTED_VALUE"""),"HELPER TYRE")</f>
        <v>HELPER TYRE</v>
      </c>
      <c r="G341" s="18" t="str">
        <f>IFERROR(__xludf.DUMMYFUNCTION("""COMPUTED_VALUE"""),"WORKSHOP")</f>
        <v>WORKSHOP</v>
      </c>
      <c r="H341" s="18"/>
      <c r="I341" s="18"/>
      <c r="J341" s="36"/>
      <c r="K341" s="37" t="str">
        <f t="shared" si="1"/>
        <v/>
      </c>
    </row>
    <row r="342">
      <c r="A342" s="17">
        <f>IFERROR(__xludf.DUMMYFUNCTION("""COMPUTED_VALUE"""),1.10211521E8)</f>
        <v>110211521</v>
      </c>
      <c r="B342" s="18" t="str">
        <f>IFERROR(__xludf.DUMMYFUNCTION("""COMPUTED_VALUE"""),"MUH TAUFIK PARINGKUAN")</f>
        <v>MUH TAUFIK PARINGKUAN</v>
      </c>
      <c r="C342" s="18">
        <f>IFERROR(__xludf.DUMMYFUNCTION("""COMPUTED_VALUE"""),24.0)</f>
        <v>24</v>
      </c>
      <c r="D342" s="35" t="str">
        <f>IFERROR(__xludf.DUMMYFUNCTION("""COMPUTED_VALUE"""),"Islam")</f>
        <v>Islam</v>
      </c>
      <c r="E342" s="18" t="str">
        <f>IFERROR(__xludf.DUMMYFUNCTION("""COMPUTED_VALUE"""),"CV. SENTOSA ABADI")</f>
        <v>CV. SENTOSA ABADI</v>
      </c>
      <c r="F342" s="18" t="str">
        <f>IFERROR(__xludf.DUMMYFUNCTION("""COMPUTED_VALUE"""),"HELPER MECHANIC MAINTENANCE")</f>
        <v>HELPER MECHANIC MAINTENANCE</v>
      </c>
      <c r="G342" s="18" t="str">
        <f>IFERROR(__xludf.DUMMYFUNCTION("""COMPUTED_VALUE"""),"WORKSHOP")</f>
        <v>WORKSHOP</v>
      </c>
      <c r="H342" s="18" t="str">
        <f>IFERROR(__xludf.DUMMYFUNCTION("""COMPUTED_VALUE"""),"2023-11-30 05.48.17")</f>
        <v>2023-11-30 05.48.17</v>
      </c>
      <c r="I342" s="18" t="str">
        <f>IFERROR(__xludf.DUMMYFUNCTION("""COMPUTED_VALUE"""),"2023-11-30 18.45.12")</f>
        <v>2023-11-30 18.45.12</v>
      </c>
      <c r="J342" s="36"/>
      <c r="K342" s="37" t="str">
        <f t="shared" si="1"/>
        <v>[110211521] MUH TAUFIK PARINGKUAN</v>
      </c>
    </row>
    <row r="343">
      <c r="A343" s="17">
        <f>IFERROR(__xludf.DUMMYFUNCTION("""COMPUTED_VALUE"""),2.10201263E8)</f>
        <v>210201263</v>
      </c>
      <c r="B343" s="18" t="str">
        <f>IFERROR(__xludf.DUMMYFUNCTION("""COMPUTED_VALUE"""),"MUH. ALDI RIFALDI")</f>
        <v>MUH. ALDI RIFALDI</v>
      </c>
      <c r="C343" s="18">
        <f>IFERROR(__xludf.DUMMYFUNCTION("""COMPUTED_VALUE"""),29.0)</f>
        <v>29</v>
      </c>
      <c r="D343" s="35" t="str">
        <f>IFERROR(__xludf.DUMMYFUNCTION("""COMPUTED_VALUE"""),"Islam")</f>
        <v>Islam</v>
      </c>
      <c r="E343" s="18" t="str">
        <f>IFERROR(__xludf.DUMMYFUNCTION("""COMPUTED_VALUE"""),"CV. Adil Prima Perkasa")</f>
        <v>CV. Adil Prima Perkasa</v>
      </c>
      <c r="F343" s="18" t="str">
        <f>IFERROR(__xludf.DUMMYFUNCTION("""COMPUTED_VALUE"""),"DRIVER LV")</f>
        <v>DRIVER LV</v>
      </c>
      <c r="G343" s="18" t="str">
        <f>IFERROR(__xludf.DUMMYFUNCTION("""COMPUTED_VALUE"""),"KENDARAAN &amp; UNIT SUPPORT")</f>
        <v>KENDARAAN &amp; UNIT SUPPORT</v>
      </c>
      <c r="H343" s="18" t="str">
        <f>IFERROR(__xludf.DUMMYFUNCTION("""COMPUTED_VALUE"""),"2024-03-31 06.58.29")</f>
        <v>2024-03-31 06.58.29</v>
      </c>
      <c r="I343" s="18" t="str">
        <f>IFERROR(__xludf.DUMMYFUNCTION("""COMPUTED_VALUE"""),"2024-03-31 20.13.33")</f>
        <v>2024-03-31 20.13.33</v>
      </c>
      <c r="J343" s="36"/>
      <c r="K343" s="37" t="str">
        <f t="shared" si="1"/>
        <v>[210201263] MUH. ALDI RIFALDI</v>
      </c>
    </row>
    <row r="344">
      <c r="A344" s="17">
        <f>IFERROR(__xludf.DUMMYFUNCTION("""COMPUTED_VALUE"""),1.07190982E8)</f>
        <v>107190982</v>
      </c>
      <c r="B344" s="18" t="str">
        <f>IFERROR(__xludf.DUMMYFUNCTION("""COMPUTED_VALUE"""),"MUH. BASRI")</f>
        <v>MUH. BASRI</v>
      </c>
      <c r="C344" s="18">
        <f>IFERROR(__xludf.DUMMYFUNCTION("""COMPUTED_VALUE"""),44.0)</f>
        <v>44</v>
      </c>
      <c r="D344" s="35" t="str">
        <f>IFERROR(__xludf.DUMMYFUNCTION("""COMPUTED_VALUE"""),"Islam")</f>
        <v>Islam</v>
      </c>
      <c r="E344" s="18" t="str">
        <f>IFERROR(__xludf.DUMMYFUNCTION("""COMPUTED_VALUE"""),"CV. SENTOSA ABADI")</f>
        <v>CV. SENTOSA ABADI</v>
      </c>
      <c r="F344" s="18" t="str">
        <f>IFERROR(__xludf.DUMMYFUNCTION("""COMPUTED_VALUE"""),"DRIVER DT H700ZY")</f>
        <v>DRIVER DT H700ZY</v>
      </c>
      <c r="G344" s="18" t="str">
        <f>IFERROR(__xludf.DUMMYFUNCTION("""COMPUTED_VALUE"""),"KENDARAAN &amp; UNIT SUPPORT")</f>
        <v>KENDARAAN &amp; UNIT SUPPORT</v>
      </c>
      <c r="H344" s="18" t="str">
        <f>IFERROR(__xludf.DUMMYFUNCTION("""COMPUTED_VALUE"""),"2022-02-20 08.58.45")</f>
        <v>2022-02-20 08.58.45</v>
      </c>
      <c r="I344" s="18" t="str">
        <f>IFERROR(__xludf.DUMMYFUNCTION("""COMPUTED_VALUE"""),"2022-02-20 08.58.45")</f>
        <v>2022-02-20 08.58.45</v>
      </c>
      <c r="J344" s="36">
        <f>IFERROR(__xludf.DUMMYFUNCTION("""COMPUTED_VALUE"""),29657.0)</f>
        <v>29657</v>
      </c>
      <c r="K344" s="37" t="str">
        <f t="shared" si="1"/>
        <v>[107190982] MUH. BASRI</v>
      </c>
    </row>
    <row r="345">
      <c r="A345" s="17">
        <f>IFERROR(__xludf.DUMMYFUNCTION("""COMPUTED_VALUE"""),2.04221618E8)</f>
        <v>204221618</v>
      </c>
      <c r="B345" s="18" t="str">
        <f>IFERROR(__xludf.DUMMYFUNCTION("""COMPUTED_VALUE"""),"MUH. BASRI")</f>
        <v>MUH. BASRI</v>
      </c>
      <c r="C345" s="18">
        <f>IFERROR(__xludf.DUMMYFUNCTION("""COMPUTED_VALUE"""),43.0)</f>
        <v>43</v>
      </c>
      <c r="D345" s="35" t="str">
        <f>IFERROR(__xludf.DUMMYFUNCTION("""COMPUTED_VALUE"""),"Islam")</f>
        <v>Islam</v>
      </c>
      <c r="E345" s="18" t="str">
        <f>IFERROR(__xludf.DUMMYFUNCTION("""COMPUTED_VALUE"""),"CV. Adil Prima Perkasa")</f>
        <v>CV. Adil Prima Perkasa</v>
      </c>
      <c r="F345" s="18" t="str">
        <f>IFERROR(__xludf.DUMMYFUNCTION("""COMPUTED_VALUE"""),"OPERATOR COMPACTOR")</f>
        <v>OPERATOR COMPACTOR</v>
      </c>
      <c r="G345" s="18" t="str">
        <f>IFERROR(__xludf.DUMMYFUNCTION("""COMPUTED_VALUE"""),"PRODUKSI")</f>
        <v>PRODUKSI</v>
      </c>
      <c r="H345" s="18" t="str">
        <f>IFERROR(__xludf.DUMMYFUNCTION("""COMPUTED_VALUE"""),"2023-11-30 05.09.01")</f>
        <v>2023-11-30 05.09.01</v>
      </c>
      <c r="I345" s="18" t="str">
        <f>IFERROR(__xludf.DUMMYFUNCTION("""COMPUTED_VALUE"""),"2023-11-30 05.09.01")</f>
        <v>2023-11-30 05.09.01</v>
      </c>
      <c r="J345" s="36">
        <f>IFERROR(__xludf.DUMMYFUNCTION("""COMPUTED_VALUE"""),29768.0)</f>
        <v>29768</v>
      </c>
      <c r="K345" s="37" t="str">
        <f t="shared" si="1"/>
        <v>[204221618] MUH. BASRI</v>
      </c>
    </row>
    <row r="346">
      <c r="A346" s="17">
        <f>IFERROR(__xludf.DUMMYFUNCTION("""COMPUTED_VALUE"""),1.10180556E8)</f>
        <v>110180556</v>
      </c>
      <c r="B346" s="18" t="str">
        <f>IFERROR(__xludf.DUMMYFUNCTION("""COMPUTED_VALUE"""),"MUH. FAISAL")</f>
        <v>MUH. FAISAL</v>
      </c>
      <c r="C346" s="18">
        <f>IFERROR(__xludf.DUMMYFUNCTION("""COMPUTED_VALUE"""),22.0)</f>
        <v>22</v>
      </c>
      <c r="D346" s="35" t="str">
        <f>IFERROR(__xludf.DUMMYFUNCTION("""COMPUTED_VALUE"""),"Islam")</f>
        <v>Islam</v>
      </c>
      <c r="E346" s="18" t="str">
        <f>IFERROR(__xludf.DUMMYFUNCTION("""COMPUTED_VALUE"""),"CV. SENTOSA ABADI")</f>
        <v>CV. SENTOSA ABADI</v>
      </c>
      <c r="F346" s="18" t="str">
        <f>IFERROR(__xludf.DUMMYFUNCTION("""COMPUTED_VALUE"""),"HELPER WELDER")</f>
        <v>HELPER WELDER</v>
      </c>
      <c r="G346" s="18" t="str">
        <f>IFERROR(__xludf.DUMMYFUNCTION("""COMPUTED_VALUE"""),"WORKSHOP")</f>
        <v>WORKSHOP</v>
      </c>
      <c r="H346" s="18" t="str">
        <f>IFERROR(__xludf.DUMMYFUNCTION("""COMPUTED_VALUE"""),"2023-11-30 07.16.39")</f>
        <v>2023-11-30 07.16.39</v>
      </c>
      <c r="I346" s="18" t="str">
        <f>IFERROR(__xludf.DUMMYFUNCTION("""COMPUTED_VALUE"""),"2023-11-30 07.16.39")</f>
        <v>2023-11-30 07.16.39</v>
      </c>
      <c r="J346" s="36"/>
      <c r="K346" s="37" t="str">
        <f t="shared" si="1"/>
        <v>[110180556] MUH. FAISAL</v>
      </c>
    </row>
    <row r="347">
      <c r="A347" s="17">
        <f>IFERROR(__xludf.DUMMYFUNCTION("""COMPUTED_VALUE"""),1.10221687E8)</f>
        <v>110221687</v>
      </c>
      <c r="B347" s="18" t="str">
        <f>IFERROR(__xludf.DUMMYFUNCTION("""COMPUTED_VALUE"""),"MUH. HAIKAL ADITYA")</f>
        <v>MUH. HAIKAL ADITYA</v>
      </c>
      <c r="C347" s="18">
        <f>IFERROR(__xludf.DUMMYFUNCTION("""COMPUTED_VALUE"""),19.0)</f>
        <v>19</v>
      </c>
      <c r="D347" s="35" t="str">
        <f>IFERROR(__xludf.DUMMYFUNCTION("""COMPUTED_VALUE"""),"Islam")</f>
        <v>Islam</v>
      </c>
      <c r="E347" s="18" t="str">
        <f>IFERROR(__xludf.DUMMYFUNCTION("""COMPUTED_VALUE"""),"CV. SENTOSA ABADI")</f>
        <v>CV. SENTOSA ABADI</v>
      </c>
      <c r="F347" s="18" t="str">
        <f>IFERROR(__xludf.DUMMYFUNCTION("""COMPUTED_VALUE"""),"HELPER MECHANIC MAINTENANCE")</f>
        <v>HELPER MECHANIC MAINTENANCE</v>
      </c>
      <c r="G347" s="18" t="str">
        <f>IFERROR(__xludf.DUMMYFUNCTION("""COMPUTED_VALUE"""),"WORKSHOP")</f>
        <v>WORKSHOP</v>
      </c>
      <c r="H347" s="18" t="str">
        <f>IFERROR(__xludf.DUMMYFUNCTION("""COMPUTED_VALUE"""),"2023-11-30 05.50.12")</f>
        <v>2023-11-30 05.50.12</v>
      </c>
      <c r="I347" s="18" t="str">
        <f>IFERROR(__xludf.DUMMYFUNCTION("""COMPUTED_VALUE"""),"2023-11-30 20.17.04")</f>
        <v>2023-11-30 20.17.04</v>
      </c>
      <c r="J347" s="36"/>
      <c r="K347" s="37" t="str">
        <f t="shared" si="1"/>
        <v>[110221687] MUH. HAIKAL ADITYA</v>
      </c>
    </row>
    <row r="348">
      <c r="A348" s="17">
        <f>IFERROR(__xludf.DUMMYFUNCTION("""COMPUTED_VALUE"""),4.09230008E8)</f>
        <v>409230008</v>
      </c>
      <c r="B348" s="18" t="str">
        <f>IFERROR(__xludf.DUMMYFUNCTION("""COMPUTED_VALUE"""),"MUH. RIFKI RESA")</f>
        <v>MUH. RIFKI RESA</v>
      </c>
      <c r="C348" s="18">
        <f>IFERROR(__xludf.DUMMYFUNCTION("""COMPUTED_VALUE"""),24.0)</f>
        <v>24</v>
      </c>
      <c r="D348" s="35" t="str">
        <f>IFERROR(__xludf.DUMMYFUNCTION("""COMPUTED_VALUE"""),"Islam")</f>
        <v>Islam</v>
      </c>
      <c r="E348" s="18" t="str">
        <f>IFERROR(__xludf.DUMMYFUNCTION("""COMPUTED_VALUE"""),"CV. SENTOSA ABADI")</f>
        <v>CV. SENTOSA ABADI</v>
      </c>
      <c r="F348" s="18" t="str">
        <f>IFERROR(__xludf.DUMMYFUNCTION("""COMPUTED_VALUE"""),"ASISTEN MPE")</f>
        <v>ASISTEN MPE</v>
      </c>
      <c r="G348" s="18" t="str">
        <f>IFERROR(__xludf.DUMMYFUNCTION("""COMPUTED_VALUE"""),"MPE")</f>
        <v>MPE</v>
      </c>
      <c r="H348" s="18" t="str">
        <f>IFERROR(__xludf.DUMMYFUNCTION("""COMPUTED_VALUE"""),"2023-11-30 06.47.57")</f>
        <v>2023-11-30 06.47.57</v>
      </c>
      <c r="I348" s="18" t="str">
        <f>IFERROR(__xludf.DUMMYFUNCTION("""COMPUTED_VALUE"""),"2023-11-30 22.38.47")</f>
        <v>2023-11-30 22.38.47</v>
      </c>
      <c r="J348" s="36"/>
      <c r="K348" s="37" t="str">
        <f t="shared" si="1"/>
        <v>[409230008] MUH. RIFKI RESA</v>
      </c>
    </row>
    <row r="349">
      <c r="A349" s="17">
        <f>IFERROR(__xludf.DUMMYFUNCTION("""COMPUTED_VALUE"""),2.07231809E8)</f>
        <v>207231809</v>
      </c>
      <c r="B349" s="18" t="str">
        <f>IFERROR(__xludf.DUMMYFUNCTION("""COMPUTED_VALUE"""),"MUH. SAFIT")</f>
        <v>MUH. SAFIT</v>
      </c>
      <c r="C349" s="18">
        <f>IFERROR(__xludf.DUMMYFUNCTION("""COMPUTED_VALUE"""),0.0)</f>
        <v>0</v>
      </c>
      <c r="D349" s="35"/>
      <c r="E349" s="18" t="str">
        <f>IFERROR(__xludf.DUMMYFUNCTION("""COMPUTED_VALUE"""),"CV. Adil Prima Perkasa")</f>
        <v>CV. Adil Prima Perkasa</v>
      </c>
      <c r="F349" s="18" t="str">
        <f>IFERROR(__xludf.DUMMYFUNCTION("""COMPUTED_VALUE"""),"HELPER MEKANIK LV")</f>
        <v>HELPER MEKANIK LV</v>
      </c>
      <c r="G349" s="18" t="str">
        <f>IFERROR(__xludf.DUMMYFUNCTION("""COMPUTED_VALUE"""),"WORKSHOP")</f>
        <v>WORKSHOP</v>
      </c>
      <c r="H349" s="18" t="str">
        <f>IFERROR(__xludf.DUMMYFUNCTION("""COMPUTED_VALUE"""),"2023-11-28 06.40.20")</f>
        <v>2023-11-28 06.40.20</v>
      </c>
      <c r="I349" s="18" t="str">
        <f>IFERROR(__xludf.DUMMYFUNCTION("""COMPUTED_VALUE"""),"2023-11-28 16.00.20")</f>
        <v>2023-11-28 16.00.20</v>
      </c>
      <c r="J349" s="36"/>
      <c r="K349" s="37" t="str">
        <f t="shared" si="1"/>
        <v>[207231809] MUH. SAFIT</v>
      </c>
    </row>
    <row r="350">
      <c r="A350" s="17">
        <f>IFERROR(__xludf.DUMMYFUNCTION("""COMPUTED_VALUE"""),1.0521141E8)</f>
        <v>105211410</v>
      </c>
      <c r="B350" s="18" t="str">
        <f>IFERROR(__xludf.DUMMYFUNCTION("""COMPUTED_VALUE"""),"MUH. TAKDIR")</f>
        <v>MUH. TAKDIR</v>
      </c>
      <c r="C350" s="18">
        <f>IFERROR(__xludf.DUMMYFUNCTION("""COMPUTED_VALUE"""),40.0)</f>
        <v>40</v>
      </c>
      <c r="D350" s="35" t="str">
        <f>IFERROR(__xludf.DUMMYFUNCTION("""COMPUTED_VALUE"""),"Islam")</f>
        <v>Islam</v>
      </c>
      <c r="E350" s="18" t="str">
        <f>IFERROR(__xludf.DUMMYFUNCTION("""COMPUTED_VALUE"""),"CV. SENTOSA ABADI")</f>
        <v>CV. SENTOSA ABADI</v>
      </c>
      <c r="F350" s="18" t="str">
        <f>IFERROR(__xludf.DUMMYFUNCTION("""COMPUTED_VALUE"""),"OPERATOR ADT")</f>
        <v>OPERATOR ADT</v>
      </c>
      <c r="G350" s="18" t="str">
        <f>IFERROR(__xludf.DUMMYFUNCTION("""COMPUTED_VALUE"""),"PRODUKSI")</f>
        <v>PRODUKSI</v>
      </c>
      <c r="H350" s="18" t="str">
        <f>IFERROR(__xludf.DUMMYFUNCTION("""COMPUTED_VALUE"""),"2023-11-23 05.06.12")</f>
        <v>2023-11-23 05.06.12</v>
      </c>
      <c r="I350" s="18" t="str">
        <f>IFERROR(__xludf.DUMMYFUNCTION("""COMPUTED_VALUE"""),"2023-11-23 05.06.12")</f>
        <v>2023-11-23 05.06.12</v>
      </c>
      <c r="J350" s="36"/>
      <c r="K350" s="37" t="str">
        <f t="shared" si="1"/>
        <v>[105211410] MUH. TAKDIR</v>
      </c>
    </row>
    <row r="351">
      <c r="A351" s="17">
        <f>IFERROR(__xludf.DUMMYFUNCTION("""COMPUTED_VALUE"""),2.09221675E8)</f>
        <v>209221675</v>
      </c>
      <c r="B351" s="18" t="str">
        <f>IFERROR(__xludf.DUMMYFUNCTION("""COMPUTED_VALUE"""),"MUHAMMAD FATHUR RACHMAN")</f>
        <v>MUHAMMAD FATHUR RACHMAN</v>
      </c>
      <c r="C351" s="18">
        <f>IFERROR(__xludf.DUMMYFUNCTION("""COMPUTED_VALUE"""),28.0)</f>
        <v>28</v>
      </c>
      <c r="D351" s="35" t="str">
        <f>IFERROR(__xludf.DUMMYFUNCTION("""COMPUTED_VALUE"""),"Islam")</f>
        <v>Islam</v>
      </c>
      <c r="E351" s="18" t="str">
        <f>IFERROR(__xludf.DUMMYFUNCTION("""COMPUTED_VALUE"""),"CV. Adil Prima Perkasa")</f>
        <v>CV. Adil Prima Perkasa</v>
      </c>
      <c r="F351" s="18" t="str">
        <f>IFERROR(__xludf.DUMMYFUNCTION("""COMPUTED_VALUE"""),"ADMIN KENDARAAN")</f>
        <v>ADMIN KENDARAAN</v>
      </c>
      <c r="G351" s="18" t="str">
        <f>IFERROR(__xludf.DUMMYFUNCTION("""COMPUTED_VALUE"""),"KENDARAAN &amp; UNIT SUPPORT")</f>
        <v>KENDARAAN &amp; UNIT SUPPORT</v>
      </c>
      <c r="H351" s="18" t="str">
        <f>IFERROR(__xludf.DUMMYFUNCTION("""COMPUTED_VALUE"""),"2024-03-31 04.50.13")</f>
        <v>2024-03-31 04.50.13</v>
      </c>
      <c r="I351" s="18" t="str">
        <f>IFERROR(__xludf.DUMMYFUNCTION("""COMPUTED_VALUE"""),"2024-03-31 22.30.38")</f>
        <v>2024-03-31 22.30.38</v>
      </c>
      <c r="J351" s="36"/>
      <c r="K351" s="37" t="str">
        <f t="shared" si="1"/>
        <v>[209221675] MUHAMMAD FATHUR RACHMAN</v>
      </c>
    </row>
    <row r="352">
      <c r="A352" s="17">
        <f>IFERROR(__xludf.DUMMYFUNCTION("""COMPUTED_VALUE"""),2.0524193E8)</f>
        <v>205241930</v>
      </c>
      <c r="B352" s="18" t="str">
        <f>IFERROR(__xludf.DUMMYFUNCTION("""COMPUTED_VALUE"""),"MUHAMMAD NUSRI")</f>
        <v>MUHAMMAD NUSRI</v>
      </c>
      <c r="C352" s="18">
        <f>IFERROR(__xludf.DUMMYFUNCTION("""COMPUTED_VALUE"""),0.0)</f>
        <v>0</v>
      </c>
      <c r="D352" s="35"/>
      <c r="E352" s="18" t="str">
        <f>IFERROR(__xludf.DUMMYFUNCTION("""COMPUTED_VALUE"""),"CV. Adil Prima Perkasa")</f>
        <v>CV. Adil Prima Perkasa</v>
      </c>
      <c r="F352" s="18" t="str">
        <f>IFERROR(__xludf.DUMMYFUNCTION("""COMPUTED_VALUE"""),"OPERATOR EXCAVATOR")</f>
        <v>OPERATOR EXCAVATOR</v>
      </c>
      <c r="G352" s="18" t="str">
        <f>IFERROR(__xludf.DUMMYFUNCTION("""COMPUTED_VALUE"""),"PRODUKSI")</f>
        <v>PRODUKSI</v>
      </c>
      <c r="H352" s="18"/>
      <c r="I352" s="18"/>
      <c r="J352" s="36"/>
      <c r="K352" s="37" t="str">
        <f t="shared" si="1"/>
        <v/>
      </c>
    </row>
    <row r="353">
      <c r="A353" s="17">
        <f>IFERROR(__xludf.DUMMYFUNCTION("""COMPUTED_VALUE"""),3.01210041E8)</f>
        <v>301210041</v>
      </c>
      <c r="B353" s="18" t="str">
        <f>IFERROR(__xludf.DUMMYFUNCTION("""COMPUTED_VALUE"""),"MUHAMMAD NUSRI")</f>
        <v>MUHAMMAD NUSRI</v>
      </c>
      <c r="C353" s="18">
        <f>IFERROR(__xludf.DUMMYFUNCTION("""COMPUTED_VALUE"""),34.0)</f>
        <v>34</v>
      </c>
      <c r="D353" s="35" t="str">
        <f>IFERROR(__xludf.DUMMYFUNCTION("""COMPUTED_VALUE"""),"Islam")</f>
        <v>Islam</v>
      </c>
      <c r="E353" s="18" t="str">
        <f>IFERROR(__xludf.DUMMYFUNCTION("""COMPUTED_VALUE"""),"CV. Monalisa")</f>
        <v>CV. Monalisa</v>
      </c>
      <c r="F353" s="18" t="str">
        <f>IFERROR(__xludf.DUMMYFUNCTION("""COMPUTED_VALUE"""),"OPERATOR EXCAVATOR")</f>
        <v>OPERATOR EXCAVATOR</v>
      </c>
      <c r="G353" s="18" t="str">
        <f>IFERROR(__xludf.DUMMYFUNCTION("""COMPUTED_VALUE"""),"PRODUKSI")</f>
        <v>PRODUKSI</v>
      </c>
      <c r="H353" s="18"/>
      <c r="I353" s="18"/>
      <c r="J353" s="36"/>
      <c r="K353" s="37" t="str">
        <f t="shared" si="1"/>
        <v/>
      </c>
    </row>
    <row r="354">
      <c r="A354" s="17">
        <f>IFERROR(__xludf.DUMMYFUNCTION("""COMPUTED_VALUE"""),1.06211431E8)</f>
        <v>106211431</v>
      </c>
      <c r="B354" s="18" t="str">
        <f>IFERROR(__xludf.DUMMYFUNCTION("""COMPUTED_VALUE"""),"MUHAMMAD RANGGA")</f>
        <v>MUHAMMAD RANGGA</v>
      </c>
      <c r="C354" s="18">
        <f>IFERROR(__xludf.DUMMYFUNCTION("""COMPUTED_VALUE"""),21.0)</f>
        <v>21</v>
      </c>
      <c r="D354" s="35" t="str">
        <f>IFERROR(__xludf.DUMMYFUNCTION("""COMPUTED_VALUE"""),"Islam")</f>
        <v>Islam</v>
      </c>
      <c r="E354" s="18" t="str">
        <f>IFERROR(__xludf.DUMMYFUNCTION("""COMPUTED_VALUE"""),"CV. SENTOSA ABADI")</f>
        <v>CV. SENTOSA ABADI</v>
      </c>
      <c r="F354" s="18" t="str">
        <f>IFERROR(__xludf.DUMMYFUNCTION("""COMPUTED_VALUE"""),"HELPER TYRE")</f>
        <v>HELPER TYRE</v>
      </c>
      <c r="G354" s="18" t="str">
        <f>IFERROR(__xludf.DUMMYFUNCTION("""COMPUTED_VALUE"""),"WORKSHOP")</f>
        <v>WORKSHOP</v>
      </c>
      <c r="H354" s="18" t="str">
        <f>IFERROR(__xludf.DUMMYFUNCTION("""COMPUTED_VALUE"""),"2023-11-30 06.52.31")</f>
        <v>2023-11-30 06.52.31</v>
      </c>
      <c r="I354" s="18" t="str">
        <f>IFERROR(__xludf.DUMMYFUNCTION("""COMPUTED_VALUE"""),"2023-11-30 06.52.31")</f>
        <v>2023-11-30 06.52.31</v>
      </c>
      <c r="J354" s="36"/>
      <c r="K354" s="37" t="str">
        <f t="shared" si="1"/>
        <v>[106211431] MUHAMMAD RANGGA</v>
      </c>
    </row>
    <row r="355">
      <c r="A355" s="17">
        <f>IFERROR(__xludf.DUMMYFUNCTION("""COMPUTED_VALUE"""),2.05231772E8)</f>
        <v>205231772</v>
      </c>
      <c r="B355" s="18" t="str">
        <f>IFERROR(__xludf.DUMMYFUNCTION("""COMPUTED_VALUE"""),"MUHAMMAD RIZKY RAMADHAN")</f>
        <v>MUHAMMAD RIZKY RAMADHAN</v>
      </c>
      <c r="C355" s="18">
        <f>IFERROR(__xludf.DUMMYFUNCTION("""COMPUTED_VALUE"""),21.0)</f>
        <v>21</v>
      </c>
      <c r="D355" s="35" t="str">
        <f>IFERROR(__xludf.DUMMYFUNCTION("""COMPUTED_VALUE"""),"Islam")</f>
        <v>Islam</v>
      </c>
      <c r="E355" s="18" t="str">
        <f>IFERROR(__xludf.DUMMYFUNCTION("""COMPUTED_VALUE"""),"CV. Adil Prima Perkasa")</f>
        <v>CV. Adil Prima Perkasa</v>
      </c>
      <c r="F355" s="18" t="str">
        <f>IFERROR(__xludf.DUMMYFUNCTION("""COMPUTED_VALUE"""),"CREW SURVEY")</f>
        <v>CREW SURVEY</v>
      </c>
      <c r="G355" s="18" t="str">
        <f>IFERROR(__xludf.DUMMYFUNCTION("""COMPUTED_VALUE"""),"MPE")</f>
        <v>MPE</v>
      </c>
      <c r="H355" s="18" t="str">
        <f>IFERROR(__xludf.DUMMYFUNCTION("""COMPUTED_VALUE"""),"2023-11-30 20.37.50")</f>
        <v>2023-11-30 20.37.50</v>
      </c>
      <c r="I355" s="18" t="str">
        <f>IFERROR(__xludf.DUMMYFUNCTION("""COMPUTED_VALUE"""),"2023-11-30 20.37.50")</f>
        <v>2023-11-30 20.37.50</v>
      </c>
      <c r="J355" s="36"/>
      <c r="K355" s="37" t="str">
        <f t="shared" si="1"/>
        <v>[205231772] MUHAMMAD RIZKY RAMADHAN</v>
      </c>
    </row>
    <row r="356">
      <c r="A356" s="17">
        <f>IFERROR(__xludf.DUMMYFUNCTION("""COMPUTED_VALUE"""),1.06211426E8)</f>
        <v>106211426</v>
      </c>
      <c r="B356" s="18" t="str">
        <f>IFERROR(__xludf.DUMMYFUNCTION("""COMPUTED_VALUE"""),"MUHAMMAD YASIN")</f>
        <v>MUHAMMAD YASIN</v>
      </c>
      <c r="C356" s="18">
        <f>IFERROR(__xludf.DUMMYFUNCTION("""COMPUTED_VALUE"""),22.0)</f>
        <v>22</v>
      </c>
      <c r="D356" s="35" t="str">
        <f>IFERROR(__xludf.DUMMYFUNCTION("""COMPUTED_VALUE"""),"Islam")</f>
        <v>Islam</v>
      </c>
      <c r="E356" s="18" t="str">
        <f>IFERROR(__xludf.DUMMYFUNCTION("""COMPUTED_VALUE"""),"CV. SENTOSA ABADI")</f>
        <v>CV. SENTOSA ABADI</v>
      </c>
      <c r="F356" s="18" t="str">
        <f>IFERROR(__xludf.DUMMYFUNCTION("""COMPUTED_VALUE"""),"HELPER MAINTENANCE")</f>
        <v>HELPER MAINTENANCE</v>
      </c>
      <c r="G356" s="18" t="str">
        <f>IFERROR(__xludf.DUMMYFUNCTION("""COMPUTED_VALUE"""),"WORKSHOP")</f>
        <v>WORKSHOP</v>
      </c>
      <c r="H356" s="18" t="str">
        <f>IFERROR(__xludf.DUMMYFUNCTION("""COMPUTED_VALUE"""),"2023-11-30 07.23.46")</f>
        <v>2023-11-30 07.23.46</v>
      </c>
      <c r="I356" s="18" t="str">
        <f>IFERROR(__xludf.DUMMYFUNCTION("""COMPUTED_VALUE"""),"2023-11-30 20.35.43")</f>
        <v>2023-11-30 20.35.43</v>
      </c>
      <c r="J356" s="36"/>
      <c r="K356" s="37" t="str">
        <f t="shared" si="1"/>
        <v>[106211426] MUHAMMAD YASIN</v>
      </c>
    </row>
    <row r="357">
      <c r="A357" s="17">
        <f>IFERROR(__xludf.DUMMYFUNCTION("""COMPUTED_VALUE"""),2.09201227E8)</f>
        <v>209201227</v>
      </c>
      <c r="B357" s="18" t="str">
        <f>IFERROR(__xludf.DUMMYFUNCTION("""COMPUTED_VALUE"""),"MUKSIN")</f>
        <v>MUKSIN</v>
      </c>
      <c r="C357" s="18">
        <f>IFERROR(__xludf.DUMMYFUNCTION("""COMPUTED_VALUE"""),41.0)</f>
        <v>41</v>
      </c>
      <c r="D357" s="35" t="str">
        <f>IFERROR(__xludf.DUMMYFUNCTION("""COMPUTED_VALUE"""),"Islam")</f>
        <v>Islam</v>
      </c>
      <c r="E357" s="18" t="str">
        <f>IFERROR(__xludf.DUMMYFUNCTION("""COMPUTED_VALUE"""),"CV. Adil Prima Perkasa")</f>
        <v>CV. Adil Prima Perkasa</v>
      </c>
      <c r="F357" s="18" t="str">
        <f>IFERROR(__xludf.DUMMYFUNCTION("""COMPUTED_VALUE"""),"DRIVER DT H700ZY")</f>
        <v>DRIVER DT H700ZY</v>
      </c>
      <c r="G357" s="18" t="str">
        <f>IFERROR(__xludf.DUMMYFUNCTION("""COMPUTED_VALUE"""),"KENDARAAN &amp; UNIT SUPPORT")</f>
        <v>KENDARAAN &amp; UNIT SUPPORT</v>
      </c>
      <c r="H357" s="18" t="str">
        <f>IFERROR(__xludf.DUMMYFUNCTION("""COMPUTED_VALUE"""),"2024-03-31 06.45.43")</f>
        <v>2024-03-31 06.45.43</v>
      </c>
      <c r="I357" s="18" t="str">
        <f>IFERROR(__xludf.DUMMYFUNCTION("""COMPUTED_VALUE"""),"2024-03-31 06.45.43")</f>
        <v>2024-03-31 06.45.43</v>
      </c>
      <c r="J357" s="36">
        <f>IFERROR(__xludf.DUMMYFUNCTION("""COMPUTED_VALUE"""),30750.0)</f>
        <v>30750</v>
      </c>
      <c r="K357" s="37" t="str">
        <f t="shared" si="1"/>
        <v>[209201227] MUKSIN</v>
      </c>
    </row>
    <row r="358">
      <c r="A358" s="17">
        <f>IFERROR(__xludf.DUMMYFUNCTION("""COMPUTED_VALUE"""),1.09201237E8)</f>
        <v>109201237</v>
      </c>
      <c r="B358" s="18" t="str">
        <f>IFERROR(__xludf.DUMMYFUNCTION("""COMPUTED_VALUE"""),"MUPADLI")</f>
        <v>MUPADLI</v>
      </c>
      <c r="C358" s="18">
        <f>IFERROR(__xludf.DUMMYFUNCTION("""COMPUTED_VALUE"""),34.0)</f>
        <v>34</v>
      </c>
      <c r="D358" s="35" t="str">
        <f>IFERROR(__xludf.DUMMYFUNCTION("""COMPUTED_VALUE"""),"Islam")</f>
        <v>Islam</v>
      </c>
      <c r="E358" s="18" t="str">
        <f>IFERROR(__xludf.DUMMYFUNCTION("""COMPUTED_VALUE"""),"CV. SENTOSA ABADI")</f>
        <v>CV. SENTOSA ABADI</v>
      </c>
      <c r="F358" s="18" t="str">
        <f>IFERROR(__xludf.DUMMYFUNCTION("""COMPUTED_VALUE"""),"HELPER MEKANIK")</f>
        <v>HELPER MEKANIK</v>
      </c>
      <c r="G358" s="18" t="str">
        <f>IFERROR(__xludf.DUMMYFUNCTION("""COMPUTED_VALUE"""),"WORKSHOP")</f>
        <v>WORKSHOP</v>
      </c>
      <c r="H358" s="18" t="str">
        <f>IFERROR(__xludf.DUMMYFUNCTION("""COMPUTED_VALUE"""),"2023-11-17 07.08.49")</f>
        <v>2023-11-17 07.08.49</v>
      </c>
      <c r="I358" s="18" t="str">
        <f>IFERROR(__xludf.DUMMYFUNCTION("""COMPUTED_VALUE"""),"2023-11-17 07.08.49")</f>
        <v>2023-11-17 07.08.49</v>
      </c>
      <c r="J358" s="36">
        <f>IFERROR(__xludf.DUMMYFUNCTION("""COMPUTED_VALUE"""),33133.0)</f>
        <v>33133</v>
      </c>
      <c r="K358" s="37" t="str">
        <f t="shared" si="1"/>
        <v>[109201237] MUPADLI</v>
      </c>
    </row>
    <row r="359">
      <c r="A359" s="17">
        <f>IFERROR(__xludf.DUMMYFUNCTION("""COMPUTED_VALUE"""),1.04190817E8)</f>
        <v>104190817</v>
      </c>
      <c r="B359" s="18" t="str">
        <f>IFERROR(__xludf.DUMMYFUNCTION("""COMPUTED_VALUE"""),"MURDOV MAINTI")</f>
        <v>MURDOV MAINTI</v>
      </c>
      <c r="C359" s="18">
        <f>IFERROR(__xludf.DUMMYFUNCTION("""COMPUTED_VALUE"""),39.0)</f>
        <v>39</v>
      </c>
      <c r="D359" s="35" t="str">
        <f>IFERROR(__xludf.DUMMYFUNCTION("""COMPUTED_VALUE"""),"Kristen Protestan")</f>
        <v>Kristen Protestan</v>
      </c>
      <c r="E359" s="18" t="str">
        <f>IFERROR(__xludf.DUMMYFUNCTION("""COMPUTED_VALUE"""),"CV. SENTOSA ABADI")</f>
        <v>CV. SENTOSA ABADI</v>
      </c>
      <c r="F359" s="18" t="str">
        <f>IFERROR(__xludf.DUMMYFUNCTION("""COMPUTED_VALUE"""),"HELPER TYRE")</f>
        <v>HELPER TYRE</v>
      </c>
      <c r="G359" s="18" t="str">
        <f>IFERROR(__xludf.DUMMYFUNCTION("""COMPUTED_VALUE"""),"WORKSHOP")</f>
        <v>WORKSHOP</v>
      </c>
      <c r="H359" s="18" t="str">
        <f>IFERROR(__xludf.DUMMYFUNCTION("""COMPUTED_VALUE"""),"2023-11-30 05.47.51")</f>
        <v>2023-11-30 05.47.51</v>
      </c>
      <c r="I359" s="18" t="str">
        <f>IFERROR(__xludf.DUMMYFUNCTION("""COMPUTED_VALUE"""),"2023-11-30 20.06.39")</f>
        <v>2023-11-30 20.06.39</v>
      </c>
      <c r="J359" s="36"/>
      <c r="K359" s="37" t="str">
        <f t="shared" si="1"/>
        <v>[104190817] MURDOV MAINTI</v>
      </c>
    </row>
    <row r="360">
      <c r="A360" s="17">
        <f>IFERROR(__xludf.DUMMYFUNCTION("""COMPUTED_VALUE"""),2.03190797E8)</f>
        <v>203190797</v>
      </c>
      <c r="B360" s="18" t="str">
        <f>IFERROR(__xludf.DUMMYFUNCTION("""COMPUTED_VALUE"""),"MURFA")</f>
        <v>MURFA</v>
      </c>
      <c r="C360" s="18">
        <f>IFERROR(__xludf.DUMMYFUNCTION("""COMPUTED_VALUE"""),34.0)</f>
        <v>34</v>
      </c>
      <c r="D360" s="35" t="str">
        <f>IFERROR(__xludf.DUMMYFUNCTION("""COMPUTED_VALUE"""),"Islam")</f>
        <v>Islam</v>
      </c>
      <c r="E360" s="18" t="str">
        <f>IFERROR(__xludf.DUMMYFUNCTION("""COMPUTED_VALUE"""),"CV. Adil Prima Perkasa")</f>
        <v>CV. Adil Prima Perkasa</v>
      </c>
      <c r="F360" s="18" t="str">
        <f>IFERROR(__xludf.DUMMYFUNCTION("""COMPUTED_VALUE"""),"DRIVER DT H700ZY")</f>
        <v>DRIVER DT H700ZY</v>
      </c>
      <c r="G360" s="18" t="str">
        <f>IFERROR(__xludf.DUMMYFUNCTION("""COMPUTED_VALUE"""),"KENDARAAN &amp; UNIT SUPPORT")</f>
        <v>KENDARAAN &amp; UNIT SUPPORT</v>
      </c>
      <c r="H360" s="18" t="str">
        <f>IFERROR(__xludf.DUMMYFUNCTION("""COMPUTED_VALUE"""),"2023-11-30 05.37.45")</f>
        <v>2023-11-30 05.37.45</v>
      </c>
      <c r="I360" s="18" t="str">
        <f>IFERROR(__xludf.DUMMYFUNCTION("""COMPUTED_VALUE"""),"2023-11-30 05.37.45")</f>
        <v>2023-11-30 05.37.45</v>
      </c>
      <c r="J360" s="36">
        <f>IFERROR(__xludf.DUMMYFUNCTION("""COMPUTED_VALUE"""),33383.0)</f>
        <v>33383</v>
      </c>
      <c r="K360" s="37" t="str">
        <f t="shared" si="1"/>
        <v>[203190797] MURFA</v>
      </c>
    </row>
    <row r="361">
      <c r="A361" s="17">
        <f>IFERROR(__xludf.DUMMYFUNCTION("""COMPUTED_VALUE"""),2.04231751E8)</f>
        <v>204231751</v>
      </c>
      <c r="B361" s="18" t="str">
        <f>IFERROR(__xludf.DUMMYFUNCTION("""COMPUTED_VALUE"""),"MUSAKKAR")</f>
        <v>MUSAKKAR</v>
      </c>
      <c r="C361" s="18">
        <f>IFERROR(__xludf.DUMMYFUNCTION("""COMPUTED_VALUE"""),44.0)</f>
        <v>44</v>
      </c>
      <c r="D361" s="35" t="str">
        <f>IFERROR(__xludf.DUMMYFUNCTION("""COMPUTED_VALUE"""),"Islam")</f>
        <v>Islam</v>
      </c>
      <c r="E361" s="18" t="str">
        <f>IFERROR(__xludf.DUMMYFUNCTION("""COMPUTED_VALUE"""),"CV. Adil Prima Perkasa")</f>
        <v>CV. Adil Prima Perkasa</v>
      </c>
      <c r="F361" s="18" t="str">
        <f>IFERROR(__xludf.DUMMYFUNCTION("""COMPUTED_VALUE"""),"DRIVER DT H700ZS")</f>
        <v>DRIVER DT H700ZS</v>
      </c>
      <c r="G361" s="18" t="str">
        <f>IFERROR(__xludf.DUMMYFUNCTION("""COMPUTED_VALUE"""),"KENDARAAN &amp; UNIT SUPPORT")</f>
        <v>KENDARAAN &amp; UNIT SUPPORT</v>
      </c>
      <c r="H361" s="18" t="str">
        <f>IFERROR(__xludf.DUMMYFUNCTION("""COMPUTED_VALUE"""),"2024-03-31 05.33.51")</f>
        <v>2024-03-31 05.33.51</v>
      </c>
      <c r="I361" s="18" t="str">
        <f>IFERROR(__xludf.DUMMYFUNCTION("""COMPUTED_VALUE"""),"2024-03-31 16.31.54")</f>
        <v>2024-03-31 16.31.54</v>
      </c>
      <c r="J361" s="36"/>
      <c r="K361" s="37" t="str">
        <f t="shared" si="1"/>
        <v>[204231751] MUSAKKAR</v>
      </c>
    </row>
    <row r="362">
      <c r="A362" s="17">
        <f>IFERROR(__xludf.DUMMYFUNCTION("""COMPUTED_VALUE"""),1.01199001E8)</f>
        <v>101199001</v>
      </c>
      <c r="B362" s="18" t="str">
        <f>IFERROR(__xludf.DUMMYFUNCTION("""COMPUTED_VALUE"""),"Monita Febyanti")</f>
        <v>Monita Febyanti</v>
      </c>
      <c r="C362" s="18">
        <f>IFERROR(__xludf.DUMMYFUNCTION("""COMPUTED_VALUE"""),0.0)</f>
        <v>0</v>
      </c>
      <c r="D362" s="35"/>
      <c r="E362" s="18" t="str">
        <f>IFERROR(__xludf.DUMMYFUNCTION("""COMPUTED_VALUE"""),"CV. SENTOSA ABADI")</f>
        <v>CV. SENTOSA ABADI</v>
      </c>
      <c r="F362" s="18" t="str">
        <f>IFERROR(__xludf.DUMMYFUNCTION("""COMPUTED_VALUE"""),"FALSE")</f>
        <v>FALSE</v>
      </c>
      <c r="G362" s="18" t="str">
        <f>IFERROR(__xludf.DUMMYFUNCTION("""COMPUTED_VALUE"""),"FALSE")</f>
        <v>FALSE</v>
      </c>
      <c r="H362" s="18"/>
      <c r="I362" s="18"/>
      <c r="J362" s="36"/>
      <c r="K362" s="37" t="str">
        <f t="shared" si="1"/>
        <v/>
      </c>
    </row>
    <row r="363">
      <c r="A363" s="17">
        <f>IFERROR(__xludf.DUMMYFUNCTION("""COMPUTED_VALUE"""),1.02150004E8)</f>
        <v>102150004</v>
      </c>
      <c r="B363" s="18" t="str">
        <f>IFERROR(__xludf.DUMMYFUNCTION("""COMPUTED_VALUE"""),"NAFTALI RARE'A, ST")</f>
        <v>NAFTALI RARE'A, ST</v>
      </c>
      <c r="C363" s="18">
        <f>IFERROR(__xludf.DUMMYFUNCTION("""COMPUTED_VALUE"""),34.0)</f>
        <v>34</v>
      </c>
      <c r="D363" s="35" t="str">
        <f>IFERROR(__xludf.DUMMYFUNCTION("""COMPUTED_VALUE"""),"Kristen Protestan")</f>
        <v>Kristen Protestan</v>
      </c>
      <c r="E363" s="18" t="str">
        <f>IFERROR(__xludf.DUMMYFUNCTION("""COMPUTED_VALUE"""),"CV. SENTOSA ABADI")</f>
        <v>CV. SENTOSA ABADI</v>
      </c>
      <c r="F363" s="18" t="str">
        <f>IFERROR(__xludf.DUMMYFUNCTION("""COMPUTED_VALUE"""),"HEAD OF VEHICLE")</f>
        <v>HEAD OF VEHICLE</v>
      </c>
      <c r="G363" s="18" t="str">
        <f>IFERROR(__xludf.DUMMYFUNCTION("""COMPUTED_VALUE"""),"KENDARAAN &amp; UNIT SUPPORT")</f>
        <v>KENDARAAN &amp; UNIT SUPPORT</v>
      </c>
      <c r="H363" s="18" t="str">
        <f>IFERROR(__xludf.DUMMYFUNCTION("""COMPUTED_VALUE"""),"2023-11-25 16.59.07")</f>
        <v>2023-11-25 16.59.07</v>
      </c>
      <c r="I363" s="18" t="str">
        <f>IFERROR(__xludf.DUMMYFUNCTION("""COMPUTED_VALUE"""),"2023-11-25 16.59.07")</f>
        <v>2023-11-25 16.59.07</v>
      </c>
      <c r="J363" s="36"/>
      <c r="K363" s="37" t="str">
        <f t="shared" si="1"/>
        <v>[102150004] NAFTALI RARE'A, ST</v>
      </c>
    </row>
    <row r="364">
      <c r="A364" s="17">
        <f>IFERROR(__xludf.DUMMYFUNCTION("""COMPUTED_VALUE"""),2.0224191E8)</f>
        <v>202241910</v>
      </c>
      <c r="B364" s="18" t="str">
        <f>IFERROR(__xludf.DUMMYFUNCTION("""COMPUTED_VALUE"""),"NASAR")</f>
        <v>NASAR</v>
      </c>
      <c r="C364" s="18">
        <f>IFERROR(__xludf.DUMMYFUNCTION("""COMPUTED_VALUE"""),0.0)</f>
        <v>0</v>
      </c>
      <c r="D364" s="35"/>
      <c r="E364" s="18" t="str">
        <f>IFERROR(__xludf.DUMMYFUNCTION("""COMPUTED_VALUE"""),"CV. Adil Prima Perkasa")</f>
        <v>CV. Adil Prima Perkasa</v>
      </c>
      <c r="F364" s="18" t="str">
        <f>IFERROR(__xludf.DUMMYFUNCTION("""COMPUTED_VALUE"""),"HELPER TYRE")</f>
        <v>HELPER TYRE</v>
      </c>
      <c r="G364" s="18" t="str">
        <f>IFERROR(__xludf.DUMMYFUNCTION("""COMPUTED_VALUE"""),"WORKSHOP")</f>
        <v>WORKSHOP</v>
      </c>
      <c r="H364" s="18"/>
      <c r="I364" s="18"/>
      <c r="J364" s="36"/>
      <c r="K364" s="37" t="str">
        <f t="shared" si="1"/>
        <v/>
      </c>
    </row>
    <row r="365">
      <c r="A365" s="17">
        <f>IFERROR(__xludf.DUMMYFUNCTION("""COMPUTED_VALUE"""),1.12191119E8)</f>
        <v>112191119</v>
      </c>
      <c r="B365" s="18" t="str">
        <f>IFERROR(__xludf.DUMMYFUNCTION("""COMPUTED_VALUE"""),"NASRUN")</f>
        <v>NASRUN</v>
      </c>
      <c r="C365" s="18">
        <f>IFERROR(__xludf.DUMMYFUNCTION("""COMPUTED_VALUE"""),49.0)</f>
        <v>49</v>
      </c>
      <c r="D365" s="35" t="str">
        <f>IFERROR(__xludf.DUMMYFUNCTION("""COMPUTED_VALUE"""),"Islam")</f>
        <v>Islam</v>
      </c>
      <c r="E365" s="18" t="str">
        <f>IFERROR(__xludf.DUMMYFUNCTION("""COMPUTED_VALUE"""),"CV. SENTOSA ABADI")</f>
        <v>CV. SENTOSA ABADI</v>
      </c>
      <c r="F365" s="18" t="str">
        <f>IFERROR(__xludf.DUMMYFUNCTION("""COMPUTED_VALUE"""),"OPERATOR ADT")</f>
        <v>OPERATOR ADT</v>
      </c>
      <c r="G365" s="18" t="str">
        <f>IFERROR(__xludf.DUMMYFUNCTION("""COMPUTED_VALUE"""),"PRODUKSI")</f>
        <v>PRODUKSI</v>
      </c>
      <c r="H365" s="18" t="str">
        <f>IFERROR(__xludf.DUMMYFUNCTION("""COMPUTED_VALUE"""),"2023-11-30 05.40.40")</f>
        <v>2023-11-30 05.40.40</v>
      </c>
      <c r="I365" s="18" t="str">
        <f>IFERROR(__xludf.DUMMYFUNCTION("""COMPUTED_VALUE"""),"2023-11-30 05.40.40")</f>
        <v>2023-11-30 05.40.40</v>
      </c>
      <c r="J365" s="36">
        <f>IFERROR(__xludf.DUMMYFUNCTION("""COMPUTED_VALUE"""),27759.0)</f>
        <v>27759</v>
      </c>
      <c r="K365" s="37" t="str">
        <f t="shared" si="1"/>
        <v>[112191119] NASRUN</v>
      </c>
    </row>
    <row r="366">
      <c r="A366" s="17">
        <f>IFERROR(__xludf.DUMMYFUNCTION("""COMPUTED_VALUE"""),1.06190928E8)</f>
        <v>106190928</v>
      </c>
      <c r="B366" s="18" t="str">
        <f>IFERROR(__xludf.DUMMYFUNCTION("""COMPUTED_VALUE"""),"NATAN KONDO")</f>
        <v>NATAN KONDO</v>
      </c>
      <c r="C366" s="18">
        <f>IFERROR(__xludf.DUMMYFUNCTION("""COMPUTED_VALUE"""),44.0)</f>
        <v>44</v>
      </c>
      <c r="D366" s="35" t="str">
        <f>IFERROR(__xludf.DUMMYFUNCTION("""COMPUTED_VALUE"""),"Kristen Protestan")</f>
        <v>Kristen Protestan</v>
      </c>
      <c r="E366" s="18" t="str">
        <f>IFERROR(__xludf.DUMMYFUNCTION("""COMPUTED_VALUE"""),"CV. SENTOSA ABADI")</f>
        <v>CV. SENTOSA ABADI</v>
      </c>
      <c r="F366" s="18" t="str">
        <f>IFERROR(__xludf.DUMMYFUNCTION("""COMPUTED_VALUE"""),"HEAD OF WORKSHOP")</f>
        <v>HEAD OF WORKSHOP</v>
      </c>
      <c r="G366" s="18" t="str">
        <f>IFERROR(__xludf.DUMMYFUNCTION("""COMPUTED_VALUE"""),"WORKSHOP")</f>
        <v>WORKSHOP</v>
      </c>
      <c r="H366" s="18" t="str">
        <f>IFERROR(__xludf.DUMMYFUNCTION("""COMPUTED_VALUE"""),"2023-11-30 06.41.54")</f>
        <v>2023-11-30 06.41.54</v>
      </c>
      <c r="I366" s="18" t="str">
        <f>IFERROR(__xludf.DUMMYFUNCTION("""COMPUTED_VALUE"""),"2023-11-30 06.41.54")</f>
        <v>2023-11-30 06.41.54</v>
      </c>
      <c r="J366" s="36"/>
      <c r="K366" s="37" t="str">
        <f t="shared" si="1"/>
        <v>[106190928] NATAN KONDO</v>
      </c>
    </row>
    <row r="367">
      <c r="A367" s="17">
        <f>IFERROR(__xludf.DUMMYFUNCTION("""COMPUTED_VALUE"""),1.05190857E8)</f>
        <v>105190857</v>
      </c>
      <c r="B367" s="18" t="str">
        <f>IFERROR(__xludf.DUMMYFUNCTION("""COMPUTED_VALUE"""),"NATANIEL")</f>
        <v>NATANIEL</v>
      </c>
      <c r="C367" s="18">
        <f>IFERROR(__xludf.DUMMYFUNCTION("""COMPUTED_VALUE"""),24.0)</f>
        <v>24</v>
      </c>
      <c r="D367" s="35" t="str">
        <f>IFERROR(__xludf.DUMMYFUNCTION("""COMPUTED_VALUE"""),"Kristen Khatolik")</f>
        <v>Kristen Khatolik</v>
      </c>
      <c r="E367" s="18" t="str">
        <f>IFERROR(__xludf.DUMMYFUNCTION("""COMPUTED_VALUE"""),"CV. SENTOSA ABADI")</f>
        <v>CV. SENTOSA ABADI</v>
      </c>
      <c r="F367" s="18" t="str">
        <f>IFERROR(__xludf.DUMMYFUNCTION("""COMPUTED_VALUE"""),"HELPER MECHANIC MAINTENANCE")</f>
        <v>HELPER MECHANIC MAINTENANCE</v>
      </c>
      <c r="G367" s="18" t="str">
        <f>IFERROR(__xludf.DUMMYFUNCTION("""COMPUTED_VALUE"""),"WORKSHOP")</f>
        <v>WORKSHOP</v>
      </c>
      <c r="H367" s="18" t="str">
        <f>IFERROR(__xludf.DUMMYFUNCTION("""COMPUTED_VALUE"""),"2023-11-30 07.21.57")</f>
        <v>2023-11-30 07.21.57</v>
      </c>
      <c r="I367" s="18" t="str">
        <f>IFERROR(__xludf.DUMMYFUNCTION("""COMPUTED_VALUE"""),"2023-11-30 07.21.57")</f>
        <v>2023-11-30 07.21.57</v>
      </c>
      <c r="J367" s="36"/>
      <c r="K367" s="37" t="str">
        <f t="shared" si="1"/>
        <v>[105190857] NATANIEL</v>
      </c>
    </row>
    <row r="368">
      <c r="A368" s="17">
        <f>IFERROR(__xludf.DUMMYFUNCTION("""COMPUTED_VALUE"""),2.06221635E8)</f>
        <v>206221635</v>
      </c>
      <c r="B368" s="18" t="str">
        <f>IFERROR(__xludf.DUMMYFUNCTION("""COMPUTED_VALUE"""),"NOFRI FERDIANTO")</f>
        <v>NOFRI FERDIANTO</v>
      </c>
      <c r="C368" s="18">
        <f>IFERROR(__xludf.DUMMYFUNCTION("""COMPUTED_VALUE"""),29.0)</f>
        <v>29</v>
      </c>
      <c r="D368" s="35" t="str">
        <f>IFERROR(__xludf.DUMMYFUNCTION("""COMPUTED_VALUE"""),"Islam")</f>
        <v>Islam</v>
      </c>
      <c r="E368" s="18" t="str">
        <f>IFERROR(__xludf.DUMMYFUNCTION("""COMPUTED_VALUE"""),"CV. Adil Prima Perkasa")</f>
        <v>CV. Adil Prima Perkasa</v>
      </c>
      <c r="F368" s="18" t="str">
        <f>IFERROR(__xludf.DUMMYFUNCTION("""COMPUTED_VALUE"""),"HELPER WELDER")</f>
        <v>HELPER WELDER</v>
      </c>
      <c r="G368" s="18" t="str">
        <f>IFERROR(__xludf.DUMMYFUNCTION("""COMPUTED_VALUE"""),"WORKSHOP")</f>
        <v>WORKSHOP</v>
      </c>
      <c r="H368" s="18" t="str">
        <f>IFERROR(__xludf.DUMMYFUNCTION("""COMPUTED_VALUE"""),"2023-11-30 07.07.56")</f>
        <v>2023-11-30 07.07.56</v>
      </c>
      <c r="I368" s="18" t="str">
        <f>IFERROR(__xludf.DUMMYFUNCTION("""COMPUTED_VALUE"""),"2023-11-30 07.07.56")</f>
        <v>2023-11-30 07.07.56</v>
      </c>
      <c r="J368" s="36"/>
      <c r="K368" s="37" t="str">
        <f t="shared" si="1"/>
        <v>[206221635] NOFRI FERDIANTO</v>
      </c>
    </row>
    <row r="369">
      <c r="A369" s="17">
        <f>IFERROR(__xludf.DUMMYFUNCTION("""COMPUTED_VALUE"""),1.02201135E8)</f>
        <v>102201135</v>
      </c>
      <c r="B369" s="18" t="str">
        <f>IFERROR(__xludf.DUMMYFUNCTION("""COMPUTED_VALUE"""),"NOLDI POHU")</f>
        <v>NOLDI POHU</v>
      </c>
      <c r="C369" s="18">
        <f>IFERROR(__xludf.DUMMYFUNCTION("""COMPUTED_VALUE"""),36.0)</f>
        <v>36</v>
      </c>
      <c r="D369" s="35" t="str">
        <f>IFERROR(__xludf.DUMMYFUNCTION("""COMPUTED_VALUE"""),"Kristen Protestan")</f>
        <v>Kristen Protestan</v>
      </c>
      <c r="E369" s="18" t="str">
        <f>IFERROR(__xludf.DUMMYFUNCTION("""COMPUTED_VALUE"""),"CV. SENTOSA ABADI")</f>
        <v>CV. SENTOSA ABADI</v>
      </c>
      <c r="F369" s="18" t="str">
        <f>IFERROR(__xludf.DUMMYFUNCTION("""COMPUTED_VALUE"""),"DRIVER DT H700ZY")</f>
        <v>DRIVER DT H700ZY</v>
      </c>
      <c r="G369" s="18" t="str">
        <f>IFERROR(__xludf.DUMMYFUNCTION("""COMPUTED_VALUE"""),"KENDARAAN &amp; UNIT SUPPORT")</f>
        <v>KENDARAAN &amp; UNIT SUPPORT</v>
      </c>
      <c r="H369" s="18" t="str">
        <f>IFERROR(__xludf.DUMMYFUNCTION("""COMPUTED_VALUE"""),"2024-03-31 06.28.05")</f>
        <v>2024-03-31 06.28.05</v>
      </c>
      <c r="I369" s="18" t="str">
        <f>IFERROR(__xludf.DUMMYFUNCTION("""COMPUTED_VALUE"""),"2024-03-31 17.17.19")</f>
        <v>2024-03-31 17.17.19</v>
      </c>
      <c r="J369" s="36"/>
      <c r="K369" s="37" t="str">
        <f t="shared" si="1"/>
        <v>[102201135] NOLDI POHU</v>
      </c>
    </row>
    <row r="370">
      <c r="A370" s="17">
        <f>IFERROR(__xludf.DUMMYFUNCTION("""COMPUTED_VALUE"""),1.06201156E8)</f>
        <v>106201156</v>
      </c>
      <c r="B370" s="18" t="str">
        <f>IFERROR(__xludf.DUMMYFUNCTION("""COMPUTED_VALUE"""),"NORCE LATONTJE")</f>
        <v>NORCE LATONTJE</v>
      </c>
      <c r="C370" s="18">
        <f>IFERROR(__xludf.DUMMYFUNCTION("""COMPUTED_VALUE"""),56.0)</f>
        <v>56</v>
      </c>
      <c r="D370" s="35" t="str">
        <f>IFERROR(__xludf.DUMMYFUNCTION("""COMPUTED_VALUE"""),"Kristen Protestan")</f>
        <v>Kristen Protestan</v>
      </c>
      <c r="E370" s="18" t="str">
        <f>IFERROR(__xludf.DUMMYFUNCTION("""COMPUTED_VALUE"""),"CV. SENTOSA ABADI")</f>
        <v>CV. SENTOSA ABADI</v>
      </c>
      <c r="F370" s="18" t="str">
        <f>IFERROR(__xludf.DUMMYFUNCTION("""COMPUTED_VALUE"""),"STOCKER")</f>
        <v>STOCKER</v>
      </c>
      <c r="G370" s="18" t="str">
        <f>IFERROR(__xludf.DUMMYFUNCTION("""COMPUTED_VALUE"""),"HRD &amp; GA")</f>
        <v>HRD &amp; GA</v>
      </c>
      <c r="H370" s="18" t="str">
        <f>IFERROR(__xludf.DUMMYFUNCTION("""COMPUTED_VALUE"""),"2024-03-19 06.44.13")</f>
        <v>2024-03-19 06.44.13</v>
      </c>
      <c r="I370" s="18" t="str">
        <f>IFERROR(__xludf.DUMMYFUNCTION("""COMPUTED_VALUE"""),"2024-03-19 17.54.27")</f>
        <v>2024-03-19 17.54.27</v>
      </c>
      <c r="J370" s="36"/>
      <c r="K370" s="37" t="str">
        <f t="shared" si="1"/>
        <v>[106201156] NORCE LATONTJE</v>
      </c>
    </row>
    <row r="371">
      <c r="A371" s="17">
        <f>IFERROR(__xludf.DUMMYFUNCTION("""COMPUTED_VALUE"""),2.03241901E8)</f>
        <v>203241901</v>
      </c>
      <c r="B371" s="18" t="str">
        <f>IFERROR(__xludf.DUMMYFUNCTION("""COMPUTED_VALUE"""),"NUGIE")</f>
        <v>NUGIE</v>
      </c>
      <c r="C371" s="18">
        <f>IFERROR(__xludf.DUMMYFUNCTION("""COMPUTED_VALUE"""),0.0)</f>
        <v>0</v>
      </c>
      <c r="D371" s="35"/>
      <c r="E371" s="18" t="str">
        <f>IFERROR(__xludf.DUMMYFUNCTION("""COMPUTED_VALUE"""),"CV. Adil Prima Perkasa")</f>
        <v>CV. Adil Prima Perkasa</v>
      </c>
      <c r="F371" s="18" t="str">
        <f>IFERROR(__xludf.DUMMYFUNCTION("""COMPUTED_VALUE"""),"DRIVER LT")</f>
        <v>DRIVER LT</v>
      </c>
      <c r="G371" s="18" t="str">
        <f>IFERROR(__xludf.DUMMYFUNCTION("""COMPUTED_VALUE"""),"KENDARAAN &amp; UNIT SUPPORT")</f>
        <v>KENDARAAN &amp; UNIT SUPPORT</v>
      </c>
      <c r="H371" s="18" t="str">
        <f>IFERROR(__xludf.DUMMYFUNCTION("""COMPUTED_VALUE"""),"2024-03-31 06.38.17")</f>
        <v>2024-03-31 06.38.17</v>
      </c>
      <c r="I371" s="18" t="str">
        <f>IFERROR(__xludf.DUMMYFUNCTION("""COMPUTED_VALUE"""),"2024-03-31 19.01.14")</f>
        <v>2024-03-31 19.01.14</v>
      </c>
      <c r="J371" s="36"/>
      <c r="K371" s="37" t="str">
        <f t="shared" si="1"/>
        <v>[203241901] NUGIE</v>
      </c>
    </row>
    <row r="372">
      <c r="A372" s="17">
        <f>IFERROR(__xludf.DUMMYFUNCTION("""COMPUTED_VALUE"""),3.01210045E8)</f>
        <v>301210045</v>
      </c>
      <c r="B372" s="18" t="str">
        <f>IFERROR(__xludf.DUMMYFUNCTION("""COMPUTED_VALUE"""),"NULDIN LAEME")</f>
        <v>NULDIN LAEME</v>
      </c>
      <c r="C372" s="18">
        <f>IFERROR(__xludf.DUMMYFUNCTION("""COMPUTED_VALUE"""),45.0)</f>
        <v>45</v>
      </c>
      <c r="D372" s="35" t="str">
        <f>IFERROR(__xludf.DUMMYFUNCTION("""COMPUTED_VALUE"""),"Kristen Protestan")</f>
        <v>Kristen Protestan</v>
      </c>
      <c r="E372" s="18" t="str">
        <f>IFERROR(__xludf.DUMMYFUNCTION("""COMPUTED_VALUE"""),"CV. Monalisa")</f>
        <v>CV. Monalisa</v>
      </c>
      <c r="F372" s="18" t="str">
        <f>IFERROR(__xludf.DUMMYFUNCTION("""COMPUTED_VALUE"""),"OPERATOR GRADER")</f>
        <v>OPERATOR GRADER</v>
      </c>
      <c r="G372" s="18" t="str">
        <f>IFERROR(__xludf.DUMMYFUNCTION("""COMPUTED_VALUE"""),"PRODUKSI")</f>
        <v>PRODUKSI</v>
      </c>
      <c r="H372" s="18"/>
      <c r="I372" s="18"/>
      <c r="J372" s="36"/>
      <c r="K372" s="37" t="str">
        <f t="shared" si="1"/>
        <v/>
      </c>
    </row>
    <row r="373">
      <c r="A373" s="17">
        <f>IFERROR(__xludf.DUMMYFUNCTION("""COMPUTED_VALUE"""),1.11201276E8)</f>
        <v>111201276</v>
      </c>
      <c r="B373" s="18" t="str">
        <f>IFERROR(__xludf.DUMMYFUNCTION("""COMPUTED_VALUE"""),"NUR USMAN BOLIS")</f>
        <v>NUR USMAN BOLIS</v>
      </c>
      <c r="C373" s="18">
        <f>IFERROR(__xludf.DUMMYFUNCTION("""COMPUTED_VALUE"""),48.0)</f>
        <v>48</v>
      </c>
      <c r="D373" s="35" t="str">
        <f>IFERROR(__xludf.DUMMYFUNCTION("""COMPUTED_VALUE"""),"Islam")</f>
        <v>Islam</v>
      </c>
      <c r="E373" s="18" t="str">
        <f>IFERROR(__xludf.DUMMYFUNCTION("""COMPUTED_VALUE"""),"CV. SENTOSA ABADI")</f>
        <v>CV. SENTOSA ABADI</v>
      </c>
      <c r="F373" s="18" t="str">
        <f>IFERROR(__xludf.DUMMYFUNCTION("""COMPUTED_VALUE"""),"OPERATOR BULLDOZER")</f>
        <v>OPERATOR BULLDOZER</v>
      </c>
      <c r="G373" s="18" t="str">
        <f>IFERROR(__xludf.DUMMYFUNCTION("""COMPUTED_VALUE"""),"PRODUKSI")</f>
        <v>PRODUKSI</v>
      </c>
      <c r="H373" s="18" t="str">
        <f>IFERROR(__xludf.DUMMYFUNCTION("""COMPUTED_VALUE"""),"2023-11-28 05.22.48")</f>
        <v>2023-11-28 05.22.48</v>
      </c>
      <c r="I373" s="18" t="str">
        <f>IFERROR(__xludf.DUMMYFUNCTION("""COMPUTED_VALUE"""),"2023-11-28 05.22.48")</f>
        <v>2023-11-28 05.22.48</v>
      </c>
      <c r="J373" s="36">
        <f>IFERROR(__xludf.DUMMYFUNCTION("""COMPUTED_VALUE"""),28395.0)</f>
        <v>28395</v>
      </c>
      <c r="K373" s="37" t="str">
        <f t="shared" si="1"/>
        <v>[111201276] NUR USMAN BOLIS</v>
      </c>
    </row>
    <row r="374">
      <c r="A374" s="17">
        <f>IFERROR(__xludf.DUMMYFUNCTION("""COMPUTED_VALUE"""),2.10221697E8)</f>
        <v>210221697</v>
      </c>
      <c r="B374" s="18" t="str">
        <f>IFERROR(__xludf.DUMMYFUNCTION("""COMPUTED_VALUE"""),"NUR VERI FADLI")</f>
        <v>NUR VERI FADLI</v>
      </c>
      <c r="C374" s="18">
        <f>IFERROR(__xludf.DUMMYFUNCTION("""COMPUTED_VALUE"""),20.0)</f>
        <v>20</v>
      </c>
      <c r="D374" s="35" t="str">
        <f>IFERROR(__xludf.DUMMYFUNCTION("""COMPUTED_VALUE"""),"Islam")</f>
        <v>Islam</v>
      </c>
      <c r="E374" s="18" t="str">
        <f>IFERROR(__xludf.DUMMYFUNCTION("""COMPUTED_VALUE"""),"CV. Adil Prima Perkasa")</f>
        <v>CV. Adil Prima Perkasa</v>
      </c>
      <c r="F374" s="18" t="str">
        <f>IFERROR(__xludf.DUMMYFUNCTION("""COMPUTED_VALUE"""),"CHECKER PRODUKSI")</f>
        <v>CHECKER PRODUKSI</v>
      </c>
      <c r="G374" s="18" t="str">
        <f>IFERROR(__xludf.DUMMYFUNCTION("""COMPUTED_VALUE"""),"PRODUKSI")</f>
        <v>PRODUKSI</v>
      </c>
      <c r="H374" s="18" t="str">
        <f>IFERROR(__xludf.DUMMYFUNCTION("""COMPUTED_VALUE"""),"2023-11-30 06.08.03")</f>
        <v>2023-11-30 06.08.03</v>
      </c>
      <c r="I374" s="18" t="str">
        <f>IFERROR(__xludf.DUMMYFUNCTION("""COMPUTED_VALUE"""),"2023-11-30 06.08.03")</f>
        <v>2023-11-30 06.08.03</v>
      </c>
      <c r="J374" s="36"/>
      <c r="K374" s="37" t="str">
        <f t="shared" si="1"/>
        <v>[210221697] NUR VERI FADLI</v>
      </c>
    </row>
    <row r="375">
      <c r="A375" s="17">
        <f>IFERROR(__xludf.DUMMYFUNCTION("""COMPUTED_VALUE"""),1.1019109E8)</f>
        <v>110191090</v>
      </c>
      <c r="B375" s="18" t="str">
        <f>IFERROR(__xludf.DUMMYFUNCTION("""COMPUTED_VALUE"""),"NUR YASIN SIDENG")</f>
        <v>NUR YASIN SIDENG</v>
      </c>
      <c r="C375" s="18">
        <f>IFERROR(__xludf.DUMMYFUNCTION("""COMPUTED_VALUE"""),38.0)</f>
        <v>38</v>
      </c>
      <c r="D375" s="35" t="str">
        <f>IFERROR(__xludf.DUMMYFUNCTION("""COMPUTED_VALUE"""),"Islam")</f>
        <v>Islam</v>
      </c>
      <c r="E375" s="18" t="str">
        <f>IFERROR(__xludf.DUMMYFUNCTION("""COMPUTED_VALUE"""),"CV. SENTOSA ABADI")</f>
        <v>CV. SENTOSA ABADI</v>
      </c>
      <c r="F375" s="18" t="str">
        <f>IFERROR(__xludf.DUMMYFUNCTION("""COMPUTED_VALUE"""),"DRIVER DT H700ZY")</f>
        <v>DRIVER DT H700ZY</v>
      </c>
      <c r="G375" s="18" t="str">
        <f>IFERROR(__xludf.DUMMYFUNCTION("""COMPUTED_VALUE"""),"KENDARAAN &amp; UNIT SUPPORT")</f>
        <v>KENDARAAN &amp; UNIT SUPPORT</v>
      </c>
      <c r="H375" s="18" t="str">
        <f>IFERROR(__xludf.DUMMYFUNCTION("""COMPUTED_VALUE"""),"2024-03-30 06.31.02")</f>
        <v>2024-03-30 06.31.02</v>
      </c>
      <c r="I375" s="18" t="str">
        <f>IFERROR(__xludf.DUMMYFUNCTION("""COMPUTED_VALUE"""),"2024-03-30 06.31.02")</f>
        <v>2024-03-30 06.31.02</v>
      </c>
      <c r="J375" s="36">
        <f>IFERROR(__xludf.DUMMYFUNCTION("""COMPUTED_VALUE"""),35131.0)</f>
        <v>35131</v>
      </c>
      <c r="K375" s="37" t="str">
        <f t="shared" si="1"/>
        <v>[110191090] NUR YASIN SIDENG</v>
      </c>
    </row>
    <row r="376">
      <c r="A376" s="17">
        <f>IFERROR(__xludf.DUMMYFUNCTION("""COMPUTED_VALUE"""),1.10211499E8)</f>
        <v>110211499</v>
      </c>
      <c r="B376" s="18" t="str">
        <f>IFERROR(__xludf.DUMMYFUNCTION("""COMPUTED_VALUE"""),"OKTAVIANUS ANDRO USU")</f>
        <v>OKTAVIANUS ANDRO USU</v>
      </c>
      <c r="C376" s="18">
        <f>IFERROR(__xludf.DUMMYFUNCTION("""COMPUTED_VALUE"""),0.0)</f>
        <v>0</v>
      </c>
      <c r="D376" s="35" t="str">
        <f>IFERROR(__xludf.DUMMYFUNCTION("""COMPUTED_VALUE"""),"Kristen Khatolik")</f>
        <v>Kristen Khatolik</v>
      </c>
      <c r="E376" s="18" t="str">
        <f>IFERROR(__xludf.DUMMYFUNCTION("""COMPUTED_VALUE"""),"CV. SENTOSA ABADI")</f>
        <v>CV. SENTOSA ABADI</v>
      </c>
      <c r="F376" s="18" t="str">
        <f>IFERROR(__xludf.DUMMYFUNCTION("""COMPUTED_VALUE"""),"CHECKER PRODUKSI")</f>
        <v>CHECKER PRODUKSI</v>
      </c>
      <c r="G376" s="18" t="str">
        <f>IFERROR(__xludf.DUMMYFUNCTION("""COMPUTED_VALUE"""),"PRODUKSI")</f>
        <v>PRODUKSI</v>
      </c>
      <c r="H376" s="18" t="str">
        <f>IFERROR(__xludf.DUMMYFUNCTION("""COMPUTED_VALUE"""),"2023-11-30 20.17.28")</f>
        <v>2023-11-30 20.17.28</v>
      </c>
      <c r="I376" s="18" t="str">
        <f>IFERROR(__xludf.DUMMYFUNCTION("""COMPUTED_VALUE"""),"2023-11-30 20.17.28")</f>
        <v>2023-11-30 20.17.28</v>
      </c>
      <c r="J376" s="36"/>
      <c r="K376" s="37" t="str">
        <f t="shared" si="1"/>
        <v>[110211499] OKTAVIANUS ANDRO USU</v>
      </c>
    </row>
    <row r="377">
      <c r="A377" s="17">
        <f>IFERROR(__xludf.DUMMYFUNCTION("""COMPUTED_VALUE"""),2.02231723E8)</f>
        <v>202231723</v>
      </c>
      <c r="B377" s="18" t="str">
        <f>IFERROR(__xludf.DUMMYFUNCTION("""COMPUTED_VALUE"""),"OKTAVIANUS MAAK")</f>
        <v>OKTAVIANUS MAAK</v>
      </c>
      <c r="C377" s="18">
        <f>IFERROR(__xludf.DUMMYFUNCTION("""COMPUTED_VALUE"""),26.0)</f>
        <v>26</v>
      </c>
      <c r="D377" s="35" t="str">
        <f>IFERROR(__xludf.DUMMYFUNCTION("""COMPUTED_VALUE"""),"Kristen Khatolik")</f>
        <v>Kristen Khatolik</v>
      </c>
      <c r="E377" s="18" t="str">
        <f>IFERROR(__xludf.DUMMYFUNCTION("""COMPUTED_VALUE"""),"CV. Adil Prima Perkasa")</f>
        <v>CV. Adil Prima Perkasa</v>
      </c>
      <c r="F377" s="18" t="str">
        <f>IFERROR(__xludf.DUMMYFUNCTION("""COMPUTED_VALUE"""),"CHECKER PRODUKSI")</f>
        <v>CHECKER PRODUKSI</v>
      </c>
      <c r="G377" s="18" t="str">
        <f>IFERROR(__xludf.DUMMYFUNCTION("""COMPUTED_VALUE"""),"PRODUKSI")</f>
        <v>PRODUKSI</v>
      </c>
      <c r="H377" s="18" t="str">
        <f>IFERROR(__xludf.DUMMYFUNCTION("""COMPUTED_VALUE"""),"2023-11-30 05.59.35")</f>
        <v>2023-11-30 05.59.35</v>
      </c>
      <c r="I377" s="18" t="str">
        <f>IFERROR(__xludf.DUMMYFUNCTION("""COMPUTED_VALUE"""),"2023-11-30 21.44.37")</f>
        <v>2023-11-30 21.44.37</v>
      </c>
      <c r="J377" s="36"/>
      <c r="K377" s="37" t="str">
        <f t="shared" si="1"/>
        <v>[202231723] OKTAVIANUS MAAK</v>
      </c>
    </row>
    <row r="378">
      <c r="A378" s="17">
        <f>IFERROR(__xludf.DUMMYFUNCTION("""COMPUTED_VALUE"""),3.06210074E8)</f>
        <v>306210074</v>
      </c>
      <c r="B378" s="18" t="str">
        <f>IFERROR(__xludf.DUMMYFUNCTION("""COMPUTED_VALUE"""),"OVERUS SEDA")</f>
        <v>OVERUS SEDA</v>
      </c>
      <c r="C378" s="18">
        <f>IFERROR(__xludf.DUMMYFUNCTION("""COMPUTED_VALUE"""),48.0)</f>
        <v>48</v>
      </c>
      <c r="D378" s="35" t="str">
        <f>IFERROR(__xludf.DUMMYFUNCTION("""COMPUTED_VALUE"""),"Kristen Protestan")</f>
        <v>Kristen Protestan</v>
      </c>
      <c r="E378" s="18" t="str">
        <f>IFERROR(__xludf.DUMMYFUNCTION("""COMPUTED_VALUE"""),"CV. Monalisa")</f>
        <v>CV. Monalisa</v>
      </c>
      <c r="F378" s="18" t="str">
        <f>IFERROR(__xludf.DUMMYFUNCTION("""COMPUTED_VALUE"""),"DRIVER DT")</f>
        <v>DRIVER DT</v>
      </c>
      <c r="G378" s="18" t="str">
        <f>IFERROR(__xludf.DUMMYFUNCTION("""COMPUTED_VALUE"""),"KENDARAAN &amp; UNIT SUPPORT")</f>
        <v>KENDARAAN &amp; UNIT SUPPORT</v>
      </c>
      <c r="H378" s="18"/>
      <c r="I378" s="18"/>
      <c r="J378" s="36"/>
      <c r="K378" s="37" t="str">
        <f t="shared" si="1"/>
        <v/>
      </c>
    </row>
    <row r="379">
      <c r="A379" s="17">
        <f>IFERROR(__xludf.DUMMYFUNCTION("""COMPUTED_VALUE"""),1.08201209E8)</f>
        <v>108201209</v>
      </c>
      <c r="B379" s="18" t="str">
        <f>IFERROR(__xludf.DUMMYFUNCTION("""COMPUTED_VALUE"""),"PAHARUDDIN DG NGALLE")</f>
        <v>PAHARUDDIN DG NGALLE</v>
      </c>
      <c r="C379" s="18">
        <f>IFERROR(__xludf.DUMMYFUNCTION("""COMPUTED_VALUE"""),42.0)</f>
        <v>42</v>
      </c>
      <c r="D379" s="35" t="str">
        <f>IFERROR(__xludf.DUMMYFUNCTION("""COMPUTED_VALUE"""),"Islam")</f>
        <v>Islam</v>
      </c>
      <c r="E379" s="18" t="str">
        <f>IFERROR(__xludf.DUMMYFUNCTION("""COMPUTED_VALUE"""),"CV. SENTOSA ABADI")</f>
        <v>CV. SENTOSA ABADI</v>
      </c>
      <c r="F379" s="18" t="str">
        <f>IFERROR(__xludf.DUMMYFUNCTION("""COMPUTED_VALUE"""),"DRIVER DT H700ZY")</f>
        <v>DRIVER DT H700ZY</v>
      </c>
      <c r="G379" s="18" t="str">
        <f>IFERROR(__xludf.DUMMYFUNCTION("""COMPUTED_VALUE"""),"KENDARAAN &amp; UNIT SUPPORT")</f>
        <v>KENDARAAN &amp; UNIT SUPPORT</v>
      </c>
      <c r="H379" s="18" t="str">
        <f>IFERROR(__xludf.DUMMYFUNCTION("""COMPUTED_VALUE"""),"2024-03-31 06.24.17")</f>
        <v>2024-03-31 06.24.17</v>
      </c>
      <c r="I379" s="18" t="str">
        <f>IFERROR(__xludf.DUMMYFUNCTION("""COMPUTED_VALUE"""),"2024-03-31 18.19.19")</f>
        <v>2024-03-31 18.19.19</v>
      </c>
      <c r="J379" s="36">
        <f>IFERROR(__xludf.DUMMYFUNCTION("""COMPUTED_VALUE"""),30463.0)</f>
        <v>30463</v>
      </c>
      <c r="K379" s="37" t="str">
        <f t="shared" si="1"/>
        <v>[108201209] PAHARUDDIN DG NGALLE</v>
      </c>
    </row>
    <row r="380">
      <c r="A380" s="17">
        <f>IFERROR(__xludf.DUMMYFUNCTION("""COMPUTED_VALUE"""),2.1020125E8)</f>
        <v>210201250</v>
      </c>
      <c r="B380" s="18" t="str">
        <f>IFERROR(__xludf.DUMMYFUNCTION("""COMPUTED_VALUE"""),"PARAHAN")</f>
        <v>PARAHAN</v>
      </c>
      <c r="C380" s="18">
        <f>IFERROR(__xludf.DUMMYFUNCTION("""COMPUTED_VALUE"""),42.0)</f>
        <v>42</v>
      </c>
      <c r="D380" s="35" t="str">
        <f>IFERROR(__xludf.DUMMYFUNCTION("""COMPUTED_VALUE"""),"Islam")</f>
        <v>Islam</v>
      </c>
      <c r="E380" s="18" t="str">
        <f>IFERROR(__xludf.DUMMYFUNCTION("""COMPUTED_VALUE"""),"CV. Adil Prima Perkasa")</f>
        <v>CV. Adil Prima Perkasa</v>
      </c>
      <c r="F380" s="18" t="str">
        <f>IFERROR(__xludf.DUMMYFUNCTION("""COMPUTED_VALUE"""),"DRIVER DT H700ZY")</f>
        <v>DRIVER DT H700ZY</v>
      </c>
      <c r="G380" s="18" t="str">
        <f>IFERROR(__xludf.DUMMYFUNCTION("""COMPUTED_VALUE"""),"KENDARAAN &amp; UNIT SUPPORT")</f>
        <v>KENDARAAN &amp; UNIT SUPPORT</v>
      </c>
      <c r="H380" s="18" t="str">
        <f>IFERROR(__xludf.DUMMYFUNCTION("""COMPUTED_VALUE"""),"2024-03-30 03.11.26")</f>
        <v>2024-03-30 03.11.26</v>
      </c>
      <c r="I380" s="18" t="str">
        <f>IFERROR(__xludf.DUMMYFUNCTION("""COMPUTED_VALUE"""),"2024-03-30 16.31.33")</f>
        <v>2024-03-30 16.31.33</v>
      </c>
      <c r="J380" s="36"/>
      <c r="K380" s="37" t="str">
        <f t="shared" si="1"/>
        <v>[210201250] PARAHAN</v>
      </c>
    </row>
    <row r="381">
      <c r="A381" s="17">
        <f>IFERROR(__xludf.DUMMYFUNCTION("""COMPUTED_VALUE"""),2.02241884E8)</f>
        <v>202241884</v>
      </c>
      <c r="B381" s="18" t="str">
        <f>IFERROR(__xludf.DUMMYFUNCTION("""COMPUTED_VALUE"""),"PASKALIS JUANCI OJO")</f>
        <v>PASKALIS JUANCI OJO</v>
      </c>
      <c r="C381" s="18">
        <f>IFERROR(__xludf.DUMMYFUNCTION("""COMPUTED_VALUE"""),0.0)</f>
        <v>0</v>
      </c>
      <c r="D381" s="35"/>
      <c r="E381" s="18" t="str">
        <f>IFERROR(__xludf.DUMMYFUNCTION("""COMPUTED_VALUE"""),"CV. Adil Prima Perkasa")</f>
        <v>CV. Adil Prima Perkasa</v>
      </c>
      <c r="F381" s="18" t="str">
        <f>IFERROR(__xludf.DUMMYFUNCTION("""COMPUTED_VALUE"""),"HELPER MECHANIC MAINTENANCE")</f>
        <v>HELPER MECHANIC MAINTENANCE</v>
      </c>
      <c r="G381" s="18" t="str">
        <f>IFERROR(__xludf.DUMMYFUNCTION("""COMPUTED_VALUE"""),"WORKSHOP")</f>
        <v>WORKSHOP</v>
      </c>
      <c r="H381" s="18"/>
      <c r="I381" s="18"/>
      <c r="J381" s="36"/>
      <c r="K381" s="37" t="str">
        <f t="shared" si="1"/>
        <v/>
      </c>
    </row>
    <row r="382">
      <c r="A382" s="17">
        <f>IFERROR(__xludf.DUMMYFUNCTION("""COMPUTED_VALUE"""),1.10201246E8)</f>
        <v>110201246</v>
      </c>
      <c r="B382" s="18" t="str">
        <f>IFERROR(__xludf.DUMMYFUNCTION("""COMPUTED_VALUE"""),"PAULUS LIKI")</f>
        <v>PAULUS LIKI</v>
      </c>
      <c r="C382" s="18">
        <f>IFERROR(__xludf.DUMMYFUNCTION("""COMPUTED_VALUE"""),46.0)</f>
        <v>46</v>
      </c>
      <c r="D382" s="35" t="str">
        <f>IFERROR(__xludf.DUMMYFUNCTION("""COMPUTED_VALUE"""),"Kristen Protestan")</f>
        <v>Kristen Protestan</v>
      </c>
      <c r="E382" s="18" t="str">
        <f>IFERROR(__xludf.DUMMYFUNCTION("""COMPUTED_VALUE"""),"CV. SENTOSA ABADI")</f>
        <v>CV. SENTOSA ABADI</v>
      </c>
      <c r="F382" s="18" t="str">
        <f>IFERROR(__xludf.DUMMYFUNCTION("""COMPUTED_VALUE"""),"FOREMAN PRODUKSI")</f>
        <v>FOREMAN PRODUKSI</v>
      </c>
      <c r="G382" s="18" t="str">
        <f>IFERROR(__xludf.DUMMYFUNCTION("""COMPUTED_VALUE"""),"PRODUKSI")</f>
        <v>PRODUKSI</v>
      </c>
      <c r="H382" s="18" t="str">
        <f>IFERROR(__xludf.DUMMYFUNCTION("""COMPUTED_VALUE"""),"2023-11-30 06.03.17")</f>
        <v>2023-11-30 06.03.17</v>
      </c>
      <c r="I382" s="18" t="str">
        <f>IFERROR(__xludf.DUMMYFUNCTION("""COMPUTED_VALUE"""),"2023-11-30 17.34.37")</f>
        <v>2023-11-30 17.34.37</v>
      </c>
      <c r="J382" s="36"/>
      <c r="K382" s="37" t="str">
        <f t="shared" si="1"/>
        <v>[110201246] PAULUS LIKI</v>
      </c>
    </row>
    <row r="383">
      <c r="A383" s="17">
        <f>IFERROR(__xludf.DUMMYFUNCTION("""COMPUTED_VALUE"""),1.0117009E8)</f>
        <v>101170090</v>
      </c>
      <c r="B383" s="18" t="str">
        <f>IFERROR(__xludf.DUMMYFUNCTION("""COMPUTED_VALUE"""),"PERDIANTO PALIU")</f>
        <v>PERDIANTO PALIU</v>
      </c>
      <c r="C383" s="18">
        <f>IFERROR(__xludf.DUMMYFUNCTION("""COMPUTED_VALUE"""),0.0)</f>
        <v>0</v>
      </c>
      <c r="D383" s="35"/>
      <c r="E383" s="18" t="str">
        <f>IFERROR(__xludf.DUMMYFUNCTION("""COMPUTED_VALUE"""),"CV. SENTOSA ABADI")</f>
        <v>CV. SENTOSA ABADI</v>
      </c>
      <c r="F383" s="18" t="str">
        <f>IFERROR(__xludf.DUMMYFUNCTION("""COMPUTED_VALUE"""),"HELPER ELECTRICIAN")</f>
        <v>HELPER ELECTRICIAN</v>
      </c>
      <c r="G383" s="18" t="str">
        <f>IFERROR(__xludf.DUMMYFUNCTION("""COMPUTED_VALUE"""),"WORKSHOP")</f>
        <v>WORKSHOP</v>
      </c>
      <c r="H383" s="18" t="str">
        <f>IFERROR(__xludf.DUMMYFUNCTION("""COMPUTED_VALUE"""),"2023-11-29 07.24.05")</f>
        <v>2023-11-29 07.24.05</v>
      </c>
      <c r="I383" s="18" t="str">
        <f>IFERROR(__xludf.DUMMYFUNCTION("""COMPUTED_VALUE"""),"2023-11-29 07.24.05")</f>
        <v>2023-11-29 07.24.05</v>
      </c>
      <c r="J383" s="36"/>
      <c r="K383" s="37" t="str">
        <f t="shared" si="1"/>
        <v>[101170090] PERDIANTO PALIU</v>
      </c>
    </row>
    <row r="384">
      <c r="A384" s="17">
        <f>IFERROR(__xludf.DUMMYFUNCTION("""COMPUTED_VALUE"""),2.04190819E8)</f>
        <v>204190819</v>
      </c>
      <c r="B384" s="18" t="str">
        <f>IFERROR(__xludf.DUMMYFUNCTION("""COMPUTED_VALUE"""),"PETRUS SULE")</f>
        <v>PETRUS SULE</v>
      </c>
      <c r="C384" s="18">
        <f>IFERROR(__xludf.DUMMYFUNCTION("""COMPUTED_VALUE"""),56.0)</f>
        <v>56</v>
      </c>
      <c r="D384" s="35" t="str">
        <f>IFERROR(__xludf.DUMMYFUNCTION("""COMPUTED_VALUE"""),"Kristen Protestan")</f>
        <v>Kristen Protestan</v>
      </c>
      <c r="E384" s="18" t="str">
        <f>IFERROR(__xludf.DUMMYFUNCTION("""COMPUTED_VALUE"""),"CV. Adil Prima Perkasa")</f>
        <v>CV. Adil Prima Perkasa</v>
      </c>
      <c r="F384" s="18" t="str">
        <f>IFERROR(__xludf.DUMMYFUNCTION("""COMPUTED_VALUE"""),"MEKANIK ALAT BERAT")</f>
        <v>MEKANIK ALAT BERAT</v>
      </c>
      <c r="G384" s="18" t="str">
        <f>IFERROR(__xludf.DUMMYFUNCTION("""COMPUTED_VALUE"""),"WORKSHOP")</f>
        <v>WORKSHOP</v>
      </c>
      <c r="H384" s="18" t="str">
        <f>IFERROR(__xludf.DUMMYFUNCTION("""COMPUTED_VALUE"""),"2023-11-30 05.30.11")</f>
        <v>2023-11-30 05.30.11</v>
      </c>
      <c r="I384" s="18" t="str">
        <f>IFERROR(__xludf.DUMMYFUNCTION("""COMPUTED_VALUE"""),"2023-11-30 17.01.54")</f>
        <v>2023-11-30 17.01.54</v>
      </c>
      <c r="J384" s="36">
        <f>IFERROR(__xludf.DUMMYFUNCTION("""COMPUTED_VALUE"""),27643.0)</f>
        <v>27643</v>
      </c>
      <c r="K384" s="37" t="str">
        <f t="shared" si="1"/>
        <v>[204190819] PETRUS SULE</v>
      </c>
    </row>
    <row r="385">
      <c r="A385" s="17">
        <f>IFERROR(__xludf.DUMMYFUNCTION("""COMPUTED_VALUE"""),1.05241926E8)</f>
        <v>105241926</v>
      </c>
      <c r="B385" s="18" t="str">
        <f>IFERROR(__xludf.DUMMYFUNCTION("""COMPUTED_VALUE"""),"PRISILIA PESIK")</f>
        <v>PRISILIA PESIK</v>
      </c>
      <c r="C385" s="18">
        <f>IFERROR(__xludf.DUMMYFUNCTION("""COMPUTED_VALUE"""),0.0)</f>
        <v>0</v>
      </c>
      <c r="D385" s="35"/>
      <c r="E385" s="18" t="str">
        <f>IFERROR(__xludf.DUMMYFUNCTION("""COMPUTED_VALUE"""),"CV. SENTOSA ABADI")</f>
        <v>CV. SENTOSA ABADI</v>
      </c>
      <c r="F385" s="18" t="str">
        <f>IFERROR(__xludf.DUMMYFUNCTION("""COMPUTED_VALUE"""),"STOCKER")</f>
        <v>STOCKER</v>
      </c>
      <c r="G385" s="18" t="str">
        <f>IFERROR(__xludf.DUMMYFUNCTION("""COMPUTED_VALUE"""),"HRD &amp; GA")</f>
        <v>HRD &amp; GA</v>
      </c>
      <c r="H385" s="18"/>
      <c r="I385" s="18"/>
      <c r="J385" s="36"/>
      <c r="K385" s="37" t="str">
        <f t="shared" si="1"/>
        <v/>
      </c>
    </row>
    <row r="386">
      <c r="A386" s="17">
        <f>IFERROR(__xludf.DUMMYFUNCTION("""COMPUTED_VALUE"""),1.12231863E8)</f>
        <v>112231863</v>
      </c>
      <c r="B386" s="18" t="str">
        <f>IFERROR(__xludf.DUMMYFUNCTION("""COMPUTED_VALUE"""),"PRITS SIRODI")</f>
        <v>PRITS SIRODI</v>
      </c>
      <c r="C386" s="18">
        <f>IFERROR(__xludf.DUMMYFUNCTION("""COMPUTED_VALUE"""),0.0)</f>
        <v>0</v>
      </c>
      <c r="D386" s="35"/>
      <c r="E386" s="18" t="str">
        <f>IFERROR(__xludf.DUMMYFUNCTION("""COMPUTED_VALUE"""),"CV. SENTOSA ABADI")</f>
        <v>CV. SENTOSA ABADI</v>
      </c>
      <c r="F386" s="18" t="str">
        <f>IFERROR(__xludf.DUMMYFUNCTION("""COMPUTED_VALUE"""),"DRIVER DT H500")</f>
        <v>DRIVER DT H500</v>
      </c>
      <c r="G386" s="18" t="str">
        <f>IFERROR(__xludf.DUMMYFUNCTION("""COMPUTED_VALUE"""),"KENDARAAN &amp; UNIT SUPPORT")</f>
        <v>KENDARAAN &amp; UNIT SUPPORT</v>
      </c>
      <c r="H386" s="18" t="str">
        <f>IFERROR(__xludf.DUMMYFUNCTION("""COMPUTED_VALUE"""),"2024-03-31 06.33.03")</f>
        <v>2024-03-31 06.33.03</v>
      </c>
      <c r="I386" s="18" t="str">
        <f>IFERROR(__xludf.DUMMYFUNCTION("""COMPUTED_VALUE"""),"2024-03-31 16.31.16")</f>
        <v>2024-03-31 16.31.16</v>
      </c>
      <c r="J386" s="36">
        <f>IFERROR(__xludf.DUMMYFUNCTION("""COMPUTED_VALUE"""),37555.0)</f>
        <v>37555</v>
      </c>
      <c r="K386" s="37" t="str">
        <f t="shared" si="1"/>
        <v>[112231863] PRITS SIRODI</v>
      </c>
    </row>
    <row r="387">
      <c r="A387" s="17">
        <f>IFERROR(__xludf.DUMMYFUNCTION("""COMPUTED_VALUE"""),1.02130003E8)</f>
        <v>102130003</v>
      </c>
      <c r="B387" s="18" t="str">
        <f>IFERROR(__xludf.DUMMYFUNCTION("""COMPUTED_VALUE"""),"PURNAWAN")</f>
        <v>PURNAWAN</v>
      </c>
      <c r="C387" s="18">
        <f>IFERROR(__xludf.DUMMYFUNCTION("""COMPUTED_VALUE"""),36.0)</f>
        <v>36</v>
      </c>
      <c r="D387" s="35" t="str">
        <f>IFERROR(__xludf.DUMMYFUNCTION("""COMPUTED_VALUE"""),"Islam")</f>
        <v>Islam</v>
      </c>
      <c r="E387" s="18" t="str">
        <f>IFERROR(__xludf.DUMMYFUNCTION("""COMPUTED_VALUE"""),"CV. SENTOSA ABADI")</f>
        <v>CV. SENTOSA ABADI</v>
      </c>
      <c r="F387" s="18" t="str">
        <f>IFERROR(__xludf.DUMMYFUNCTION("""COMPUTED_VALUE"""),"HEAD OF PRODUCTION")</f>
        <v>HEAD OF PRODUCTION</v>
      </c>
      <c r="G387" s="18" t="str">
        <f>IFERROR(__xludf.DUMMYFUNCTION("""COMPUTED_VALUE"""),"PRODUKSI")</f>
        <v>PRODUKSI</v>
      </c>
      <c r="H387" s="18" t="str">
        <f>IFERROR(__xludf.DUMMYFUNCTION("""COMPUTED_VALUE"""),"2023-11-30 13.59.29")</f>
        <v>2023-11-30 13.59.29</v>
      </c>
      <c r="I387" s="18" t="str">
        <f>IFERROR(__xludf.DUMMYFUNCTION("""COMPUTED_VALUE"""),"2023-11-30 13.59.29")</f>
        <v>2023-11-30 13.59.29</v>
      </c>
      <c r="J387" s="36"/>
      <c r="K387" s="37" t="str">
        <f t="shared" si="1"/>
        <v>[102130003] PURNAWAN</v>
      </c>
    </row>
    <row r="388">
      <c r="A388" s="17">
        <f>IFERROR(__xludf.DUMMYFUNCTION("""COMPUTED_VALUE"""),2.0820118E8)</f>
        <v>208201180</v>
      </c>
      <c r="B388" s="18" t="str">
        <f>IFERROR(__xludf.DUMMYFUNCTION("""COMPUTED_VALUE"""),"PURNOMO")</f>
        <v>PURNOMO</v>
      </c>
      <c r="C388" s="18">
        <f>IFERROR(__xludf.DUMMYFUNCTION("""COMPUTED_VALUE"""),43.0)</f>
        <v>43</v>
      </c>
      <c r="D388" s="35" t="str">
        <f>IFERROR(__xludf.DUMMYFUNCTION("""COMPUTED_VALUE"""),"Islam")</f>
        <v>Islam</v>
      </c>
      <c r="E388" s="18" t="str">
        <f>IFERROR(__xludf.DUMMYFUNCTION("""COMPUTED_VALUE"""),"CV. Adil Prima Perkasa")</f>
        <v>CV. Adil Prima Perkasa</v>
      </c>
      <c r="F388" s="18" t="str">
        <f>IFERROR(__xludf.DUMMYFUNCTION("""COMPUTED_VALUE"""),"DRIVER DT H700ZY")</f>
        <v>DRIVER DT H700ZY</v>
      </c>
      <c r="G388" s="18" t="str">
        <f>IFERROR(__xludf.DUMMYFUNCTION("""COMPUTED_VALUE"""),"KENDARAAN &amp; UNIT SUPPORT")</f>
        <v>KENDARAAN &amp; UNIT SUPPORT</v>
      </c>
      <c r="H388" s="18" t="str">
        <f>IFERROR(__xludf.DUMMYFUNCTION("""COMPUTED_VALUE"""),"2024-03-31 06.34.29")</f>
        <v>2024-03-31 06.34.29</v>
      </c>
      <c r="I388" s="18" t="str">
        <f>IFERROR(__xludf.DUMMYFUNCTION("""COMPUTED_VALUE"""),"2024-03-31 16.45.44")</f>
        <v>2024-03-31 16.45.44</v>
      </c>
      <c r="J388" s="36"/>
      <c r="K388" s="37" t="str">
        <f t="shared" si="1"/>
        <v>[208201180] PURNOMO</v>
      </c>
    </row>
    <row r="389">
      <c r="A389" s="17">
        <f>IFERROR(__xludf.DUMMYFUNCTION("""COMPUTED_VALUE"""),2.05241923E8)</f>
        <v>205241923</v>
      </c>
      <c r="B389" s="18" t="str">
        <f>IFERROR(__xludf.DUMMYFUNCTION("""COMPUTED_VALUE"""),"PUTRA FAISAL UGAKA")</f>
        <v>PUTRA FAISAL UGAKA</v>
      </c>
      <c r="C389" s="18">
        <f>IFERROR(__xludf.DUMMYFUNCTION("""COMPUTED_VALUE"""),21.0)</f>
        <v>21</v>
      </c>
      <c r="D389" s="35" t="str">
        <f>IFERROR(__xludf.DUMMYFUNCTION("""COMPUTED_VALUE"""),"Islam")</f>
        <v>Islam</v>
      </c>
      <c r="E389" s="18" t="str">
        <f>IFERROR(__xludf.DUMMYFUNCTION("""COMPUTED_VALUE"""),"CV. Adil Prima Perkasa")</f>
        <v>CV. Adil Prima Perkasa</v>
      </c>
      <c r="F389" s="18" t="str">
        <f>IFERROR(__xludf.DUMMYFUNCTION("""COMPUTED_VALUE"""),"HELPER MEKANIK LV")</f>
        <v>HELPER MEKANIK LV</v>
      </c>
      <c r="G389" s="18" t="str">
        <f>IFERROR(__xludf.DUMMYFUNCTION("""COMPUTED_VALUE"""),"WORKSHOP")</f>
        <v>WORKSHOP</v>
      </c>
      <c r="H389" s="18"/>
      <c r="I389" s="18"/>
      <c r="J389" s="36"/>
      <c r="K389" s="37" t="str">
        <f t="shared" si="1"/>
        <v/>
      </c>
    </row>
    <row r="390">
      <c r="A390" s="17">
        <f>IFERROR(__xludf.DUMMYFUNCTION("""COMPUTED_VALUE"""),2.07231808E8)</f>
        <v>207231808</v>
      </c>
      <c r="B390" s="18" t="str">
        <f>IFERROR(__xludf.DUMMYFUNCTION("""COMPUTED_VALUE"""),"PUTRAWAN PADJO")</f>
        <v>PUTRAWAN PADJO</v>
      </c>
      <c r="C390" s="18">
        <f>IFERROR(__xludf.DUMMYFUNCTION("""COMPUTED_VALUE"""),0.0)</f>
        <v>0</v>
      </c>
      <c r="D390" s="35"/>
      <c r="E390" s="18" t="str">
        <f>IFERROR(__xludf.DUMMYFUNCTION("""COMPUTED_VALUE"""),"CV. Adil Prima Perkasa")</f>
        <v>CV. Adil Prima Perkasa</v>
      </c>
      <c r="F390" s="18" t="str">
        <f>IFERROR(__xludf.DUMMYFUNCTION("""COMPUTED_VALUE"""),"HELPER MECHANIC MAINTENANCE")</f>
        <v>HELPER MECHANIC MAINTENANCE</v>
      </c>
      <c r="G390" s="18" t="str">
        <f>IFERROR(__xludf.DUMMYFUNCTION("""COMPUTED_VALUE"""),"WORKSHOP")</f>
        <v>WORKSHOP</v>
      </c>
      <c r="H390" s="18" t="str">
        <f>IFERROR(__xludf.DUMMYFUNCTION("""COMPUTED_VALUE"""),"2023-11-30 05.46.44")</f>
        <v>2023-11-30 05.46.44</v>
      </c>
      <c r="I390" s="18" t="str">
        <f>IFERROR(__xludf.DUMMYFUNCTION("""COMPUTED_VALUE"""),"2023-11-30 18.45.32")</f>
        <v>2023-11-30 18.45.32</v>
      </c>
      <c r="J390" s="36"/>
      <c r="K390" s="37" t="str">
        <f t="shared" si="1"/>
        <v>[207231808] PUTRAWAN PADJO</v>
      </c>
    </row>
    <row r="391">
      <c r="A391" s="17">
        <f>IFERROR(__xludf.DUMMYFUNCTION("""COMPUTED_VALUE"""),1.09221674E8)</f>
        <v>109221674</v>
      </c>
      <c r="B391" s="18" t="str">
        <f>IFERROR(__xludf.DUMMYFUNCTION("""COMPUTED_VALUE"""),"PUTRI NOVITASARI LAGI")</f>
        <v>PUTRI NOVITASARI LAGI</v>
      </c>
      <c r="C391" s="18">
        <f>IFERROR(__xludf.DUMMYFUNCTION("""COMPUTED_VALUE"""),30.0)</f>
        <v>30</v>
      </c>
      <c r="D391" s="35" t="str">
        <f>IFERROR(__xludf.DUMMYFUNCTION("""COMPUTED_VALUE"""),"Kristen Protestan")</f>
        <v>Kristen Protestan</v>
      </c>
      <c r="E391" s="18" t="str">
        <f>IFERROR(__xludf.DUMMYFUNCTION("""COMPUTED_VALUE"""),"CV. SENTOSA ABADI")</f>
        <v>CV. SENTOSA ABADI</v>
      </c>
      <c r="F391" s="18" t="str">
        <f>IFERROR(__xludf.DUMMYFUNCTION("""COMPUTED_VALUE"""),"ADMIN MPE")</f>
        <v>ADMIN MPE</v>
      </c>
      <c r="G391" s="18" t="str">
        <f>IFERROR(__xludf.DUMMYFUNCTION("""COMPUTED_VALUE"""),"MPE")</f>
        <v>MPE</v>
      </c>
      <c r="H391" s="18" t="str">
        <f>IFERROR(__xludf.DUMMYFUNCTION("""COMPUTED_VALUE"""),"2023-11-28 07.18.04")</f>
        <v>2023-11-28 07.18.04</v>
      </c>
      <c r="I391" s="18" t="str">
        <f>IFERROR(__xludf.DUMMYFUNCTION("""COMPUTED_VALUE"""),"2023-11-28 16.56.44")</f>
        <v>2023-11-28 16.56.44</v>
      </c>
      <c r="J391" s="36"/>
      <c r="K391" s="37" t="str">
        <f t="shared" si="1"/>
        <v>[109221674] PUTRI NOVITASARI LAGI</v>
      </c>
    </row>
    <row r="392">
      <c r="A392" s="17">
        <f>IFERROR(__xludf.DUMMYFUNCTION("""COMPUTED_VALUE"""),1.07211454E8)</f>
        <v>107211454</v>
      </c>
      <c r="B392" s="18" t="str">
        <f>IFERROR(__xludf.DUMMYFUNCTION("""COMPUTED_VALUE"""),"RAFLIN AHMAD")</f>
        <v>RAFLIN AHMAD</v>
      </c>
      <c r="C392" s="18">
        <f>IFERROR(__xludf.DUMMYFUNCTION("""COMPUTED_VALUE"""),44.0)</f>
        <v>44</v>
      </c>
      <c r="D392" s="35" t="str">
        <f>IFERROR(__xludf.DUMMYFUNCTION("""COMPUTED_VALUE"""),"Islam")</f>
        <v>Islam</v>
      </c>
      <c r="E392" s="18" t="str">
        <f>IFERROR(__xludf.DUMMYFUNCTION("""COMPUTED_VALUE"""),"CV. SENTOSA ABADI")</f>
        <v>CV. SENTOSA ABADI</v>
      </c>
      <c r="F392" s="18" t="str">
        <f>IFERROR(__xludf.DUMMYFUNCTION("""COMPUTED_VALUE"""),"DRIVER DT H700ZY")</f>
        <v>DRIVER DT H700ZY</v>
      </c>
      <c r="G392" s="18" t="str">
        <f>IFERROR(__xludf.DUMMYFUNCTION("""COMPUTED_VALUE"""),"KENDARAAN &amp; UNIT SUPPORT")</f>
        <v>KENDARAAN &amp; UNIT SUPPORT</v>
      </c>
      <c r="H392" s="18" t="str">
        <f>IFERROR(__xludf.DUMMYFUNCTION("""COMPUTED_VALUE"""),"2024-03-31 06.16.04")</f>
        <v>2024-03-31 06.16.04</v>
      </c>
      <c r="I392" s="18" t="str">
        <f>IFERROR(__xludf.DUMMYFUNCTION("""COMPUTED_VALUE"""),"2024-03-31 16.38.01")</f>
        <v>2024-03-31 16.38.01</v>
      </c>
      <c r="J392" s="36">
        <f>IFERROR(__xludf.DUMMYFUNCTION("""COMPUTED_VALUE"""),32103.0)</f>
        <v>32103</v>
      </c>
      <c r="K392" s="37" t="str">
        <f t="shared" si="1"/>
        <v>[107211454] RAFLIN AHMAD</v>
      </c>
    </row>
    <row r="393">
      <c r="A393" s="17">
        <f>IFERROR(__xludf.DUMMYFUNCTION("""COMPUTED_VALUE"""),1.03211357E8)</f>
        <v>103211357</v>
      </c>
      <c r="B393" s="18" t="str">
        <f>IFERROR(__xludf.DUMMYFUNCTION("""COMPUTED_VALUE"""),"RAHMAN SUKARDI")</f>
        <v>RAHMAN SUKARDI</v>
      </c>
      <c r="C393" s="18">
        <f>IFERROR(__xludf.DUMMYFUNCTION("""COMPUTED_VALUE"""),34.0)</f>
        <v>34</v>
      </c>
      <c r="D393" s="35" t="str">
        <f>IFERROR(__xludf.DUMMYFUNCTION("""COMPUTED_VALUE"""),"Islam")</f>
        <v>Islam</v>
      </c>
      <c r="E393" s="18" t="str">
        <f>IFERROR(__xludf.DUMMYFUNCTION("""COMPUTED_VALUE"""),"CV. SENTOSA ABADI")</f>
        <v>CV. SENTOSA ABADI</v>
      </c>
      <c r="F393" s="18" t="str">
        <f>IFERROR(__xludf.DUMMYFUNCTION("""COMPUTED_VALUE"""),"DRIVER FUEL MPE")</f>
        <v>DRIVER FUEL MPE</v>
      </c>
      <c r="G393" s="18" t="str">
        <f>IFERROR(__xludf.DUMMYFUNCTION("""COMPUTED_VALUE"""),"MPE")</f>
        <v>MPE</v>
      </c>
      <c r="H393" s="18" t="str">
        <f>IFERROR(__xludf.DUMMYFUNCTION("""COMPUTED_VALUE"""),"2024-03-31 06.54.01")</f>
        <v>2024-03-31 06.54.01</v>
      </c>
      <c r="I393" s="18" t="str">
        <f>IFERROR(__xludf.DUMMYFUNCTION("""COMPUTED_VALUE"""),"2024-03-31 06.54.01")</f>
        <v>2024-03-31 06.54.01</v>
      </c>
      <c r="J393" s="36"/>
      <c r="K393" s="37" t="str">
        <f t="shared" si="1"/>
        <v>[103211357] RAHMAN SUKARDI</v>
      </c>
    </row>
    <row r="394">
      <c r="A394" s="17">
        <f>IFERROR(__xludf.DUMMYFUNCTION("""COMPUTED_VALUE"""),2.0923184E8)</f>
        <v>209231840</v>
      </c>
      <c r="B394" s="18" t="str">
        <f>IFERROR(__xludf.DUMMYFUNCTION("""COMPUTED_VALUE"""),"RAHMAT")</f>
        <v>RAHMAT</v>
      </c>
      <c r="C394" s="18">
        <f>IFERROR(__xludf.DUMMYFUNCTION("""COMPUTED_VALUE"""),0.0)</f>
        <v>0</v>
      </c>
      <c r="D394" s="35"/>
      <c r="E394" s="18" t="str">
        <f>IFERROR(__xludf.DUMMYFUNCTION("""COMPUTED_VALUE"""),"CV. Adil Prima Perkasa")</f>
        <v>CV. Adil Prima Perkasa</v>
      </c>
      <c r="F394" s="18" t="str">
        <f>IFERROR(__xludf.DUMMYFUNCTION("""COMPUTED_VALUE"""),"DRIVER DT H500")</f>
        <v>DRIVER DT H500</v>
      </c>
      <c r="G394" s="18" t="str">
        <f>IFERROR(__xludf.DUMMYFUNCTION("""COMPUTED_VALUE"""),"KENDARAAN &amp; UNIT SUPPORT")</f>
        <v>KENDARAAN &amp; UNIT SUPPORT</v>
      </c>
      <c r="H394" s="18" t="str">
        <f>IFERROR(__xludf.DUMMYFUNCTION("""COMPUTED_VALUE"""),"2024-03-31 06.09.09")</f>
        <v>2024-03-31 06.09.09</v>
      </c>
      <c r="I394" s="18" t="str">
        <f>IFERROR(__xludf.DUMMYFUNCTION("""COMPUTED_VALUE"""),"2024-03-31 17.50.48")</f>
        <v>2024-03-31 17.50.48</v>
      </c>
      <c r="J394" s="36"/>
      <c r="K394" s="37" t="str">
        <f t="shared" si="1"/>
        <v>[209231840] RAHMAT</v>
      </c>
    </row>
    <row r="395">
      <c r="A395" s="17">
        <f>IFERROR(__xludf.DUMMYFUNCTION("""COMPUTED_VALUE"""),2.05241917E8)</f>
        <v>205241917</v>
      </c>
      <c r="B395" s="18" t="str">
        <f>IFERROR(__xludf.DUMMYFUNCTION("""COMPUTED_VALUE"""),"RAHMAT")</f>
        <v>RAHMAT</v>
      </c>
      <c r="C395" s="18">
        <f>IFERROR(__xludf.DUMMYFUNCTION("""COMPUTED_VALUE"""),0.0)</f>
        <v>0</v>
      </c>
      <c r="D395" s="35"/>
      <c r="E395" s="18" t="str">
        <f>IFERROR(__xludf.DUMMYFUNCTION("""COMPUTED_VALUE"""),"CV. Adil Prima Perkasa")</f>
        <v>CV. Adil Prima Perkasa</v>
      </c>
      <c r="F395" s="18" t="str">
        <f>IFERROR(__xludf.DUMMYFUNCTION("""COMPUTED_VALUE"""),"HELPER MECHANIC MAINTENANCE")</f>
        <v>HELPER MECHANIC MAINTENANCE</v>
      </c>
      <c r="G395" s="18" t="str">
        <f>IFERROR(__xludf.DUMMYFUNCTION("""COMPUTED_VALUE"""),"WORKSHOP")</f>
        <v>WORKSHOP</v>
      </c>
      <c r="H395" s="18"/>
      <c r="I395" s="18"/>
      <c r="J395" s="36"/>
      <c r="K395" s="37" t="str">
        <f t="shared" si="1"/>
        <v/>
      </c>
    </row>
    <row r="396">
      <c r="A396" s="17">
        <f>IFERROR(__xludf.DUMMYFUNCTION("""COMPUTED_VALUE"""),1.04211377E8)</f>
        <v>104211377</v>
      </c>
      <c r="B396" s="18" t="str">
        <f>IFERROR(__xludf.DUMMYFUNCTION("""COMPUTED_VALUE"""),"RAHMAT EVENDI")</f>
        <v>RAHMAT EVENDI</v>
      </c>
      <c r="C396" s="18">
        <f>IFERROR(__xludf.DUMMYFUNCTION("""COMPUTED_VALUE"""),22.0)</f>
        <v>22</v>
      </c>
      <c r="D396" s="35" t="str">
        <f>IFERROR(__xludf.DUMMYFUNCTION("""COMPUTED_VALUE"""),"Islam")</f>
        <v>Islam</v>
      </c>
      <c r="E396" s="18" t="str">
        <f>IFERROR(__xludf.DUMMYFUNCTION("""COMPUTED_VALUE"""),"CV. SENTOSA ABADI")</f>
        <v>CV. SENTOSA ABADI</v>
      </c>
      <c r="F396" s="18" t="str">
        <f>IFERROR(__xludf.DUMMYFUNCTION("""COMPUTED_VALUE"""),"HELPER TYRE")</f>
        <v>HELPER TYRE</v>
      </c>
      <c r="G396" s="18" t="str">
        <f>IFERROR(__xludf.DUMMYFUNCTION("""COMPUTED_VALUE"""),"WORKSHOP")</f>
        <v>WORKSHOP</v>
      </c>
      <c r="H396" s="18" t="str">
        <f>IFERROR(__xludf.DUMMYFUNCTION("""COMPUTED_VALUE"""),"2023-11-18 07.02.02")</f>
        <v>2023-11-18 07.02.02</v>
      </c>
      <c r="I396" s="18" t="str">
        <f>IFERROR(__xludf.DUMMYFUNCTION("""COMPUTED_VALUE"""),"2023-11-18 22.04.48")</f>
        <v>2023-11-18 22.04.48</v>
      </c>
      <c r="J396" s="36"/>
      <c r="K396" s="37" t="str">
        <f t="shared" si="1"/>
        <v>[104211377] RAHMAT EVENDI</v>
      </c>
    </row>
    <row r="397">
      <c r="A397" s="17">
        <f>IFERROR(__xludf.DUMMYFUNCTION("""COMPUTED_VALUE"""),1.12191124E8)</f>
        <v>112191124</v>
      </c>
      <c r="B397" s="18" t="str">
        <f>IFERROR(__xludf.DUMMYFUNCTION("""COMPUTED_VALUE"""),"RAOLINUS HENDRO HATU")</f>
        <v>RAOLINUS HENDRO HATU</v>
      </c>
      <c r="C397" s="18">
        <f>IFERROR(__xludf.DUMMYFUNCTION("""COMPUTED_VALUE"""),24.0)</f>
        <v>24</v>
      </c>
      <c r="D397" s="35" t="str">
        <f>IFERROR(__xludf.DUMMYFUNCTION("""COMPUTED_VALUE"""),"Kristen Khatolik")</f>
        <v>Kristen Khatolik</v>
      </c>
      <c r="E397" s="18" t="str">
        <f>IFERROR(__xludf.DUMMYFUNCTION("""COMPUTED_VALUE"""),"CV. SENTOSA ABADI")</f>
        <v>CV. SENTOSA ABADI</v>
      </c>
      <c r="F397" s="18" t="str">
        <f>IFERROR(__xludf.DUMMYFUNCTION("""COMPUTED_VALUE"""),"OPERATOR COMPACTOR")</f>
        <v>OPERATOR COMPACTOR</v>
      </c>
      <c r="G397" s="18" t="str">
        <f>IFERROR(__xludf.DUMMYFUNCTION("""COMPUTED_VALUE"""),"PRODUKSI")</f>
        <v>PRODUKSI</v>
      </c>
      <c r="H397" s="18" t="str">
        <f>IFERROR(__xludf.DUMMYFUNCTION("""COMPUTED_VALUE"""),"2023-11-22 05.55.09")</f>
        <v>2023-11-22 05.55.09</v>
      </c>
      <c r="I397" s="18" t="str">
        <f>IFERROR(__xludf.DUMMYFUNCTION("""COMPUTED_VALUE"""),"2023-11-22 05.55.09")</f>
        <v>2023-11-22 05.55.09</v>
      </c>
      <c r="J397" s="36"/>
      <c r="K397" s="37" t="str">
        <f t="shared" si="1"/>
        <v>[112191124] RAOLINUS HENDRO HATU</v>
      </c>
    </row>
    <row r="398">
      <c r="A398" s="17">
        <f>IFERROR(__xludf.DUMMYFUNCTION("""COMPUTED_VALUE"""),2.12231873E8)</f>
        <v>212231873</v>
      </c>
      <c r="B398" s="18" t="str">
        <f>IFERROR(__xludf.DUMMYFUNCTION("""COMPUTED_VALUE"""),"RASMAN")</f>
        <v>RASMAN</v>
      </c>
      <c r="C398" s="18">
        <f>IFERROR(__xludf.DUMMYFUNCTION("""COMPUTED_VALUE"""),0.0)</f>
        <v>0</v>
      </c>
      <c r="D398" s="35"/>
      <c r="E398" s="18" t="str">
        <f>IFERROR(__xludf.DUMMYFUNCTION("""COMPUTED_VALUE"""),"CV. Adil Prima Perkasa")</f>
        <v>CV. Adil Prima Perkasa</v>
      </c>
      <c r="F398" s="18" t="str">
        <f>IFERROR(__xludf.DUMMYFUNCTION("""COMPUTED_VALUE"""),"OPERATOR EXCAVATOR")</f>
        <v>OPERATOR EXCAVATOR</v>
      </c>
      <c r="G398" s="18" t="str">
        <f>IFERROR(__xludf.DUMMYFUNCTION("""COMPUTED_VALUE"""),"PRODUKSI")</f>
        <v>PRODUKSI</v>
      </c>
      <c r="H398" s="18"/>
      <c r="I398" s="18"/>
      <c r="J398" s="36"/>
      <c r="K398" s="37" t="str">
        <f t="shared" si="1"/>
        <v/>
      </c>
    </row>
    <row r="399">
      <c r="A399" s="17">
        <f>IFERROR(__xludf.DUMMYFUNCTION("""COMPUTED_VALUE"""),3.06200008E8)</f>
        <v>306200008</v>
      </c>
      <c r="B399" s="18" t="str">
        <f>IFERROR(__xludf.DUMMYFUNCTION("""COMPUTED_VALUE"""),"REGI ADITIA")</f>
        <v>REGI ADITIA</v>
      </c>
      <c r="C399" s="18">
        <f>IFERROR(__xludf.DUMMYFUNCTION("""COMPUTED_VALUE"""),22.0)</f>
        <v>22</v>
      </c>
      <c r="D399" s="35" t="str">
        <f>IFERROR(__xludf.DUMMYFUNCTION("""COMPUTED_VALUE"""),"Islam")</f>
        <v>Islam</v>
      </c>
      <c r="E399" s="18" t="str">
        <f>IFERROR(__xludf.DUMMYFUNCTION("""COMPUTED_VALUE"""),"CV. Monalisa")</f>
        <v>CV. Monalisa</v>
      </c>
      <c r="F399" s="18" t="str">
        <f>IFERROR(__xludf.DUMMYFUNCTION("""COMPUTED_VALUE"""),"CREW SURVEY")</f>
        <v>CREW SURVEY</v>
      </c>
      <c r="G399" s="18" t="str">
        <f>IFERROR(__xludf.DUMMYFUNCTION("""COMPUTED_VALUE"""),"MPE")</f>
        <v>MPE</v>
      </c>
      <c r="H399" s="18" t="str">
        <f>IFERROR(__xludf.DUMMYFUNCTION("""COMPUTED_VALUE"""),"2022-03-15 07.31.36")</f>
        <v>2022-03-15 07.31.36</v>
      </c>
      <c r="I399" s="18" t="str">
        <f>IFERROR(__xludf.DUMMYFUNCTION("""COMPUTED_VALUE"""),"2022-03-15 17.35.29")</f>
        <v>2022-03-15 17.35.29</v>
      </c>
      <c r="J399" s="36"/>
      <c r="K399" s="37" t="str">
        <f t="shared" si="1"/>
        <v>[306200008] REGI ADITIA</v>
      </c>
    </row>
    <row r="400">
      <c r="A400" s="17">
        <f>IFERROR(__xludf.DUMMYFUNCTION("""COMPUTED_VALUE"""),2.02241887E8)</f>
        <v>202241887</v>
      </c>
      <c r="B400" s="18" t="str">
        <f>IFERROR(__xludf.DUMMYFUNCTION("""COMPUTED_VALUE"""),"REGIS SAMARA")</f>
        <v>REGIS SAMARA</v>
      </c>
      <c r="C400" s="18">
        <f>IFERROR(__xludf.DUMMYFUNCTION("""COMPUTED_VALUE"""),23.0)</f>
        <v>23</v>
      </c>
      <c r="D400" s="35" t="str">
        <f>IFERROR(__xludf.DUMMYFUNCTION("""COMPUTED_VALUE"""),"Kristen Protestan")</f>
        <v>Kristen Protestan</v>
      </c>
      <c r="E400" s="18" t="str">
        <f>IFERROR(__xludf.DUMMYFUNCTION("""COMPUTED_VALUE"""),"CV. Adil Prima Perkasa")</f>
        <v>CV. Adil Prima Perkasa</v>
      </c>
      <c r="F400" s="18" t="str">
        <f>IFERROR(__xludf.DUMMYFUNCTION("""COMPUTED_VALUE"""),"HELPER MEKANIK ALAT BERAT")</f>
        <v>HELPER MEKANIK ALAT BERAT</v>
      </c>
      <c r="G400" s="18" t="str">
        <f>IFERROR(__xludf.DUMMYFUNCTION("""COMPUTED_VALUE"""),"WORKSHOP")</f>
        <v>WORKSHOP</v>
      </c>
      <c r="H400" s="18"/>
      <c r="I400" s="18"/>
      <c r="J400" s="36"/>
      <c r="K400" s="37" t="str">
        <f t="shared" si="1"/>
        <v/>
      </c>
    </row>
    <row r="401">
      <c r="A401" s="17">
        <f>IFERROR(__xludf.DUMMYFUNCTION("""COMPUTED_VALUE"""),2.05241916E8)</f>
        <v>205241916</v>
      </c>
      <c r="B401" s="18" t="str">
        <f>IFERROR(__xludf.DUMMYFUNCTION("""COMPUTED_VALUE"""),"RENAL")</f>
        <v>RENAL</v>
      </c>
      <c r="C401" s="18">
        <f>IFERROR(__xludf.DUMMYFUNCTION("""COMPUTED_VALUE"""),0.0)</f>
        <v>0</v>
      </c>
      <c r="D401" s="35"/>
      <c r="E401" s="18" t="str">
        <f>IFERROR(__xludf.DUMMYFUNCTION("""COMPUTED_VALUE"""),"CV. Adil Prima Perkasa")</f>
        <v>CV. Adil Prima Perkasa</v>
      </c>
      <c r="F401" s="18" t="str">
        <f>IFERROR(__xludf.DUMMYFUNCTION("""COMPUTED_VALUE"""),"HELPER TYRE")</f>
        <v>HELPER TYRE</v>
      </c>
      <c r="G401" s="18" t="str">
        <f>IFERROR(__xludf.DUMMYFUNCTION("""COMPUTED_VALUE"""),"WORKSHOP")</f>
        <v>WORKSHOP</v>
      </c>
      <c r="H401" s="18"/>
      <c r="I401" s="18"/>
      <c r="J401" s="36"/>
      <c r="K401" s="37" t="str">
        <f t="shared" si="1"/>
        <v/>
      </c>
    </row>
    <row r="402">
      <c r="A402" s="17">
        <f>IFERROR(__xludf.DUMMYFUNCTION("""COMPUTED_VALUE"""),2.05231771E8)</f>
        <v>205231771</v>
      </c>
      <c r="B402" s="18" t="str">
        <f>IFERROR(__xludf.DUMMYFUNCTION("""COMPUTED_VALUE"""),"RENALDI")</f>
        <v>RENALDI</v>
      </c>
      <c r="C402" s="18">
        <f>IFERROR(__xludf.DUMMYFUNCTION("""COMPUTED_VALUE"""),23.0)</f>
        <v>23</v>
      </c>
      <c r="D402" s="35" t="str">
        <f>IFERROR(__xludf.DUMMYFUNCTION("""COMPUTED_VALUE"""),"Islam")</f>
        <v>Islam</v>
      </c>
      <c r="E402" s="18" t="str">
        <f>IFERROR(__xludf.DUMMYFUNCTION("""COMPUTED_VALUE"""),"CV. Adil Prima Perkasa")</f>
        <v>CV. Adil Prima Perkasa</v>
      </c>
      <c r="F402" s="18" t="str">
        <f>IFERROR(__xludf.DUMMYFUNCTION("""COMPUTED_VALUE"""),"SECURITY")</f>
        <v>SECURITY</v>
      </c>
      <c r="G402" s="18" t="str">
        <f>IFERROR(__xludf.DUMMYFUNCTION("""COMPUTED_VALUE"""),"HRD &amp; GA")</f>
        <v>HRD &amp; GA</v>
      </c>
      <c r="H402" s="18" t="str">
        <f>IFERROR(__xludf.DUMMYFUNCTION("""COMPUTED_VALUE"""),"2024-03-31 07.06.11")</f>
        <v>2024-03-31 07.06.11</v>
      </c>
      <c r="I402" s="18" t="str">
        <f>IFERROR(__xludf.DUMMYFUNCTION("""COMPUTED_VALUE"""),"2024-03-31 18.42.33")</f>
        <v>2024-03-31 18.42.33</v>
      </c>
      <c r="J402" s="36"/>
      <c r="K402" s="37" t="str">
        <f t="shared" si="1"/>
        <v>[205231771] RENALDI</v>
      </c>
    </row>
    <row r="403">
      <c r="A403" s="17">
        <f>IFERROR(__xludf.DUMMYFUNCTION("""COMPUTED_VALUE"""),2.10201254E8)</f>
        <v>210201254</v>
      </c>
      <c r="B403" s="18" t="str">
        <f>IFERROR(__xludf.DUMMYFUNCTION("""COMPUTED_VALUE"""),"RENDY OK WIDIA KELANA")</f>
        <v>RENDY OK WIDIA KELANA</v>
      </c>
      <c r="C403" s="18">
        <f>IFERROR(__xludf.DUMMYFUNCTION("""COMPUTED_VALUE"""),27.0)</f>
        <v>27</v>
      </c>
      <c r="D403" s="35" t="str">
        <f>IFERROR(__xludf.DUMMYFUNCTION("""COMPUTED_VALUE"""),"Islam")</f>
        <v>Islam</v>
      </c>
      <c r="E403" s="18" t="str">
        <f>IFERROR(__xludf.DUMMYFUNCTION("""COMPUTED_VALUE"""),"CV. Adil Prima Perkasa")</f>
        <v>CV. Adil Prima Perkasa</v>
      </c>
      <c r="F403" s="18" t="str">
        <f>IFERROR(__xludf.DUMMYFUNCTION("""COMPUTED_VALUE"""),"DRIVER DT H700ZY")</f>
        <v>DRIVER DT H700ZY</v>
      </c>
      <c r="G403" s="18" t="str">
        <f>IFERROR(__xludf.DUMMYFUNCTION("""COMPUTED_VALUE"""),"KENDARAAN &amp; UNIT SUPPORT")</f>
        <v>KENDARAAN &amp; UNIT SUPPORT</v>
      </c>
      <c r="H403" s="18" t="str">
        <f>IFERROR(__xludf.DUMMYFUNCTION("""COMPUTED_VALUE"""),"2024-03-27 06.03.06")</f>
        <v>2024-03-27 06.03.06</v>
      </c>
      <c r="I403" s="18" t="str">
        <f>IFERROR(__xludf.DUMMYFUNCTION("""COMPUTED_VALUE"""),"2024-03-27 17.32.57")</f>
        <v>2024-03-27 17.32.57</v>
      </c>
      <c r="J403" s="36"/>
      <c r="K403" s="37" t="str">
        <f t="shared" si="1"/>
        <v>[210201254] RENDY OK WIDIA KELANA</v>
      </c>
    </row>
    <row r="404">
      <c r="A404" s="17">
        <f>IFERROR(__xludf.DUMMYFUNCTION("""COMPUTED_VALUE"""),1.07211445E8)</f>
        <v>107211445</v>
      </c>
      <c r="B404" s="18" t="str">
        <f>IFERROR(__xludf.DUMMYFUNCTION("""COMPUTED_VALUE"""),"RESKI BULELA")</f>
        <v>RESKI BULELA</v>
      </c>
      <c r="C404" s="18">
        <f>IFERROR(__xludf.DUMMYFUNCTION("""COMPUTED_VALUE"""),24.0)</f>
        <v>24</v>
      </c>
      <c r="D404" s="35" t="str">
        <f>IFERROR(__xludf.DUMMYFUNCTION("""COMPUTED_VALUE"""),"Kristen Protestan")</f>
        <v>Kristen Protestan</v>
      </c>
      <c r="E404" s="18" t="str">
        <f>IFERROR(__xludf.DUMMYFUNCTION("""COMPUTED_VALUE"""),"CV. SENTOSA ABADI")</f>
        <v>CV. SENTOSA ABADI</v>
      </c>
      <c r="F404" s="18" t="str">
        <f>IFERROR(__xludf.DUMMYFUNCTION("""COMPUTED_VALUE"""),"HELPER FUEL")</f>
        <v>HELPER FUEL</v>
      </c>
      <c r="G404" s="18" t="str">
        <f>IFERROR(__xludf.DUMMYFUNCTION("""COMPUTED_VALUE"""),"WORKSHOP")</f>
        <v>WORKSHOP</v>
      </c>
      <c r="H404" s="18" t="str">
        <f>IFERROR(__xludf.DUMMYFUNCTION("""COMPUTED_VALUE"""),"2023-11-30 04.42.27")</f>
        <v>2023-11-30 04.42.27</v>
      </c>
      <c r="I404" s="18" t="str">
        <f>IFERROR(__xludf.DUMMYFUNCTION("""COMPUTED_VALUE"""),"2023-11-30 22.59.44")</f>
        <v>2023-11-30 22.59.44</v>
      </c>
      <c r="J404" s="36"/>
      <c r="K404" s="37" t="str">
        <f t="shared" si="1"/>
        <v>[107211445] RESKI BULELA</v>
      </c>
    </row>
    <row r="405">
      <c r="A405" s="17">
        <f>IFERROR(__xludf.DUMMYFUNCTION("""COMPUTED_VALUE"""),1.07191023E8)</f>
        <v>107191023</v>
      </c>
      <c r="B405" s="18" t="str">
        <f>IFERROR(__xludf.DUMMYFUNCTION("""COMPUTED_VALUE"""),"RESKI HAKIM PRATAMA")</f>
        <v>RESKI HAKIM PRATAMA</v>
      </c>
      <c r="C405" s="18">
        <f>IFERROR(__xludf.DUMMYFUNCTION("""COMPUTED_VALUE"""),34.0)</f>
        <v>34</v>
      </c>
      <c r="D405" s="35" t="str">
        <f>IFERROR(__xludf.DUMMYFUNCTION("""COMPUTED_VALUE"""),"Islam")</f>
        <v>Islam</v>
      </c>
      <c r="E405" s="18" t="str">
        <f>IFERROR(__xludf.DUMMYFUNCTION("""COMPUTED_VALUE"""),"CV. SENTOSA ABADI")</f>
        <v>CV. SENTOSA ABADI</v>
      </c>
      <c r="F405" s="18" t="str">
        <f>IFERROR(__xludf.DUMMYFUNCTION("""COMPUTED_VALUE"""),"HELPER MEKANIK")</f>
        <v>HELPER MEKANIK</v>
      </c>
      <c r="G405" s="18" t="str">
        <f>IFERROR(__xludf.DUMMYFUNCTION("""COMPUTED_VALUE"""),"WORKSHOP")</f>
        <v>WORKSHOP</v>
      </c>
      <c r="H405" s="18" t="str">
        <f>IFERROR(__xludf.DUMMYFUNCTION("""COMPUTED_VALUE"""),"2023-11-29 07.23.10")</f>
        <v>2023-11-29 07.23.10</v>
      </c>
      <c r="I405" s="18" t="str">
        <f>IFERROR(__xludf.DUMMYFUNCTION("""COMPUTED_VALUE"""),"2023-11-29 07.23.10")</f>
        <v>2023-11-29 07.23.10</v>
      </c>
      <c r="J405" s="36"/>
      <c r="K405" s="37" t="str">
        <f t="shared" si="1"/>
        <v>[107191023] RESKI HAKIM PRATAMA</v>
      </c>
    </row>
    <row r="406">
      <c r="A406" s="17">
        <f>IFERROR(__xludf.DUMMYFUNCTION("""COMPUTED_VALUE"""),2.08180635E8)</f>
        <v>208180635</v>
      </c>
      <c r="B406" s="18" t="str">
        <f>IFERROR(__xludf.DUMMYFUNCTION("""COMPUTED_VALUE"""),"RESKIJAYANTI HAMDI, ST")</f>
        <v>RESKIJAYANTI HAMDI, ST</v>
      </c>
      <c r="C406" s="18">
        <f>IFERROR(__xludf.DUMMYFUNCTION("""COMPUTED_VALUE"""),31.0)</f>
        <v>31</v>
      </c>
      <c r="D406" s="35" t="str">
        <f>IFERROR(__xludf.DUMMYFUNCTION("""COMPUTED_VALUE"""),"Islam")</f>
        <v>Islam</v>
      </c>
      <c r="E406" s="18" t="str">
        <f>IFERROR(__xludf.DUMMYFUNCTION("""COMPUTED_VALUE"""),"CV. Adil Prima Perkasa")</f>
        <v>CV. Adil Prima Perkasa</v>
      </c>
      <c r="F406" s="18" t="str">
        <f>IFERROR(__xludf.DUMMYFUNCTION("""COMPUTED_VALUE"""),"ADMIN PRODUKSI")</f>
        <v>ADMIN PRODUKSI</v>
      </c>
      <c r="G406" s="18" t="str">
        <f>IFERROR(__xludf.DUMMYFUNCTION("""COMPUTED_VALUE"""),"PRODUKSI")</f>
        <v>PRODUKSI</v>
      </c>
      <c r="H406" s="18" t="str">
        <f>IFERROR(__xludf.DUMMYFUNCTION("""COMPUTED_VALUE"""),"2023-11-25 07.53.54")</f>
        <v>2023-11-25 07.53.54</v>
      </c>
      <c r="I406" s="18" t="str">
        <f>IFERROR(__xludf.DUMMYFUNCTION("""COMPUTED_VALUE"""),"2023-11-25 07.53.54")</f>
        <v>2023-11-25 07.53.54</v>
      </c>
      <c r="J406" s="36">
        <f>IFERROR(__xludf.DUMMYFUNCTION("""COMPUTED_VALUE"""),31255.0)</f>
        <v>31255</v>
      </c>
      <c r="K406" s="37" t="str">
        <f t="shared" si="1"/>
        <v>[208180635] RESKIJAYANTI HAMDI, ST</v>
      </c>
    </row>
    <row r="407">
      <c r="A407" s="17">
        <f>IFERROR(__xludf.DUMMYFUNCTION("""COMPUTED_VALUE"""),2.07231807E8)</f>
        <v>207231807</v>
      </c>
      <c r="B407" s="18" t="str">
        <f>IFERROR(__xludf.DUMMYFUNCTION("""COMPUTED_VALUE"""),"RESKY")</f>
        <v>RESKY</v>
      </c>
      <c r="C407" s="18">
        <f>IFERROR(__xludf.DUMMYFUNCTION("""COMPUTED_VALUE"""),0.0)</f>
        <v>0</v>
      </c>
      <c r="D407" s="35"/>
      <c r="E407" s="18" t="str">
        <f>IFERROR(__xludf.DUMMYFUNCTION("""COMPUTED_VALUE"""),"CV. Adil Prima Perkasa")</f>
        <v>CV. Adil Prima Perkasa</v>
      </c>
      <c r="F407" s="18" t="str">
        <f>IFERROR(__xludf.DUMMYFUNCTION("""COMPUTED_VALUE"""),"HELPER TYRE")</f>
        <v>HELPER TYRE</v>
      </c>
      <c r="G407" s="18" t="str">
        <f>IFERROR(__xludf.DUMMYFUNCTION("""COMPUTED_VALUE"""),"WORKSHOP")</f>
        <v>WORKSHOP</v>
      </c>
      <c r="H407" s="18" t="str">
        <f>IFERROR(__xludf.DUMMYFUNCTION("""COMPUTED_VALUE"""),"2023-11-30 22.26.28")</f>
        <v>2023-11-30 22.26.28</v>
      </c>
      <c r="I407" s="18" t="str">
        <f>IFERROR(__xludf.DUMMYFUNCTION("""COMPUTED_VALUE"""),"2023-11-30 22.26.28")</f>
        <v>2023-11-30 22.26.28</v>
      </c>
      <c r="J407" s="36"/>
      <c r="K407" s="37" t="str">
        <f t="shared" si="1"/>
        <v>[207231807] RESKY</v>
      </c>
    </row>
    <row r="408">
      <c r="A408" s="17">
        <f>IFERROR(__xludf.DUMMYFUNCTION("""COMPUTED_VALUE"""),2.04231754E8)</f>
        <v>204231754</v>
      </c>
      <c r="B408" s="18" t="str">
        <f>IFERROR(__xludf.DUMMYFUNCTION("""COMPUTED_VALUE"""),"REZKY TIKU PASANG")</f>
        <v>REZKY TIKU PASANG</v>
      </c>
      <c r="C408" s="18">
        <f>IFERROR(__xludf.DUMMYFUNCTION("""COMPUTED_VALUE"""),26.0)</f>
        <v>26</v>
      </c>
      <c r="D408" s="35" t="str">
        <f>IFERROR(__xludf.DUMMYFUNCTION("""COMPUTED_VALUE"""),"Islam")</f>
        <v>Islam</v>
      </c>
      <c r="E408" s="18" t="str">
        <f>IFERROR(__xludf.DUMMYFUNCTION("""COMPUTED_VALUE"""),"CV. Adil Prima Perkasa")</f>
        <v>CV. Adil Prima Perkasa</v>
      </c>
      <c r="F408" s="18" t="str">
        <f>IFERROR(__xludf.DUMMYFUNCTION("""COMPUTED_VALUE"""),"DRIVER DT H500")</f>
        <v>DRIVER DT H500</v>
      </c>
      <c r="G408" s="18" t="str">
        <f>IFERROR(__xludf.DUMMYFUNCTION("""COMPUTED_VALUE"""),"KENDARAAN &amp; UNIT SUPPORT")</f>
        <v>KENDARAAN &amp; UNIT SUPPORT</v>
      </c>
      <c r="H408" s="18" t="str">
        <f>IFERROR(__xludf.DUMMYFUNCTION("""COMPUTED_VALUE"""),"2024-03-31 06.39.41")</f>
        <v>2024-03-31 06.39.41</v>
      </c>
      <c r="I408" s="18" t="str">
        <f>IFERROR(__xludf.DUMMYFUNCTION("""COMPUTED_VALUE"""),"2024-03-31 17.07.36")</f>
        <v>2024-03-31 17.07.36</v>
      </c>
      <c r="J408" s="36"/>
      <c r="K408" s="37" t="str">
        <f t="shared" si="1"/>
        <v>[204231754] REZKY TIKU PASANG</v>
      </c>
    </row>
    <row r="409">
      <c r="A409" s="17">
        <f>IFERROR(__xludf.DUMMYFUNCTION("""COMPUTED_VALUE"""),3.05220103E8)</f>
        <v>305220103</v>
      </c>
      <c r="B409" s="18" t="str">
        <f>IFERROR(__xludf.DUMMYFUNCTION("""COMPUTED_VALUE"""),"RIANI LOBO")</f>
        <v>RIANI LOBO</v>
      </c>
      <c r="C409" s="18">
        <f>IFERROR(__xludf.DUMMYFUNCTION("""COMPUTED_VALUE"""),21.0)</f>
        <v>21</v>
      </c>
      <c r="D409" s="35" t="str">
        <f>IFERROR(__xludf.DUMMYFUNCTION("""COMPUTED_VALUE"""),"Kristen Protestan")</f>
        <v>Kristen Protestan</v>
      </c>
      <c r="E409" s="18" t="str">
        <f>IFERROR(__xludf.DUMMYFUNCTION("""COMPUTED_VALUE"""),"CV. Monalisa")</f>
        <v>CV. Monalisa</v>
      </c>
      <c r="F409" s="18" t="str">
        <f>IFERROR(__xludf.DUMMYFUNCTION("""COMPUTED_VALUE"""),"STOCKER")</f>
        <v>STOCKER</v>
      </c>
      <c r="G409" s="18" t="str">
        <f>IFERROR(__xludf.DUMMYFUNCTION("""COMPUTED_VALUE"""),"HRD &amp; GA")</f>
        <v>HRD &amp; GA</v>
      </c>
      <c r="H409" s="18" t="str">
        <f>IFERROR(__xludf.DUMMYFUNCTION("""COMPUTED_VALUE"""),"2024-03-31 11.51.57")</f>
        <v>2024-03-31 11.51.57</v>
      </c>
      <c r="I409" s="18" t="str">
        <f>IFERROR(__xludf.DUMMYFUNCTION("""COMPUTED_VALUE"""),"2024-03-31 11.51.57")</f>
        <v>2024-03-31 11.51.57</v>
      </c>
      <c r="J409" s="36"/>
      <c r="K409" s="37" t="str">
        <f t="shared" si="1"/>
        <v>[305220103] RIANI LOBO</v>
      </c>
    </row>
    <row r="410">
      <c r="A410" s="17">
        <f>IFERROR(__xludf.DUMMYFUNCTION("""COMPUTED_VALUE"""),2.05211392E8)</f>
        <v>205211392</v>
      </c>
      <c r="B410" s="18" t="str">
        <f>IFERROR(__xludf.DUMMYFUNCTION("""COMPUTED_VALUE"""),"RIANSYAH RETY")</f>
        <v>RIANSYAH RETY</v>
      </c>
      <c r="C410" s="18">
        <f>IFERROR(__xludf.DUMMYFUNCTION("""COMPUTED_VALUE"""),39.0)</f>
        <v>39</v>
      </c>
      <c r="D410" s="35" t="str">
        <f>IFERROR(__xludf.DUMMYFUNCTION("""COMPUTED_VALUE"""),"Islam")</f>
        <v>Islam</v>
      </c>
      <c r="E410" s="18" t="str">
        <f>IFERROR(__xludf.DUMMYFUNCTION("""COMPUTED_VALUE"""),"CV. Adil Prima Perkasa")</f>
        <v>CV. Adil Prima Perkasa</v>
      </c>
      <c r="F410" s="18" t="str">
        <f>IFERROR(__xludf.DUMMYFUNCTION("""COMPUTED_VALUE"""),"OPERATOR EXCAVATOR")</f>
        <v>OPERATOR EXCAVATOR</v>
      </c>
      <c r="G410" s="18" t="str">
        <f>IFERROR(__xludf.DUMMYFUNCTION("""COMPUTED_VALUE"""),"PRODUKSI")</f>
        <v>PRODUKSI</v>
      </c>
      <c r="H410" s="18" t="str">
        <f>IFERROR(__xludf.DUMMYFUNCTION("""COMPUTED_VALUE"""),"2023-11-30 05.32.07")</f>
        <v>2023-11-30 05.32.07</v>
      </c>
      <c r="I410" s="18" t="str">
        <f>IFERROR(__xludf.DUMMYFUNCTION("""COMPUTED_VALUE"""),"2023-11-30 05.32.07")</f>
        <v>2023-11-30 05.32.07</v>
      </c>
      <c r="J410" s="36">
        <f>IFERROR(__xludf.DUMMYFUNCTION("""COMPUTED_VALUE"""),31514.0)</f>
        <v>31514</v>
      </c>
      <c r="K410" s="37" t="str">
        <f t="shared" si="1"/>
        <v>[205211392] RIANSYAH RETY</v>
      </c>
    </row>
    <row r="411">
      <c r="A411" s="17">
        <f>IFERROR(__xludf.DUMMYFUNCTION("""COMPUTED_VALUE"""),2.05231765E8)</f>
        <v>205231765</v>
      </c>
      <c r="B411" s="18" t="str">
        <f>IFERROR(__xludf.DUMMYFUNCTION("""COMPUTED_VALUE"""),"RICHARD VALDO SADURI")</f>
        <v>RICHARD VALDO SADURI</v>
      </c>
      <c r="C411" s="18">
        <f>IFERROR(__xludf.DUMMYFUNCTION("""COMPUTED_VALUE"""),33.0)</f>
        <v>33</v>
      </c>
      <c r="D411" s="35" t="str">
        <f>IFERROR(__xludf.DUMMYFUNCTION("""COMPUTED_VALUE"""),"Kristen Protestan")</f>
        <v>Kristen Protestan</v>
      </c>
      <c r="E411" s="18" t="str">
        <f>IFERROR(__xludf.DUMMYFUNCTION("""COMPUTED_VALUE"""),"CV. Adil Prima Perkasa")</f>
        <v>CV. Adil Prima Perkasa</v>
      </c>
      <c r="F411" s="18" t="str">
        <f>IFERROR(__xludf.DUMMYFUNCTION("""COMPUTED_VALUE"""),"DRIVER DT H700ZS")</f>
        <v>DRIVER DT H700ZS</v>
      </c>
      <c r="G411" s="18" t="str">
        <f>IFERROR(__xludf.DUMMYFUNCTION("""COMPUTED_VALUE"""),"KENDARAAN &amp; UNIT SUPPORT")</f>
        <v>KENDARAAN &amp; UNIT SUPPORT</v>
      </c>
      <c r="H411" s="18" t="str">
        <f>IFERROR(__xludf.DUMMYFUNCTION("""COMPUTED_VALUE"""),"2024-03-31 06.25.51")</f>
        <v>2024-03-31 06.25.51</v>
      </c>
      <c r="I411" s="18" t="str">
        <f>IFERROR(__xludf.DUMMYFUNCTION("""COMPUTED_VALUE"""),"2024-03-31 17.24.20")</f>
        <v>2024-03-31 17.24.20</v>
      </c>
      <c r="J411" s="36"/>
      <c r="K411" s="37" t="str">
        <f t="shared" si="1"/>
        <v>[205231765] RICHARD VALDO SADURI</v>
      </c>
    </row>
    <row r="412">
      <c r="A412" s="17">
        <f>IFERROR(__xludf.DUMMYFUNCTION("""COMPUTED_VALUE"""),2.11211535E8)</f>
        <v>211211535</v>
      </c>
      <c r="B412" s="18" t="str">
        <f>IFERROR(__xludf.DUMMYFUNCTION("""COMPUTED_VALUE"""),"RIDWAN SITUJU")</f>
        <v>RIDWAN SITUJU</v>
      </c>
      <c r="C412" s="18">
        <f>IFERROR(__xludf.DUMMYFUNCTION("""COMPUTED_VALUE"""),51.0)</f>
        <v>51</v>
      </c>
      <c r="D412" s="35" t="str">
        <f>IFERROR(__xludf.DUMMYFUNCTION("""COMPUTED_VALUE"""),"Islam")</f>
        <v>Islam</v>
      </c>
      <c r="E412" s="18" t="str">
        <f>IFERROR(__xludf.DUMMYFUNCTION("""COMPUTED_VALUE"""),"CV. Adil Prima Perkasa")</f>
        <v>CV. Adil Prima Perkasa</v>
      </c>
      <c r="F412" s="18" t="str">
        <f>IFERROR(__xludf.DUMMYFUNCTION("""COMPUTED_VALUE"""),"OPERATOR ADT")</f>
        <v>OPERATOR ADT</v>
      </c>
      <c r="G412" s="18" t="str">
        <f>IFERROR(__xludf.DUMMYFUNCTION("""COMPUTED_VALUE"""),"PRODUKSI")</f>
        <v>PRODUKSI</v>
      </c>
      <c r="H412" s="18" t="str">
        <f>IFERROR(__xludf.DUMMYFUNCTION("""COMPUTED_VALUE"""),"2023-11-30 05.59.45")</f>
        <v>2023-11-30 05.59.45</v>
      </c>
      <c r="I412" s="18" t="str">
        <f>IFERROR(__xludf.DUMMYFUNCTION("""COMPUTED_VALUE"""),"2023-11-30 05.59.45")</f>
        <v>2023-11-30 05.59.45</v>
      </c>
      <c r="J412" s="36">
        <f>IFERROR(__xludf.DUMMYFUNCTION("""COMPUTED_VALUE"""),26436.0)</f>
        <v>26436</v>
      </c>
      <c r="K412" s="37" t="str">
        <f t="shared" si="1"/>
        <v>[211211535] RIDWAN SITUJU</v>
      </c>
    </row>
    <row r="413">
      <c r="A413" s="17">
        <f>IFERROR(__xludf.DUMMYFUNCTION("""COMPUTED_VALUE"""),1.09191073E8)</f>
        <v>109191073</v>
      </c>
      <c r="B413" s="18" t="str">
        <f>IFERROR(__xludf.DUMMYFUNCTION("""COMPUTED_VALUE"""),"RIFKI RUSMANTO LAPANDI")</f>
        <v>RIFKI RUSMANTO LAPANDI</v>
      </c>
      <c r="C413" s="18">
        <f>IFERROR(__xludf.DUMMYFUNCTION("""COMPUTED_VALUE"""),32.0)</f>
        <v>32</v>
      </c>
      <c r="D413" s="35" t="str">
        <f>IFERROR(__xludf.DUMMYFUNCTION("""COMPUTED_VALUE"""),"Kristen Protestan")</f>
        <v>Kristen Protestan</v>
      </c>
      <c r="E413" s="18" t="str">
        <f>IFERROR(__xludf.DUMMYFUNCTION("""COMPUTED_VALUE"""),"CV. SENTOSA ABADI")</f>
        <v>CV. SENTOSA ABADI</v>
      </c>
      <c r="F413" s="18" t="str">
        <f>IFERROR(__xludf.DUMMYFUNCTION("""COMPUTED_VALUE"""),"HELPER WELDER")</f>
        <v>HELPER WELDER</v>
      </c>
      <c r="G413" s="18" t="str">
        <f>IFERROR(__xludf.DUMMYFUNCTION("""COMPUTED_VALUE"""),"WORKSHOP")</f>
        <v>WORKSHOP</v>
      </c>
      <c r="H413" s="18" t="str">
        <f>IFERROR(__xludf.DUMMYFUNCTION("""COMPUTED_VALUE"""),"2023-11-30 07.17.14")</f>
        <v>2023-11-30 07.17.14</v>
      </c>
      <c r="I413" s="18" t="str">
        <f>IFERROR(__xludf.DUMMYFUNCTION("""COMPUTED_VALUE"""),"2023-11-30 07.17.14")</f>
        <v>2023-11-30 07.17.14</v>
      </c>
      <c r="J413" s="36"/>
      <c r="K413" s="37" t="str">
        <f t="shared" si="1"/>
        <v>[109191073] RIFKI RUSMANTO LAPANDI</v>
      </c>
    </row>
    <row r="414">
      <c r="A414" s="17">
        <f>IFERROR(__xludf.DUMMYFUNCTION("""COMPUTED_VALUE"""),2.01231716E8)</f>
        <v>201231716</v>
      </c>
      <c r="B414" s="18" t="str">
        <f>IFERROR(__xludf.DUMMYFUNCTION("""COMPUTED_VALUE"""),"RIKARDUS NOGOR")</f>
        <v>RIKARDUS NOGOR</v>
      </c>
      <c r="C414" s="18">
        <f>IFERROR(__xludf.DUMMYFUNCTION("""COMPUTED_VALUE"""),39.0)</f>
        <v>39</v>
      </c>
      <c r="D414" s="35" t="str">
        <f>IFERROR(__xludf.DUMMYFUNCTION("""COMPUTED_VALUE"""),"Kristen Khatolik")</f>
        <v>Kristen Khatolik</v>
      </c>
      <c r="E414" s="18" t="str">
        <f>IFERROR(__xludf.DUMMYFUNCTION("""COMPUTED_VALUE"""),"CV. Adil Prima Perkasa")</f>
        <v>CV. Adil Prima Perkasa</v>
      </c>
      <c r="F414" s="18" t="str">
        <f>IFERROR(__xludf.DUMMYFUNCTION("""COMPUTED_VALUE"""),"ASISTEN FOREMAN KENDARAAN")</f>
        <v>ASISTEN FOREMAN KENDARAAN</v>
      </c>
      <c r="G414" s="18" t="str">
        <f>IFERROR(__xludf.DUMMYFUNCTION("""COMPUTED_VALUE"""),"KENDARAAN &amp; UNIT SUPPORT")</f>
        <v>KENDARAAN &amp; UNIT SUPPORT</v>
      </c>
      <c r="H414" s="18" t="str">
        <f>IFERROR(__xludf.DUMMYFUNCTION("""COMPUTED_VALUE"""),"2024-03-31 05.31.31")</f>
        <v>2024-03-31 05.31.31</v>
      </c>
      <c r="I414" s="18" t="str">
        <f>IFERROR(__xludf.DUMMYFUNCTION("""COMPUTED_VALUE"""),"2024-03-31 22.44.41")</f>
        <v>2024-03-31 22.44.41</v>
      </c>
      <c r="J414" s="36">
        <f>IFERROR(__xludf.DUMMYFUNCTION("""COMPUTED_VALUE"""),33028.0)</f>
        <v>33028</v>
      </c>
      <c r="K414" s="37" t="str">
        <f t="shared" si="1"/>
        <v>[201231716] RIKARDUS NOGOR</v>
      </c>
    </row>
    <row r="415">
      <c r="A415" s="17">
        <f>IFERROR(__xludf.DUMMYFUNCTION("""COMPUTED_VALUE"""),1.09201218E8)</f>
        <v>109201218</v>
      </c>
      <c r="B415" s="18" t="str">
        <f>IFERROR(__xludf.DUMMYFUNCTION("""COMPUTED_VALUE"""),"RIKI")</f>
        <v>RIKI</v>
      </c>
      <c r="C415" s="18">
        <f>IFERROR(__xludf.DUMMYFUNCTION("""COMPUTED_VALUE"""),23.0)</f>
        <v>23</v>
      </c>
      <c r="D415" s="35" t="str">
        <f>IFERROR(__xludf.DUMMYFUNCTION("""COMPUTED_VALUE"""),"Islam")</f>
        <v>Islam</v>
      </c>
      <c r="E415" s="18" t="str">
        <f>IFERROR(__xludf.DUMMYFUNCTION("""COMPUTED_VALUE"""),"CV. SENTOSA ABADI")</f>
        <v>CV. SENTOSA ABADI</v>
      </c>
      <c r="F415" s="18" t="str">
        <f>IFERROR(__xludf.DUMMYFUNCTION("""COMPUTED_VALUE"""),"HELPER MECHANIC MAINTENANCE")</f>
        <v>HELPER MECHANIC MAINTENANCE</v>
      </c>
      <c r="G415" s="18" t="str">
        <f>IFERROR(__xludf.DUMMYFUNCTION("""COMPUTED_VALUE"""),"WORKSHOP")</f>
        <v>WORKSHOP</v>
      </c>
      <c r="H415" s="18" t="str">
        <f>IFERROR(__xludf.DUMMYFUNCTION("""COMPUTED_VALUE"""),"2023-11-30 07.02.08")</f>
        <v>2023-11-30 07.02.08</v>
      </c>
      <c r="I415" s="18" t="str">
        <f>IFERROR(__xludf.DUMMYFUNCTION("""COMPUTED_VALUE"""),"2023-11-30 21.59.51")</f>
        <v>2023-11-30 21.59.51</v>
      </c>
      <c r="J415" s="36"/>
      <c r="K415" s="37" t="str">
        <f t="shared" si="1"/>
        <v>[109201218] RIKI</v>
      </c>
    </row>
    <row r="416">
      <c r="A416" s="17">
        <f>IFERROR(__xludf.DUMMYFUNCTION("""COMPUTED_VALUE"""),2.03241892E8)</f>
        <v>203241892</v>
      </c>
      <c r="B416" s="18" t="str">
        <f>IFERROR(__xludf.DUMMYFUNCTION("""COMPUTED_VALUE"""),"RIKI ISMANTO")</f>
        <v>RIKI ISMANTO</v>
      </c>
      <c r="C416" s="18">
        <f>IFERROR(__xludf.DUMMYFUNCTION("""COMPUTED_VALUE"""),0.0)</f>
        <v>0</v>
      </c>
      <c r="D416" s="35"/>
      <c r="E416" s="18" t="str">
        <f>IFERROR(__xludf.DUMMYFUNCTION("""COMPUTED_VALUE"""),"CV. Adil Prima Perkasa")</f>
        <v>CV. Adil Prima Perkasa</v>
      </c>
      <c r="F416" s="18" t="str">
        <f>IFERROR(__xludf.DUMMYFUNCTION("""COMPUTED_VALUE"""),"DRIVER LV")</f>
        <v>DRIVER LV</v>
      </c>
      <c r="G416" s="18" t="str">
        <f>IFERROR(__xludf.DUMMYFUNCTION("""COMPUTED_VALUE"""),"KENDARAAN &amp; UNIT SUPPORT")</f>
        <v>KENDARAAN &amp; UNIT SUPPORT</v>
      </c>
      <c r="H416" s="18" t="str">
        <f>IFERROR(__xludf.DUMMYFUNCTION("""COMPUTED_VALUE"""),"2024-03-31 06.12.07")</f>
        <v>2024-03-31 06.12.07</v>
      </c>
      <c r="I416" s="18" t="str">
        <f>IFERROR(__xludf.DUMMYFUNCTION("""COMPUTED_VALUE"""),"2024-03-31 20.36.17")</f>
        <v>2024-03-31 20.36.17</v>
      </c>
      <c r="J416" s="36"/>
      <c r="K416" s="37" t="str">
        <f t="shared" si="1"/>
        <v>[203241892] RIKI ISMANTO</v>
      </c>
    </row>
    <row r="417">
      <c r="A417" s="17">
        <f>IFERROR(__xludf.DUMMYFUNCTION("""COMPUTED_VALUE"""),1.0715001E8)</f>
        <v>107150010</v>
      </c>
      <c r="B417" s="18" t="str">
        <f>IFERROR(__xludf.DUMMYFUNCTION("""COMPUTED_VALUE"""),"RINI PALINGGI,ST")</f>
        <v>RINI PALINGGI,ST</v>
      </c>
      <c r="C417" s="18">
        <f>IFERROR(__xludf.DUMMYFUNCTION("""COMPUTED_VALUE"""),33.0)</f>
        <v>33</v>
      </c>
      <c r="D417" s="35" t="str">
        <f>IFERROR(__xludf.DUMMYFUNCTION("""COMPUTED_VALUE"""),"Kristen Protestan")</f>
        <v>Kristen Protestan</v>
      </c>
      <c r="E417" s="18" t="str">
        <f>IFERROR(__xludf.DUMMYFUNCTION("""COMPUTED_VALUE"""),"CV. SENTOSA ABADI")</f>
        <v>CV. SENTOSA ABADI</v>
      </c>
      <c r="F417" s="18" t="str">
        <f>IFERROR(__xludf.DUMMYFUNCTION("""COMPUTED_VALUE"""),"MAINTENANCE PLANNER")</f>
        <v>MAINTENANCE PLANNER</v>
      </c>
      <c r="G417" s="18" t="str">
        <f>IFERROR(__xludf.DUMMYFUNCTION("""COMPUTED_VALUE"""),"WORKSHOP")</f>
        <v>WORKSHOP</v>
      </c>
      <c r="H417" s="18" t="str">
        <f>IFERROR(__xludf.DUMMYFUNCTION("""COMPUTED_VALUE"""),"2023-11-30 11.54.09")</f>
        <v>2023-11-30 11.54.09</v>
      </c>
      <c r="I417" s="18" t="str">
        <f>IFERROR(__xludf.DUMMYFUNCTION("""COMPUTED_VALUE"""),"2023-11-30 11.54.09")</f>
        <v>2023-11-30 11.54.09</v>
      </c>
      <c r="J417" s="36">
        <f>IFERROR(__xludf.DUMMYFUNCTION("""COMPUTED_VALUE"""),32994.0)</f>
        <v>32994</v>
      </c>
      <c r="K417" s="37" t="str">
        <f t="shared" si="1"/>
        <v>[107150010] RINI PALINGGI,ST</v>
      </c>
    </row>
    <row r="418">
      <c r="A418" s="17">
        <f>IFERROR(__xludf.DUMMYFUNCTION("""COMPUTED_VALUE"""),1.12231865E8)</f>
        <v>112231865</v>
      </c>
      <c r="B418" s="18" t="str">
        <f>IFERROR(__xludf.DUMMYFUNCTION("""COMPUTED_VALUE"""),"RINO OKTAFIANUS TIBE")</f>
        <v>RINO OKTAFIANUS TIBE</v>
      </c>
      <c r="C418" s="18">
        <f>IFERROR(__xludf.DUMMYFUNCTION("""COMPUTED_VALUE"""),0.0)</f>
        <v>0</v>
      </c>
      <c r="D418" s="35"/>
      <c r="E418" s="18" t="str">
        <f>IFERROR(__xludf.DUMMYFUNCTION("""COMPUTED_VALUE"""),"CV. SENTOSA ABADI")</f>
        <v>CV. SENTOSA ABADI</v>
      </c>
      <c r="F418" s="18" t="str">
        <f>IFERROR(__xludf.DUMMYFUNCTION("""COMPUTED_VALUE"""),"DRIVER DT H500")</f>
        <v>DRIVER DT H500</v>
      </c>
      <c r="G418" s="18" t="str">
        <f>IFERROR(__xludf.DUMMYFUNCTION("""COMPUTED_VALUE"""),"KENDARAAN &amp; UNIT SUPPORT")</f>
        <v>KENDARAAN &amp; UNIT SUPPORT</v>
      </c>
      <c r="H418" s="18" t="str">
        <f>IFERROR(__xludf.DUMMYFUNCTION("""COMPUTED_VALUE"""),"2024-03-31 06.55.18")</f>
        <v>2024-03-31 06.55.18</v>
      </c>
      <c r="I418" s="18" t="str">
        <f>IFERROR(__xludf.DUMMYFUNCTION("""COMPUTED_VALUE"""),"2024-03-31 16.43.35")</f>
        <v>2024-03-31 16.43.35</v>
      </c>
      <c r="J418" s="36"/>
      <c r="K418" s="37" t="str">
        <f t="shared" si="1"/>
        <v>[112231865] RINO OKTAFIANUS TIBE</v>
      </c>
    </row>
    <row r="419">
      <c r="A419" s="17">
        <f>IFERROR(__xludf.DUMMYFUNCTION("""COMPUTED_VALUE"""),2.02231722E8)</f>
        <v>202231722</v>
      </c>
      <c r="B419" s="18" t="str">
        <f>IFERROR(__xludf.DUMMYFUNCTION("""COMPUTED_VALUE"""),"RISFAL")</f>
        <v>RISFAL</v>
      </c>
      <c r="C419" s="18">
        <f>IFERROR(__xludf.DUMMYFUNCTION("""COMPUTED_VALUE"""),36.0)</f>
        <v>36</v>
      </c>
      <c r="D419" s="35" t="str">
        <f>IFERROR(__xludf.DUMMYFUNCTION("""COMPUTED_VALUE"""),"Islam")</f>
        <v>Islam</v>
      </c>
      <c r="E419" s="18" t="str">
        <f>IFERROR(__xludf.DUMMYFUNCTION("""COMPUTED_VALUE"""),"CV. Adil Prima Perkasa")</f>
        <v>CV. Adil Prima Perkasa</v>
      </c>
      <c r="F419" s="18" t="str">
        <f>IFERROR(__xludf.DUMMYFUNCTION("""COMPUTED_VALUE"""),"DRIVER DT H700ZY")</f>
        <v>DRIVER DT H700ZY</v>
      </c>
      <c r="G419" s="18" t="str">
        <f>IFERROR(__xludf.DUMMYFUNCTION("""COMPUTED_VALUE"""),"KENDARAAN &amp; UNIT SUPPORT")</f>
        <v>KENDARAAN &amp; UNIT SUPPORT</v>
      </c>
      <c r="H419" s="18" t="str">
        <f>IFERROR(__xludf.DUMMYFUNCTION("""COMPUTED_VALUE"""),"2024-03-31 06.25.57")</f>
        <v>2024-03-31 06.25.57</v>
      </c>
      <c r="I419" s="18" t="str">
        <f>IFERROR(__xludf.DUMMYFUNCTION("""COMPUTED_VALUE"""),"2024-03-31 21.12.39")</f>
        <v>2024-03-31 21.12.39</v>
      </c>
      <c r="J419" s="36">
        <f>IFERROR(__xludf.DUMMYFUNCTION("""COMPUTED_VALUE"""),35635.0)</f>
        <v>35635</v>
      </c>
      <c r="K419" s="37" t="str">
        <f t="shared" si="1"/>
        <v>[202231722] RISFAL</v>
      </c>
    </row>
    <row r="420">
      <c r="A420" s="17">
        <f>IFERROR(__xludf.DUMMYFUNCTION("""COMPUTED_VALUE"""),3.02230108E8)</f>
        <v>302230108</v>
      </c>
      <c r="B420" s="18" t="str">
        <f>IFERROR(__xludf.DUMMYFUNCTION("""COMPUTED_VALUE"""),"RISKI S. RAJULAINI P.")</f>
        <v>RISKI S. RAJULAINI P.</v>
      </c>
      <c r="C420" s="18">
        <f>IFERROR(__xludf.DUMMYFUNCTION("""COMPUTED_VALUE"""),23.0)</f>
        <v>23</v>
      </c>
      <c r="D420" s="35" t="str">
        <f>IFERROR(__xludf.DUMMYFUNCTION("""COMPUTED_VALUE"""),"Islam")</f>
        <v>Islam</v>
      </c>
      <c r="E420" s="18" t="str">
        <f>IFERROR(__xludf.DUMMYFUNCTION("""COMPUTED_VALUE"""),"CV. Monalisa")</f>
        <v>CV. Monalisa</v>
      </c>
      <c r="F420" s="18" t="str">
        <f>IFERROR(__xludf.DUMMYFUNCTION("""COMPUTED_VALUE"""),"SECURITY")</f>
        <v>SECURITY</v>
      </c>
      <c r="G420" s="18" t="str">
        <f>IFERROR(__xludf.DUMMYFUNCTION("""COMPUTED_VALUE"""),"HRD &amp; GA")</f>
        <v>HRD &amp; GA</v>
      </c>
      <c r="H420" s="18" t="str">
        <f>IFERROR(__xludf.DUMMYFUNCTION("""COMPUTED_VALUE"""),"2023-11-29 14.52.17")</f>
        <v>2023-11-29 14.52.17</v>
      </c>
      <c r="I420" s="18" t="str">
        <f>IFERROR(__xludf.DUMMYFUNCTION("""COMPUTED_VALUE"""),"2023-11-29 14.52.17")</f>
        <v>2023-11-29 14.52.17</v>
      </c>
      <c r="J420" s="36"/>
      <c r="K420" s="37" t="str">
        <f t="shared" si="1"/>
        <v>[302230108] RISKI S. RAJULAINI P.</v>
      </c>
    </row>
    <row r="421">
      <c r="A421" s="17">
        <f>IFERROR(__xludf.DUMMYFUNCTION("""COMPUTED_VALUE"""),2.07231795E8)</f>
        <v>207231795</v>
      </c>
      <c r="B421" s="18" t="str">
        <f>IFERROR(__xludf.DUMMYFUNCTION("""COMPUTED_VALUE"""),"RIYAN")</f>
        <v>RIYAN</v>
      </c>
      <c r="C421" s="18">
        <f>IFERROR(__xludf.DUMMYFUNCTION("""COMPUTED_VALUE"""),26.0)</f>
        <v>26</v>
      </c>
      <c r="D421" s="35" t="str">
        <f>IFERROR(__xludf.DUMMYFUNCTION("""COMPUTED_VALUE"""),"Islam")</f>
        <v>Islam</v>
      </c>
      <c r="E421" s="18" t="str">
        <f>IFERROR(__xludf.DUMMYFUNCTION("""COMPUTED_VALUE"""),"CV. Adil Prima Perkasa")</f>
        <v>CV. Adil Prima Perkasa</v>
      </c>
      <c r="F421" s="18" t="str">
        <f>IFERROR(__xludf.DUMMYFUNCTION("""COMPUTED_VALUE"""),"OPERATOR LOADER")</f>
        <v>OPERATOR LOADER</v>
      </c>
      <c r="G421" s="18" t="str">
        <f>IFERROR(__xludf.DUMMYFUNCTION("""COMPUTED_VALUE"""),"PRODUKSI")</f>
        <v>PRODUKSI</v>
      </c>
      <c r="H421" s="18" t="str">
        <f>IFERROR(__xludf.DUMMYFUNCTION("""COMPUTED_VALUE"""),"2023-12-30 16.25.07")</f>
        <v>2023-12-30 16.25.07</v>
      </c>
      <c r="I421" s="18" t="str">
        <f>IFERROR(__xludf.DUMMYFUNCTION("""COMPUTED_VALUE"""),"2023-12-30 16.25.07")</f>
        <v>2023-12-30 16.25.07</v>
      </c>
      <c r="J421" s="36">
        <f>IFERROR(__xludf.DUMMYFUNCTION("""COMPUTED_VALUE"""),35677.0)</f>
        <v>35677</v>
      </c>
      <c r="K421" s="37" t="str">
        <f t="shared" si="1"/>
        <v>[207231795] RIYAN</v>
      </c>
    </row>
    <row r="422">
      <c r="A422" s="17">
        <f>IFERROR(__xludf.DUMMYFUNCTION("""COMPUTED_VALUE"""),2.12231871E8)</f>
        <v>212231871</v>
      </c>
      <c r="B422" s="18" t="str">
        <f>IFERROR(__xludf.DUMMYFUNCTION("""COMPUTED_VALUE"""),"RIZALDI")</f>
        <v>RIZALDI</v>
      </c>
      <c r="C422" s="18">
        <f>IFERROR(__xludf.DUMMYFUNCTION("""COMPUTED_VALUE"""),0.0)</f>
        <v>0</v>
      </c>
      <c r="D422" s="35"/>
      <c r="E422" s="18" t="str">
        <f>IFERROR(__xludf.DUMMYFUNCTION("""COMPUTED_VALUE"""),"CV. Adil Prima Perkasa")</f>
        <v>CV. Adil Prima Perkasa</v>
      </c>
      <c r="F422" s="18" t="str">
        <f>IFERROR(__xludf.DUMMYFUNCTION("""COMPUTED_VALUE"""),"DRIVER DT H500")</f>
        <v>DRIVER DT H500</v>
      </c>
      <c r="G422" s="18" t="str">
        <f>IFERROR(__xludf.DUMMYFUNCTION("""COMPUTED_VALUE"""),"KENDARAAN &amp; UNIT SUPPORT")</f>
        <v>KENDARAAN &amp; UNIT SUPPORT</v>
      </c>
      <c r="H422" s="18" t="str">
        <f>IFERROR(__xludf.DUMMYFUNCTION("""COMPUTED_VALUE"""),"2024-03-31 07.26.27")</f>
        <v>2024-03-31 07.26.27</v>
      </c>
      <c r="I422" s="18" t="str">
        <f>IFERROR(__xludf.DUMMYFUNCTION("""COMPUTED_VALUE"""),"2024-03-31 16.58.29")</f>
        <v>2024-03-31 16.58.29</v>
      </c>
      <c r="J422" s="36"/>
      <c r="K422" s="37" t="str">
        <f t="shared" si="1"/>
        <v>[212231871] RIZALDI</v>
      </c>
    </row>
    <row r="423">
      <c r="A423" s="17">
        <f>IFERROR(__xludf.DUMMYFUNCTION("""COMPUTED_VALUE"""),2.08191035E8)</f>
        <v>208191035</v>
      </c>
      <c r="B423" s="18" t="str">
        <f>IFERROR(__xludf.DUMMYFUNCTION("""COMPUTED_VALUE"""),"ROBITUS NAMAT")</f>
        <v>ROBITUS NAMAT</v>
      </c>
      <c r="C423" s="18">
        <f>IFERROR(__xludf.DUMMYFUNCTION("""COMPUTED_VALUE"""),27.0)</f>
        <v>27</v>
      </c>
      <c r="D423" s="35" t="str">
        <f>IFERROR(__xludf.DUMMYFUNCTION("""COMPUTED_VALUE"""),"Kristen Khatolik")</f>
        <v>Kristen Khatolik</v>
      </c>
      <c r="E423" s="18" t="str">
        <f>IFERROR(__xludf.DUMMYFUNCTION("""COMPUTED_VALUE"""),"CV. Adil Prima Perkasa")</f>
        <v>CV. Adil Prima Perkasa</v>
      </c>
      <c r="F423" s="18" t="str">
        <f>IFERROR(__xludf.DUMMYFUNCTION("""COMPUTED_VALUE"""),"OPERATOR EXCAVATOR")</f>
        <v>OPERATOR EXCAVATOR</v>
      </c>
      <c r="G423" s="18" t="str">
        <f>IFERROR(__xludf.DUMMYFUNCTION("""COMPUTED_VALUE"""),"WORKSHOP")</f>
        <v>WORKSHOP</v>
      </c>
      <c r="H423" s="18" t="str">
        <f>IFERROR(__xludf.DUMMYFUNCTION("""COMPUTED_VALUE"""),"2023-11-19 17.33.04")</f>
        <v>2023-11-19 17.33.04</v>
      </c>
      <c r="I423" s="18" t="str">
        <f>IFERROR(__xludf.DUMMYFUNCTION("""COMPUTED_VALUE"""),"2023-11-19 17.33.04")</f>
        <v>2023-11-19 17.33.04</v>
      </c>
      <c r="J423" s="36"/>
      <c r="K423" s="37" t="str">
        <f t="shared" si="1"/>
        <v>[208191035] ROBITUS NAMAT</v>
      </c>
    </row>
    <row r="424">
      <c r="A424" s="17">
        <f>IFERROR(__xludf.DUMMYFUNCTION("""COMPUTED_VALUE"""),2.04231752E8)</f>
        <v>204231752</v>
      </c>
      <c r="B424" s="18" t="str">
        <f>IFERROR(__xludf.DUMMYFUNCTION("""COMPUTED_VALUE"""),"ROFIK")</f>
        <v>ROFIK</v>
      </c>
      <c r="C424" s="18">
        <f>IFERROR(__xludf.DUMMYFUNCTION("""COMPUTED_VALUE"""),39.0)</f>
        <v>39</v>
      </c>
      <c r="D424" s="35" t="str">
        <f>IFERROR(__xludf.DUMMYFUNCTION("""COMPUTED_VALUE"""),"Islam")</f>
        <v>Islam</v>
      </c>
      <c r="E424" s="18" t="str">
        <f>IFERROR(__xludf.DUMMYFUNCTION("""COMPUTED_VALUE"""),"CV. Adil Prima Perkasa")</f>
        <v>CV. Adil Prima Perkasa</v>
      </c>
      <c r="F424" s="18" t="str">
        <f>IFERROR(__xludf.DUMMYFUNCTION("""COMPUTED_VALUE"""),"DRIVER DT H700ZS")</f>
        <v>DRIVER DT H700ZS</v>
      </c>
      <c r="G424" s="18" t="str">
        <f>IFERROR(__xludf.DUMMYFUNCTION("""COMPUTED_VALUE"""),"KENDARAAN &amp; UNIT SUPPORT")</f>
        <v>KENDARAAN &amp; UNIT SUPPORT</v>
      </c>
      <c r="H424" s="18" t="str">
        <f>IFERROR(__xludf.DUMMYFUNCTION("""COMPUTED_VALUE"""),"2024-03-31 05.33.59")</f>
        <v>2024-03-31 05.33.59</v>
      </c>
      <c r="I424" s="18" t="str">
        <f>IFERROR(__xludf.DUMMYFUNCTION("""COMPUTED_VALUE"""),"2024-03-31 17.02.20")</f>
        <v>2024-03-31 17.02.20</v>
      </c>
      <c r="J424" s="36"/>
      <c r="K424" s="37" t="str">
        <f t="shared" si="1"/>
        <v>[204231752] ROFIK</v>
      </c>
    </row>
    <row r="425">
      <c r="A425" s="17">
        <f>IFERROR(__xludf.DUMMYFUNCTION("""COMPUTED_VALUE"""),1.09201238E8)</f>
        <v>109201238</v>
      </c>
      <c r="B425" s="18" t="str">
        <f>IFERROR(__xludf.DUMMYFUNCTION("""COMPUTED_VALUE"""),"ROFINUS")</f>
        <v>ROFINUS</v>
      </c>
      <c r="C425" s="18">
        <f>IFERROR(__xludf.DUMMYFUNCTION("""COMPUTED_VALUE"""),0.0)</f>
        <v>0</v>
      </c>
      <c r="D425" s="35"/>
      <c r="E425" s="18" t="str">
        <f>IFERROR(__xludf.DUMMYFUNCTION("""COMPUTED_VALUE"""),"CV. SENTOSA ABADI")</f>
        <v>CV. SENTOSA ABADI</v>
      </c>
      <c r="F425" s="18" t="str">
        <f>IFERROR(__xludf.DUMMYFUNCTION("""COMPUTED_VALUE"""),"OPERATOR ADT")</f>
        <v>OPERATOR ADT</v>
      </c>
      <c r="G425" s="18" t="str">
        <f>IFERROR(__xludf.DUMMYFUNCTION("""COMPUTED_VALUE"""),"PRODUKSI")</f>
        <v>PRODUKSI</v>
      </c>
      <c r="H425" s="18" t="str">
        <f>IFERROR(__xludf.DUMMYFUNCTION("""COMPUTED_VALUE"""),"2023-11-30 06.09.11")</f>
        <v>2023-11-30 06.09.11</v>
      </c>
      <c r="I425" s="18" t="str">
        <f>IFERROR(__xludf.DUMMYFUNCTION("""COMPUTED_VALUE"""),"2023-11-30 06.09.11")</f>
        <v>2023-11-30 06.09.11</v>
      </c>
      <c r="J425" s="36"/>
      <c r="K425" s="37" t="str">
        <f t="shared" si="1"/>
        <v>[109201238] ROFINUS</v>
      </c>
    </row>
    <row r="426">
      <c r="A426" s="17">
        <f>IFERROR(__xludf.DUMMYFUNCTION("""COMPUTED_VALUE"""),2.08231819E8)</f>
        <v>208231819</v>
      </c>
      <c r="B426" s="18" t="str">
        <f>IFERROR(__xludf.DUMMYFUNCTION("""COMPUTED_VALUE"""),"ROGEL TEODRA")</f>
        <v>ROGEL TEODRA</v>
      </c>
      <c r="C426" s="18">
        <f>IFERROR(__xludf.DUMMYFUNCTION("""COMPUTED_VALUE"""),19.0)</f>
        <v>19</v>
      </c>
      <c r="D426" s="35" t="str">
        <f>IFERROR(__xludf.DUMMYFUNCTION("""COMPUTED_VALUE"""),"Kristen Protestan")</f>
        <v>Kristen Protestan</v>
      </c>
      <c r="E426" s="18" t="str">
        <f>IFERROR(__xludf.DUMMYFUNCTION("""COMPUTED_VALUE"""),"CV. Adil Prima Perkasa")</f>
        <v>CV. Adil Prima Perkasa</v>
      </c>
      <c r="F426" s="18" t="str">
        <f>IFERROR(__xludf.DUMMYFUNCTION("""COMPUTED_VALUE"""),"OFFICE BOY")</f>
        <v>OFFICE BOY</v>
      </c>
      <c r="G426" s="18" t="str">
        <f>IFERROR(__xludf.DUMMYFUNCTION("""COMPUTED_VALUE"""),"HRD &amp; GA")</f>
        <v>HRD &amp; GA</v>
      </c>
      <c r="H426" s="18" t="str">
        <f>IFERROR(__xludf.DUMMYFUNCTION("""COMPUTED_VALUE"""),"2024-03-31 05.52.54")</f>
        <v>2024-03-31 05.52.54</v>
      </c>
      <c r="I426" s="18" t="str">
        <f>IFERROR(__xludf.DUMMYFUNCTION("""COMPUTED_VALUE"""),"2024-03-31 17.38.52")</f>
        <v>2024-03-31 17.38.52</v>
      </c>
      <c r="J426" s="36"/>
      <c r="K426" s="37" t="str">
        <f t="shared" si="1"/>
        <v>[208231819] ROGEL TEODRA</v>
      </c>
    </row>
    <row r="427">
      <c r="A427" s="17">
        <f>IFERROR(__xludf.DUMMYFUNCTION("""COMPUTED_VALUE"""),1.07190977E8)</f>
        <v>107190977</v>
      </c>
      <c r="B427" s="18" t="str">
        <f>IFERROR(__xludf.DUMMYFUNCTION("""COMPUTED_VALUE"""),"ROI MASSODE")</f>
        <v>ROI MASSODE</v>
      </c>
      <c r="C427" s="18">
        <f>IFERROR(__xludf.DUMMYFUNCTION("""COMPUTED_VALUE"""),35.0)</f>
        <v>35</v>
      </c>
      <c r="D427" s="35" t="str">
        <f>IFERROR(__xludf.DUMMYFUNCTION("""COMPUTED_VALUE"""),"Kristen Protestan")</f>
        <v>Kristen Protestan</v>
      </c>
      <c r="E427" s="18" t="str">
        <f>IFERROR(__xludf.DUMMYFUNCTION("""COMPUTED_VALUE"""),"CV. SENTOSA ABADI")</f>
        <v>CV. SENTOSA ABADI</v>
      </c>
      <c r="F427" s="18" t="str">
        <f>IFERROR(__xludf.DUMMYFUNCTION("""COMPUTED_VALUE"""),"HELPER MEKANIK ALAT BERAT")</f>
        <v>HELPER MEKANIK ALAT BERAT</v>
      </c>
      <c r="G427" s="18" t="str">
        <f>IFERROR(__xludf.DUMMYFUNCTION("""COMPUTED_VALUE"""),"WORKSHOP")</f>
        <v>WORKSHOP</v>
      </c>
      <c r="H427" s="18" t="str">
        <f>IFERROR(__xludf.DUMMYFUNCTION("""COMPUTED_VALUE"""),"2023-11-30 07.00.39")</f>
        <v>2023-11-30 07.00.39</v>
      </c>
      <c r="I427" s="18" t="str">
        <f>IFERROR(__xludf.DUMMYFUNCTION("""COMPUTED_VALUE"""),"2023-11-30 07.00.39")</f>
        <v>2023-11-30 07.00.39</v>
      </c>
      <c r="J427" s="36"/>
      <c r="K427" s="37" t="str">
        <f t="shared" si="1"/>
        <v>[107190977] ROI MASSODE</v>
      </c>
    </row>
    <row r="428">
      <c r="A428" s="17">
        <f>IFERROR(__xludf.DUMMYFUNCTION("""COMPUTED_VALUE"""),1.04211371E8)</f>
        <v>104211371</v>
      </c>
      <c r="B428" s="18" t="str">
        <f>IFERROR(__xludf.DUMMYFUNCTION("""COMPUTED_VALUE"""),"ROMI RAHAMIS")</f>
        <v>ROMI RAHAMIS</v>
      </c>
      <c r="C428" s="18">
        <f>IFERROR(__xludf.DUMMYFUNCTION("""COMPUTED_VALUE"""),28.0)</f>
        <v>28</v>
      </c>
      <c r="D428" s="35" t="str">
        <f>IFERROR(__xludf.DUMMYFUNCTION("""COMPUTED_VALUE"""),"Kristen Protestan")</f>
        <v>Kristen Protestan</v>
      </c>
      <c r="E428" s="18" t="str">
        <f>IFERROR(__xludf.DUMMYFUNCTION("""COMPUTED_VALUE"""),"CV. SENTOSA ABADI")</f>
        <v>CV. SENTOSA ABADI</v>
      </c>
      <c r="F428" s="18" t="str">
        <f>IFERROR(__xludf.DUMMYFUNCTION("""COMPUTED_VALUE"""),"DRIVER LV")</f>
        <v>DRIVER LV</v>
      </c>
      <c r="G428" s="18" t="str">
        <f>IFERROR(__xludf.DUMMYFUNCTION("""COMPUTED_VALUE"""),"KENDARAAN &amp; UNIT SUPPORT")</f>
        <v>KENDARAAN &amp; UNIT SUPPORT</v>
      </c>
      <c r="H428" s="18" t="str">
        <f>IFERROR(__xludf.DUMMYFUNCTION("""COMPUTED_VALUE"""),"2023-11-30 04.59.16")</f>
        <v>2023-11-30 04.59.16</v>
      </c>
      <c r="I428" s="18" t="str">
        <f>IFERROR(__xludf.DUMMYFUNCTION("""COMPUTED_VALUE"""),"2023-11-30 19.47.38")</f>
        <v>2023-11-30 19.47.38</v>
      </c>
      <c r="J428" s="36"/>
      <c r="K428" s="37" t="str">
        <f t="shared" si="1"/>
        <v>[104211371] ROMI RAHAMIS</v>
      </c>
    </row>
    <row r="429">
      <c r="A429" s="17">
        <f>IFERROR(__xludf.DUMMYFUNCTION("""COMPUTED_VALUE"""),1.05211388E8)</f>
        <v>105211388</v>
      </c>
      <c r="B429" s="18" t="str">
        <f>IFERROR(__xludf.DUMMYFUNCTION("""COMPUTED_VALUE"""),"RONAL TODING")</f>
        <v>RONAL TODING</v>
      </c>
      <c r="C429" s="18">
        <f>IFERROR(__xludf.DUMMYFUNCTION("""COMPUTED_VALUE"""),46.0)</f>
        <v>46</v>
      </c>
      <c r="D429" s="35" t="str">
        <f>IFERROR(__xludf.DUMMYFUNCTION("""COMPUTED_VALUE"""),"Islam")</f>
        <v>Islam</v>
      </c>
      <c r="E429" s="18" t="str">
        <f>IFERROR(__xludf.DUMMYFUNCTION("""COMPUTED_VALUE"""),"CV. SENTOSA ABADI")</f>
        <v>CV. SENTOSA ABADI</v>
      </c>
      <c r="F429" s="18" t="str">
        <f>IFERROR(__xludf.DUMMYFUNCTION("""COMPUTED_VALUE"""),"DRIVER DT H700ZY")</f>
        <v>DRIVER DT H700ZY</v>
      </c>
      <c r="G429" s="18" t="str">
        <f>IFERROR(__xludf.DUMMYFUNCTION("""COMPUTED_VALUE"""),"KENDARAAN &amp; UNIT SUPPORT")</f>
        <v>KENDARAAN &amp; UNIT SUPPORT</v>
      </c>
      <c r="H429" s="18" t="str">
        <f>IFERROR(__xludf.DUMMYFUNCTION("""COMPUTED_VALUE"""),"2023-11-30 04.43.38")</f>
        <v>2023-11-30 04.43.38</v>
      </c>
      <c r="I429" s="18" t="str">
        <f>IFERROR(__xludf.DUMMYFUNCTION("""COMPUTED_VALUE"""),"2023-11-30 04.43.38")</f>
        <v>2023-11-30 04.43.38</v>
      </c>
      <c r="J429" s="36"/>
      <c r="K429" s="37" t="str">
        <f t="shared" si="1"/>
        <v>[105211388] RONAL TODING</v>
      </c>
    </row>
    <row r="430">
      <c r="A430" s="17">
        <f>IFERROR(__xludf.DUMMYFUNCTION("""COMPUTED_VALUE"""),2.06211416E8)</f>
        <v>206211416</v>
      </c>
      <c r="B430" s="18" t="str">
        <f>IFERROR(__xludf.DUMMYFUNCTION("""COMPUTED_VALUE"""),"RONALD STANLAY IMBING")</f>
        <v>RONALD STANLAY IMBING</v>
      </c>
      <c r="C430" s="18">
        <f>IFERROR(__xludf.DUMMYFUNCTION("""COMPUTED_VALUE"""),50.0)</f>
        <v>50</v>
      </c>
      <c r="D430" s="35" t="str">
        <f>IFERROR(__xludf.DUMMYFUNCTION("""COMPUTED_VALUE"""),"Kristen Protestan")</f>
        <v>Kristen Protestan</v>
      </c>
      <c r="E430" s="18" t="str">
        <f>IFERROR(__xludf.DUMMYFUNCTION("""COMPUTED_VALUE"""),"CV. Adil Prima Perkasa")</f>
        <v>CV. Adil Prima Perkasa</v>
      </c>
      <c r="F430" s="18" t="str">
        <f>IFERROR(__xludf.DUMMYFUNCTION("""COMPUTED_VALUE"""),"OPERATOR BULLDOZER")</f>
        <v>OPERATOR BULLDOZER</v>
      </c>
      <c r="G430" s="18" t="str">
        <f>IFERROR(__xludf.DUMMYFUNCTION("""COMPUTED_VALUE"""),"PRODUKSI")</f>
        <v>PRODUKSI</v>
      </c>
      <c r="H430" s="18" t="str">
        <f>IFERROR(__xludf.DUMMYFUNCTION("""COMPUTED_VALUE"""),"2023-11-30 05.00.55")</f>
        <v>2023-11-30 05.00.55</v>
      </c>
      <c r="I430" s="18" t="str">
        <f>IFERROR(__xludf.DUMMYFUNCTION("""COMPUTED_VALUE"""),"2023-11-30 05.00.55")</f>
        <v>2023-11-30 05.00.55</v>
      </c>
      <c r="J430" s="36">
        <f>IFERROR(__xludf.DUMMYFUNCTION("""COMPUTED_VALUE"""),30600.0)</f>
        <v>30600</v>
      </c>
      <c r="K430" s="37" t="str">
        <f t="shared" si="1"/>
        <v>[206211416] RONALD STANLAY IMBING</v>
      </c>
    </row>
    <row r="431">
      <c r="A431" s="17">
        <f>IFERROR(__xludf.DUMMYFUNCTION("""COMPUTED_VALUE"""),2.10211522E8)</f>
        <v>210211522</v>
      </c>
      <c r="B431" s="18" t="str">
        <f>IFERROR(__xludf.DUMMYFUNCTION("""COMPUTED_VALUE"""),"RONIUS FALLO")</f>
        <v>RONIUS FALLO</v>
      </c>
      <c r="C431" s="18">
        <f>IFERROR(__xludf.DUMMYFUNCTION("""COMPUTED_VALUE"""),41.0)</f>
        <v>41</v>
      </c>
      <c r="D431" s="35" t="str">
        <f>IFERROR(__xludf.DUMMYFUNCTION("""COMPUTED_VALUE"""),"Kristen Protestan")</f>
        <v>Kristen Protestan</v>
      </c>
      <c r="E431" s="18" t="str">
        <f>IFERROR(__xludf.DUMMYFUNCTION("""COMPUTED_VALUE"""),"CV. Adil Prima Perkasa")</f>
        <v>CV. Adil Prima Perkasa</v>
      </c>
      <c r="F431" s="18" t="str">
        <f>IFERROR(__xludf.DUMMYFUNCTION("""COMPUTED_VALUE"""),"OPERATOR COMPACTOR")</f>
        <v>OPERATOR COMPACTOR</v>
      </c>
      <c r="G431" s="18" t="str">
        <f>IFERROR(__xludf.DUMMYFUNCTION("""COMPUTED_VALUE"""),"PRODUKSI")</f>
        <v>PRODUKSI</v>
      </c>
      <c r="H431" s="18" t="str">
        <f>IFERROR(__xludf.DUMMYFUNCTION("""COMPUTED_VALUE"""),"2023-11-30 05.10.01")</f>
        <v>2023-11-30 05.10.01</v>
      </c>
      <c r="I431" s="18" t="str">
        <f>IFERROR(__xludf.DUMMYFUNCTION("""COMPUTED_VALUE"""),"2023-11-30 16.53.31")</f>
        <v>2023-11-30 16.53.31</v>
      </c>
      <c r="J431" s="36"/>
      <c r="K431" s="37" t="str">
        <f t="shared" si="1"/>
        <v>[210211522] RONIUS FALLO</v>
      </c>
    </row>
    <row r="432">
      <c r="A432" s="17">
        <f>IFERROR(__xludf.DUMMYFUNCTION("""COMPUTED_VALUE"""),2.03221599E8)</f>
        <v>203221599</v>
      </c>
      <c r="B432" s="18" t="str">
        <f>IFERROR(__xludf.DUMMYFUNCTION("""COMPUTED_VALUE"""),"ROSMAN SADAT")</f>
        <v>ROSMAN SADAT</v>
      </c>
      <c r="C432" s="18">
        <f>IFERROR(__xludf.DUMMYFUNCTION("""COMPUTED_VALUE"""),31.0)</f>
        <v>31</v>
      </c>
      <c r="D432" s="35" t="str">
        <f>IFERROR(__xludf.DUMMYFUNCTION("""COMPUTED_VALUE"""),"Islam")</f>
        <v>Islam</v>
      </c>
      <c r="E432" s="18" t="str">
        <f>IFERROR(__xludf.DUMMYFUNCTION("""COMPUTED_VALUE"""),"CV. Adil Prima Perkasa")</f>
        <v>CV. Adil Prima Perkasa</v>
      </c>
      <c r="F432" s="18" t="str">
        <f>IFERROR(__xludf.DUMMYFUNCTION("""COMPUTED_VALUE"""),"ADMIN WORKSHOP")</f>
        <v>ADMIN WORKSHOP</v>
      </c>
      <c r="G432" s="18" t="str">
        <f>IFERROR(__xludf.DUMMYFUNCTION("""COMPUTED_VALUE"""),"WORKSHOP")</f>
        <v>WORKSHOP</v>
      </c>
      <c r="H432" s="18" t="str">
        <f>IFERROR(__xludf.DUMMYFUNCTION("""COMPUTED_VALUE"""),"2023-11-23 06.42.18")</f>
        <v>2023-11-23 06.42.18</v>
      </c>
      <c r="I432" s="18" t="str">
        <f>IFERROR(__xludf.DUMMYFUNCTION("""COMPUTED_VALUE"""),"2023-11-23 18.22.22")</f>
        <v>2023-11-23 18.22.22</v>
      </c>
      <c r="J432" s="36"/>
      <c r="K432" s="37" t="str">
        <f t="shared" si="1"/>
        <v>[203221599] ROSMAN SADAT</v>
      </c>
    </row>
    <row r="433">
      <c r="A433" s="17">
        <f>IFERROR(__xludf.DUMMYFUNCTION("""COMPUTED_VALUE"""),1.03170231E8)</f>
        <v>103170231</v>
      </c>
      <c r="B433" s="18" t="str">
        <f>IFERROR(__xludf.DUMMYFUNCTION("""COMPUTED_VALUE"""),"ROSNIATI")</f>
        <v>ROSNIATI</v>
      </c>
      <c r="C433" s="18">
        <f>IFERROR(__xludf.DUMMYFUNCTION("""COMPUTED_VALUE"""),49.0)</f>
        <v>49</v>
      </c>
      <c r="D433" s="35" t="str">
        <f>IFERROR(__xludf.DUMMYFUNCTION("""COMPUTED_VALUE"""),"Islam")</f>
        <v>Islam</v>
      </c>
      <c r="E433" s="18" t="str">
        <f>IFERROR(__xludf.DUMMYFUNCTION("""COMPUTED_VALUE"""),"CV. SENTOSA ABADI")</f>
        <v>CV. SENTOSA ABADI</v>
      </c>
      <c r="F433" s="18" t="str">
        <f>IFERROR(__xludf.DUMMYFUNCTION("""COMPUTED_VALUE"""),"STOCKER")</f>
        <v>STOCKER</v>
      </c>
      <c r="G433" s="18" t="str">
        <f>IFERROR(__xludf.DUMMYFUNCTION("""COMPUTED_VALUE"""),"HRD &amp; GA")</f>
        <v>HRD &amp; GA</v>
      </c>
      <c r="H433" s="18" t="str">
        <f>IFERROR(__xludf.DUMMYFUNCTION("""COMPUTED_VALUE"""),"2024-03-31 06.42.25")</f>
        <v>2024-03-31 06.42.25</v>
      </c>
      <c r="I433" s="18" t="str">
        <f>IFERROR(__xludf.DUMMYFUNCTION("""COMPUTED_VALUE"""),"2024-03-31 23.46.13")</f>
        <v>2024-03-31 23.46.13</v>
      </c>
      <c r="J433" s="36"/>
      <c r="K433" s="37" t="str">
        <f t="shared" si="1"/>
        <v>[103170231] ROSNIATI</v>
      </c>
    </row>
    <row r="434">
      <c r="A434" s="17">
        <f>IFERROR(__xludf.DUMMYFUNCTION("""COMPUTED_VALUE"""),2.03221603E8)</f>
        <v>203221603</v>
      </c>
      <c r="B434" s="18" t="str">
        <f>IFERROR(__xludf.DUMMYFUNCTION("""COMPUTED_VALUE"""),"ROY BARAU")</f>
        <v>ROY BARAU</v>
      </c>
      <c r="C434" s="18">
        <f>IFERROR(__xludf.DUMMYFUNCTION("""COMPUTED_VALUE"""),26.0)</f>
        <v>26</v>
      </c>
      <c r="D434" s="35" t="str">
        <f>IFERROR(__xludf.DUMMYFUNCTION("""COMPUTED_VALUE"""),"Kristen Protestan")</f>
        <v>Kristen Protestan</v>
      </c>
      <c r="E434" s="18" t="str">
        <f>IFERROR(__xludf.DUMMYFUNCTION("""COMPUTED_VALUE"""),"CV. Adil Prima Perkasa")</f>
        <v>CV. Adil Prima Perkasa</v>
      </c>
      <c r="F434" s="18" t="str">
        <f>IFERROR(__xludf.DUMMYFUNCTION("""COMPUTED_VALUE"""),"DRIVER DT H700ZY")</f>
        <v>DRIVER DT H700ZY</v>
      </c>
      <c r="G434" s="18" t="str">
        <f>IFERROR(__xludf.DUMMYFUNCTION("""COMPUTED_VALUE"""),"KENDARAAN &amp; UNIT SUPPORT")</f>
        <v>KENDARAAN &amp; UNIT SUPPORT</v>
      </c>
      <c r="H434" s="18" t="str">
        <f>IFERROR(__xludf.DUMMYFUNCTION("""COMPUTED_VALUE"""),"2024-03-30 05.56.06")</f>
        <v>2024-03-30 05.56.06</v>
      </c>
      <c r="I434" s="18" t="str">
        <f>IFERROR(__xludf.DUMMYFUNCTION("""COMPUTED_VALUE"""),"2024-03-30 15.08.56")</f>
        <v>2024-03-30 15.08.56</v>
      </c>
      <c r="J434" s="36"/>
      <c r="K434" s="37" t="str">
        <f t="shared" si="1"/>
        <v>[203221603] ROY BARAU</v>
      </c>
    </row>
    <row r="435">
      <c r="A435" s="17">
        <f>IFERROR(__xludf.DUMMYFUNCTION("""COMPUTED_VALUE"""),2.02201131E8)</f>
        <v>202201131</v>
      </c>
      <c r="B435" s="18" t="str">
        <f>IFERROR(__xludf.DUMMYFUNCTION("""COMPUTED_VALUE"""),"RUSDI")</f>
        <v>RUSDI</v>
      </c>
      <c r="C435" s="18">
        <f>IFERROR(__xludf.DUMMYFUNCTION("""COMPUTED_VALUE"""),47.0)</f>
        <v>47</v>
      </c>
      <c r="D435" s="35" t="str">
        <f>IFERROR(__xludf.DUMMYFUNCTION("""COMPUTED_VALUE"""),"Islam")</f>
        <v>Islam</v>
      </c>
      <c r="E435" s="18" t="str">
        <f>IFERROR(__xludf.DUMMYFUNCTION("""COMPUTED_VALUE"""),"CV. Adil Prima Perkasa")</f>
        <v>CV. Adil Prima Perkasa</v>
      </c>
      <c r="F435" s="18" t="str">
        <f>IFERROR(__xludf.DUMMYFUNCTION("""COMPUTED_VALUE"""),"OPERATOR ADT")</f>
        <v>OPERATOR ADT</v>
      </c>
      <c r="G435" s="18" t="str">
        <f>IFERROR(__xludf.DUMMYFUNCTION("""COMPUTED_VALUE"""),"PRODUKSI")</f>
        <v>PRODUKSI</v>
      </c>
      <c r="H435" s="18" t="str">
        <f>IFERROR(__xludf.DUMMYFUNCTION("""COMPUTED_VALUE"""),"2023-11-30 04.55.17")</f>
        <v>2023-11-30 04.55.17</v>
      </c>
      <c r="I435" s="18" t="str">
        <f>IFERROR(__xludf.DUMMYFUNCTION("""COMPUTED_VALUE"""),"2023-11-30 04.55.17")</f>
        <v>2023-11-30 04.55.17</v>
      </c>
      <c r="J435" s="36">
        <f>IFERROR(__xludf.DUMMYFUNCTION("""COMPUTED_VALUE"""),29316.0)</f>
        <v>29316</v>
      </c>
      <c r="K435" s="37" t="str">
        <f t="shared" si="1"/>
        <v>[202201131] RUSDI</v>
      </c>
    </row>
    <row r="436">
      <c r="A436" s="17">
        <f>IFERROR(__xludf.DUMMYFUNCTION("""COMPUTED_VALUE"""),2.06231775E8)</f>
        <v>206231775</v>
      </c>
      <c r="B436" s="18" t="str">
        <f>IFERROR(__xludf.DUMMYFUNCTION("""COMPUTED_VALUE"""),"RUSDIANTO ASKAR")</f>
        <v>RUSDIANTO ASKAR</v>
      </c>
      <c r="C436" s="18">
        <f>IFERROR(__xludf.DUMMYFUNCTION("""COMPUTED_VALUE"""),25.0)</f>
        <v>25</v>
      </c>
      <c r="D436" s="35" t="str">
        <f>IFERROR(__xludf.DUMMYFUNCTION("""COMPUTED_VALUE"""),"Islam")</f>
        <v>Islam</v>
      </c>
      <c r="E436" s="18" t="str">
        <f>IFERROR(__xludf.DUMMYFUNCTION("""COMPUTED_VALUE"""),"CV. Adil Prima Perkasa")</f>
        <v>CV. Adil Prima Perkasa</v>
      </c>
      <c r="F436" s="18" t="str">
        <f>IFERROR(__xludf.DUMMYFUNCTION("""COMPUTED_VALUE"""),"DRIVER LV")</f>
        <v>DRIVER LV</v>
      </c>
      <c r="G436" s="18" t="str">
        <f>IFERROR(__xludf.DUMMYFUNCTION("""COMPUTED_VALUE"""),"KENDARAAN &amp; UNIT SUPPORT")</f>
        <v>KENDARAAN &amp; UNIT SUPPORT</v>
      </c>
      <c r="H436" s="18" t="str">
        <f>IFERROR(__xludf.DUMMYFUNCTION("""COMPUTED_VALUE"""),"2024-03-30 06.45.45")</f>
        <v>2024-03-30 06.45.45</v>
      </c>
      <c r="I436" s="18" t="str">
        <f>IFERROR(__xludf.DUMMYFUNCTION("""COMPUTED_VALUE"""),"2024-03-30 18.59.32")</f>
        <v>2024-03-30 18.59.32</v>
      </c>
      <c r="J436" s="36"/>
      <c r="K436" s="37" t="str">
        <f t="shared" si="1"/>
        <v>[206231775] RUSDIANTO ASKAR</v>
      </c>
    </row>
    <row r="437">
      <c r="A437" s="17">
        <f>IFERROR(__xludf.DUMMYFUNCTION("""COMPUTED_VALUE"""),2.03221604E8)</f>
        <v>203221604</v>
      </c>
      <c r="B437" s="18" t="str">
        <f>IFERROR(__xludf.DUMMYFUNCTION("""COMPUTED_VALUE"""),"RUSLAN KALLA")</f>
        <v>RUSLAN KALLA</v>
      </c>
      <c r="C437" s="18">
        <f>IFERROR(__xludf.DUMMYFUNCTION("""COMPUTED_VALUE"""),46.0)</f>
        <v>46</v>
      </c>
      <c r="D437" s="35" t="str">
        <f>IFERROR(__xludf.DUMMYFUNCTION("""COMPUTED_VALUE"""),"Islam")</f>
        <v>Islam</v>
      </c>
      <c r="E437" s="18" t="str">
        <f>IFERROR(__xludf.DUMMYFUNCTION("""COMPUTED_VALUE"""),"CV. Adil Prima Perkasa")</f>
        <v>CV. Adil Prima Perkasa</v>
      </c>
      <c r="F437" s="18" t="str">
        <f>IFERROR(__xludf.DUMMYFUNCTION("""COMPUTED_VALUE"""),"DRIVER DT H700ZY")</f>
        <v>DRIVER DT H700ZY</v>
      </c>
      <c r="G437" s="18" t="str">
        <f>IFERROR(__xludf.DUMMYFUNCTION("""COMPUTED_VALUE"""),"KENDARAAN &amp; UNIT SUPPORT")</f>
        <v>KENDARAAN &amp; UNIT SUPPORT</v>
      </c>
      <c r="H437" s="18" t="str">
        <f>IFERROR(__xludf.DUMMYFUNCTION("""COMPUTED_VALUE"""),"2024-03-31 05.58.03")</f>
        <v>2024-03-31 05.58.03</v>
      </c>
      <c r="I437" s="18" t="str">
        <f>IFERROR(__xludf.DUMMYFUNCTION("""COMPUTED_VALUE"""),"2024-03-31 16.49.25")</f>
        <v>2024-03-31 16.49.25</v>
      </c>
      <c r="J437" s="36">
        <f>IFERROR(__xludf.DUMMYFUNCTION("""COMPUTED_VALUE"""),30427.0)</f>
        <v>30427</v>
      </c>
      <c r="K437" s="37" t="str">
        <f t="shared" si="1"/>
        <v>[203221604] RUSLAN KALLA</v>
      </c>
    </row>
    <row r="438">
      <c r="A438" s="17">
        <f>IFERROR(__xludf.DUMMYFUNCTION("""COMPUTED_VALUE"""),1.08201192E8)</f>
        <v>108201192</v>
      </c>
      <c r="B438" s="18" t="str">
        <f>IFERROR(__xludf.DUMMYFUNCTION("""COMPUTED_VALUE"""),"RUSLI HULOPI")</f>
        <v>RUSLI HULOPI</v>
      </c>
      <c r="C438" s="18">
        <f>IFERROR(__xludf.DUMMYFUNCTION("""COMPUTED_VALUE"""),47.0)</f>
        <v>47</v>
      </c>
      <c r="D438" s="35" t="str">
        <f>IFERROR(__xludf.DUMMYFUNCTION("""COMPUTED_VALUE"""),"Islam")</f>
        <v>Islam</v>
      </c>
      <c r="E438" s="18" t="str">
        <f>IFERROR(__xludf.DUMMYFUNCTION("""COMPUTED_VALUE"""),"CV. SENTOSA ABADI")</f>
        <v>CV. SENTOSA ABADI</v>
      </c>
      <c r="F438" s="18" t="str">
        <f>IFERROR(__xludf.DUMMYFUNCTION("""COMPUTED_VALUE"""),"DRIVER DT H700ZY")</f>
        <v>DRIVER DT H700ZY</v>
      </c>
      <c r="G438" s="18" t="str">
        <f>IFERROR(__xludf.DUMMYFUNCTION("""COMPUTED_VALUE"""),"KENDARAAN &amp; UNIT SUPPORT")</f>
        <v>KENDARAAN &amp; UNIT SUPPORT</v>
      </c>
      <c r="H438" s="18" t="str">
        <f>IFERROR(__xludf.DUMMYFUNCTION("""COMPUTED_VALUE"""),"2024-03-31 05.20.47")</f>
        <v>2024-03-31 05.20.47</v>
      </c>
      <c r="I438" s="18" t="str">
        <f>IFERROR(__xludf.DUMMYFUNCTION("""COMPUTED_VALUE"""),"2024-03-31 16.27.25")</f>
        <v>2024-03-31 16.27.25</v>
      </c>
      <c r="J438" s="36">
        <f>IFERROR(__xludf.DUMMYFUNCTION("""COMPUTED_VALUE"""),28183.0)</f>
        <v>28183</v>
      </c>
      <c r="K438" s="37" t="str">
        <f t="shared" si="1"/>
        <v>[108201192] RUSLI HULOPI</v>
      </c>
    </row>
    <row r="439">
      <c r="A439" s="17">
        <f>IFERROR(__xludf.DUMMYFUNCTION("""COMPUTED_VALUE"""),1.05241927E8)</f>
        <v>105241927</v>
      </c>
      <c r="B439" s="18" t="str">
        <f>IFERROR(__xludf.DUMMYFUNCTION("""COMPUTED_VALUE"""),"RUSNI TAHER")</f>
        <v>RUSNI TAHER</v>
      </c>
      <c r="C439" s="18">
        <f>IFERROR(__xludf.DUMMYFUNCTION("""COMPUTED_VALUE"""),0.0)</f>
        <v>0</v>
      </c>
      <c r="D439" s="35"/>
      <c r="E439" s="18" t="str">
        <f>IFERROR(__xludf.DUMMYFUNCTION("""COMPUTED_VALUE"""),"CV. SENTOSA ABADI")</f>
        <v>CV. SENTOSA ABADI</v>
      </c>
      <c r="F439" s="18" t="str">
        <f>IFERROR(__xludf.DUMMYFUNCTION("""COMPUTED_VALUE"""),"STOCKER")</f>
        <v>STOCKER</v>
      </c>
      <c r="G439" s="18" t="str">
        <f>IFERROR(__xludf.DUMMYFUNCTION("""COMPUTED_VALUE"""),"HRD &amp; GA")</f>
        <v>HRD &amp; GA</v>
      </c>
      <c r="H439" s="18"/>
      <c r="I439" s="18"/>
      <c r="J439" s="36"/>
      <c r="K439" s="37" t="str">
        <f t="shared" si="1"/>
        <v/>
      </c>
    </row>
    <row r="440">
      <c r="A440" s="17"/>
      <c r="B440" s="18" t="str">
        <f>IFERROR(__xludf.DUMMYFUNCTION("""COMPUTED_VALUE"""),"RUSNI TAHER")</f>
        <v>RUSNI TAHER</v>
      </c>
      <c r="C440" s="18">
        <f>IFERROR(__xludf.DUMMYFUNCTION("""COMPUTED_VALUE"""),0.0)</f>
        <v>0</v>
      </c>
      <c r="D440" s="35"/>
      <c r="E440" s="18" t="str">
        <f>IFERROR(__xludf.DUMMYFUNCTION("""COMPUTED_VALUE"""),"CV. SENTOSA ABADI")</f>
        <v>CV. SENTOSA ABADI</v>
      </c>
      <c r="F440" s="18" t="str">
        <f>IFERROR(__xludf.DUMMYFUNCTION("""COMPUTED_VALUE"""),"FALSE")</f>
        <v>FALSE</v>
      </c>
      <c r="G440" s="18" t="str">
        <f>IFERROR(__xludf.DUMMYFUNCTION("""COMPUTED_VALUE"""),"FALSE")</f>
        <v>FALSE</v>
      </c>
      <c r="H440" s="18"/>
      <c r="I440" s="18"/>
      <c r="J440" s="36"/>
      <c r="K440" s="37" t="str">
        <f t="shared" si="1"/>
        <v/>
      </c>
    </row>
    <row r="441">
      <c r="A441" s="17">
        <f>IFERROR(__xludf.DUMMYFUNCTION("""COMPUTED_VALUE"""),2.03241891E8)</f>
        <v>203241891</v>
      </c>
      <c r="B441" s="18" t="str">
        <f>IFERROR(__xludf.DUMMYFUNCTION("""COMPUTED_VALUE"""),"RUSTAM USULU")</f>
        <v>RUSTAM USULU</v>
      </c>
      <c r="C441" s="18">
        <f>IFERROR(__xludf.DUMMYFUNCTION("""COMPUTED_VALUE"""),46.0)</f>
        <v>46</v>
      </c>
      <c r="D441" s="35" t="str">
        <f>IFERROR(__xludf.DUMMYFUNCTION("""COMPUTED_VALUE"""),"Islam")</f>
        <v>Islam</v>
      </c>
      <c r="E441" s="18" t="str">
        <f>IFERROR(__xludf.DUMMYFUNCTION("""COMPUTED_VALUE"""),"CV. Adil Prima Perkasa")</f>
        <v>CV. Adil Prima Perkasa</v>
      </c>
      <c r="F441" s="18" t="str">
        <f>IFERROR(__xludf.DUMMYFUNCTION("""COMPUTED_VALUE"""),"HELPER TYRE")</f>
        <v>HELPER TYRE</v>
      </c>
      <c r="G441" s="18" t="str">
        <f>IFERROR(__xludf.DUMMYFUNCTION("""COMPUTED_VALUE"""),"WORKSHOP")</f>
        <v>WORKSHOP</v>
      </c>
      <c r="H441" s="18"/>
      <c r="I441" s="18"/>
      <c r="J441" s="36">
        <f>IFERROR(__xludf.DUMMYFUNCTION("""COMPUTED_VALUE"""),29707.0)</f>
        <v>29707</v>
      </c>
      <c r="K441" s="37" t="str">
        <f t="shared" si="1"/>
        <v/>
      </c>
    </row>
    <row r="442">
      <c r="A442" s="17">
        <f>IFERROR(__xludf.DUMMYFUNCTION("""COMPUTED_VALUE"""),1.01199002E8)</f>
        <v>101199002</v>
      </c>
      <c r="B442" s="18" t="str">
        <f>IFERROR(__xludf.DUMMYFUNCTION("""COMPUTED_VALUE"""),"Rieki Yulianto")</f>
        <v>Rieki Yulianto</v>
      </c>
      <c r="C442" s="18">
        <f>IFERROR(__xludf.DUMMYFUNCTION("""COMPUTED_VALUE"""),0.0)</f>
        <v>0</v>
      </c>
      <c r="D442" s="35"/>
      <c r="E442" s="18" t="str">
        <f>IFERROR(__xludf.DUMMYFUNCTION("""COMPUTED_VALUE"""),"CV. SENTOSA ABADI")</f>
        <v>CV. SENTOSA ABADI</v>
      </c>
      <c r="F442" s="18" t="str">
        <f>IFERROR(__xludf.DUMMYFUNCTION("""COMPUTED_VALUE"""),"FALSE")</f>
        <v>FALSE</v>
      </c>
      <c r="G442" s="18" t="str">
        <f>IFERROR(__xludf.DUMMYFUNCTION("""COMPUTED_VALUE"""),"FALSE")</f>
        <v>FALSE</v>
      </c>
      <c r="H442" s="18"/>
      <c r="I442" s="18"/>
      <c r="J442" s="36"/>
      <c r="K442" s="37" t="str">
        <f t="shared" si="1"/>
        <v/>
      </c>
    </row>
    <row r="443">
      <c r="A443" s="17">
        <f>IFERROR(__xludf.DUMMYFUNCTION("""COMPUTED_VALUE"""),1.04211369E8)</f>
        <v>104211369</v>
      </c>
      <c r="B443" s="18" t="str">
        <f>IFERROR(__xludf.DUMMYFUNCTION("""COMPUTED_VALUE"""),"SAID PETAA")</f>
        <v>SAID PETAA</v>
      </c>
      <c r="C443" s="18">
        <f>IFERROR(__xludf.DUMMYFUNCTION("""COMPUTED_VALUE"""),59.0)</f>
        <v>59</v>
      </c>
      <c r="D443" s="35" t="str">
        <f>IFERROR(__xludf.DUMMYFUNCTION("""COMPUTED_VALUE"""),"Kristen Protestan")</f>
        <v>Kristen Protestan</v>
      </c>
      <c r="E443" s="18" t="str">
        <f>IFERROR(__xludf.DUMMYFUNCTION("""COMPUTED_VALUE"""),"CV. SENTOSA ABADI")</f>
        <v>CV. SENTOSA ABADI</v>
      </c>
      <c r="F443" s="18" t="str">
        <f>IFERROR(__xludf.DUMMYFUNCTION("""COMPUTED_VALUE"""),"DRIVER DT H700ZY")</f>
        <v>DRIVER DT H700ZY</v>
      </c>
      <c r="G443" s="18" t="str">
        <f>IFERROR(__xludf.DUMMYFUNCTION("""COMPUTED_VALUE"""),"KENDARAAN &amp; UNIT SUPPORT")</f>
        <v>KENDARAAN &amp; UNIT SUPPORT</v>
      </c>
      <c r="H443" s="18" t="str">
        <f>IFERROR(__xludf.DUMMYFUNCTION("""COMPUTED_VALUE"""),"2024-03-31 17.01.20")</f>
        <v>2024-03-31 17.01.20</v>
      </c>
      <c r="I443" s="18" t="str">
        <f>IFERROR(__xludf.DUMMYFUNCTION("""COMPUTED_VALUE"""),"2024-03-31 17.01.20")</f>
        <v>2024-03-31 17.01.20</v>
      </c>
      <c r="J443" s="36"/>
      <c r="K443" s="37" t="str">
        <f t="shared" si="1"/>
        <v>[104211369] SAID PETAA</v>
      </c>
    </row>
    <row r="444">
      <c r="A444" s="17">
        <f>IFERROR(__xludf.DUMMYFUNCTION("""COMPUTED_VALUE"""),1.1220132E8)</f>
        <v>112201320</v>
      </c>
      <c r="B444" s="18" t="str">
        <f>IFERROR(__xludf.DUMMYFUNCTION("""COMPUTED_VALUE"""),"SALDI")</f>
        <v>SALDI</v>
      </c>
      <c r="C444" s="18">
        <f>IFERROR(__xludf.DUMMYFUNCTION("""COMPUTED_VALUE"""),43.0)</f>
        <v>43</v>
      </c>
      <c r="D444" s="35" t="str">
        <f>IFERROR(__xludf.DUMMYFUNCTION("""COMPUTED_VALUE"""),"Islam")</f>
        <v>Islam</v>
      </c>
      <c r="E444" s="18" t="str">
        <f>IFERROR(__xludf.DUMMYFUNCTION("""COMPUTED_VALUE"""),"CV. SENTOSA ABADI")</f>
        <v>CV. SENTOSA ABADI</v>
      </c>
      <c r="F444" s="18" t="str">
        <f>IFERROR(__xludf.DUMMYFUNCTION("""COMPUTED_VALUE"""),"DRIVER DT H700ZY")</f>
        <v>DRIVER DT H700ZY</v>
      </c>
      <c r="G444" s="18" t="str">
        <f>IFERROR(__xludf.DUMMYFUNCTION("""COMPUTED_VALUE"""),"KENDARAAN &amp; UNIT SUPPORT")</f>
        <v>KENDARAAN &amp; UNIT SUPPORT</v>
      </c>
      <c r="H444" s="18" t="str">
        <f>IFERROR(__xludf.DUMMYFUNCTION("""COMPUTED_VALUE"""),"2024-03-31 06.00.38")</f>
        <v>2024-03-31 06.00.38</v>
      </c>
      <c r="I444" s="18" t="str">
        <f>IFERROR(__xludf.DUMMYFUNCTION("""COMPUTED_VALUE"""),"2024-03-31 16.12.18")</f>
        <v>2024-03-31 16.12.18</v>
      </c>
      <c r="J444" s="36"/>
      <c r="K444" s="37" t="str">
        <f t="shared" si="1"/>
        <v>[112201320] SALDI</v>
      </c>
    </row>
    <row r="445">
      <c r="A445" s="17">
        <f>IFERROR(__xludf.DUMMYFUNCTION("""COMPUTED_VALUE"""),1.08191062E8)</f>
        <v>108191062</v>
      </c>
      <c r="B445" s="18" t="str">
        <f>IFERROR(__xludf.DUMMYFUNCTION("""COMPUTED_VALUE"""),"SAMUEL PAPA")</f>
        <v>SAMUEL PAPA</v>
      </c>
      <c r="C445" s="18">
        <f>IFERROR(__xludf.DUMMYFUNCTION("""COMPUTED_VALUE"""),22.0)</f>
        <v>22</v>
      </c>
      <c r="D445" s="35" t="str">
        <f>IFERROR(__xludf.DUMMYFUNCTION("""COMPUTED_VALUE"""),"Kristen Protestan")</f>
        <v>Kristen Protestan</v>
      </c>
      <c r="E445" s="18" t="str">
        <f>IFERROR(__xludf.DUMMYFUNCTION("""COMPUTED_VALUE"""),"CV. SENTOSA ABADI")</f>
        <v>CV. SENTOSA ABADI</v>
      </c>
      <c r="F445" s="18" t="str">
        <f>IFERROR(__xludf.DUMMYFUNCTION("""COMPUTED_VALUE"""),"HELPER MECHANIC DT OTR")</f>
        <v>HELPER MECHANIC DT OTR</v>
      </c>
      <c r="G445" s="18" t="str">
        <f>IFERROR(__xludf.DUMMYFUNCTION("""COMPUTED_VALUE"""),"WORKSHOP")</f>
        <v>WORKSHOP</v>
      </c>
      <c r="H445" s="18" t="str">
        <f>IFERROR(__xludf.DUMMYFUNCTION("""COMPUTED_VALUE"""),"2023-11-30 07.11.31")</f>
        <v>2023-11-30 07.11.31</v>
      </c>
      <c r="I445" s="18" t="str">
        <f>IFERROR(__xludf.DUMMYFUNCTION("""COMPUTED_VALUE"""),"2023-11-30 07.11.31")</f>
        <v>2023-11-30 07.11.31</v>
      </c>
      <c r="J445" s="36"/>
      <c r="K445" s="37" t="str">
        <f t="shared" si="1"/>
        <v>[108191062] SAMUEL PAPA</v>
      </c>
    </row>
    <row r="446">
      <c r="A446" s="17">
        <f>IFERROR(__xludf.DUMMYFUNCTION("""COMPUTED_VALUE"""),2.11221702E8)</f>
        <v>211221702</v>
      </c>
      <c r="B446" s="18" t="str">
        <f>IFERROR(__xludf.DUMMYFUNCTION("""COMPUTED_VALUE"""),"SANDI")</f>
        <v>SANDI</v>
      </c>
      <c r="C446" s="18">
        <f>IFERROR(__xludf.DUMMYFUNCTION("""COMPUTED_VALUE"""),29.0)</f>
        <v>29</v>
      </c>
      <c r="D446" s="35" t="str">
        <f>IFERROR(__xludf.DUMMYFUNCTION("""COMPUTED_VALUE"""),"Islam")</f>
        <v>Islam</v>
      </c>
      <c r="E446" s="18" t="str">
        <f>IFERROR(__xludf.DUMMYFUNCTION("""COMPUTED_VALUE"""),"CV. Adil Prima Perkasa")</f>
        <v>CV. Adil Prima Perkasa</v>
      </c>
      <c r="F446" s="18" t="str">
        <f>IFERROR(__xludf.DUMMYFUNCTION("""COMPUTED_VALUE"""),"DRIVER DT H700ZS")</f>
        <v>DRIVER DT H700ZS</v>
      </c>
      <c r="G446" s="18" t="str">
        <f>IFERROR(__xludf.DUMMYFUNCTION("""COMPUTED_VALUE"""),"KENDARAAN &amp; UNIT SUPPORT")</f>
        <v>KENDARAAN &amp; UNIT SUPPORT</v>
      </c>
      <c r="H446" s="18" t="str">
        <f>IFERROR(__xludf.DUMMYFUNCTION("""COMPUTED_VALUE"""),"2024-03-31 06.39.50")</f>
        <v>2024-03-31 06.39.50</v>
      </c>
      <c r="I446" s="18" t="str">
        <f>IFERROR(__xludf.DUMMYFUNCTION("""COMPUTED_VALUE"""),"2024-03-31 16.31.28")</f>
        <v>2024-03-31 16.31.28</v>
      </c>
      <c r="J446" s="36">
        <f>IFERROR(__xludf.DUMMYFUNCTION("""COMPUTED_VALUE"""),35129.0)</f>
        <v>35129</v>
      </c>
      <c r="K446" s="37" t="str">
        <f t="shared" si="1"/>
        <v>[211221702] SANDI</v>
      </c>
    </row>
    <row r="447">
      <c r="A447" s="17">
        <f>IFERROR(__xludf.DUMMYFUNCTION("""COMPUTED_VALUE"""),1.02190885E8)</f>
        <v>102190885</v>
      </c>
      <c r="B447" s="18" t="str">
        <f>IFERROR(__xludf.DUMMYFUNCTION("""COMPUTED_VALUE"""),"SANI")</f>
        <v>SANI</v>
      </c>
      <c r="C447" s="18">
        <f>IFERROR(__xludf.DUMMYFUNCTION("""COMPUTED_VALUE"""),53.0)</f>
        <v>53</v>
      </c>
      <c r="D447" s="35" t="str">
        <f>IFERROR(__xludf.DUMMYFUNCTION("""COMPUTED_VALUE"""),"Islam")</f>
        <v>Islam</v>
      </c>
      <c r="E447" s="18" t="str">
        <f>IFERROR(__xludf.DUMMYFUNCTION("""COMPUTED_VALUE"""),"CV. SENTOSA ABADI")</f>
        <v>CV. SENTOSA ABADI</v>
      </c>
      <c r="F447" s="18" t="str">
        <f>IFERROR(__xludf.DUMMYFUNCTION("""COMPUTED_VALUE"""),"STOCKER")</f>
        <v>STOCKER</v>
      </c>
      <c r="G447" s="18" t="str">
        <f>IFERROR(__xludf.DUMMYFUNCTION("""COMPUTED_VALUE"""),"HRD &amp; GA")</f>
        <v>HRD &amp; GA</v>
      </c>
      <c r="H447" s="18" t="str">
        <f>IFERROR(__xludf.DUMMYFUNCTION("""COMPUTED_VALUE"""),"2024-03-31 11.58.16")</f>
        <v>2024-03-31 11.58.16</v>
      </c>
      <c r="I447" s="18" t="str">
        <f>IFERROR(__xludf.DUMMYFUNCTION("""COMPUTED_VALUE"""),"2024-03-31 11.58.16")</f>
        <v>2024-03-31 11.58.16</v>
      </c>
      <c r="J447" s="36"/>
      <c r="K447" s="37" t="str">
        <f t="shared" si="1"/>
        <v>[102190885] SANI</v>
      </c>
    </row>
    <row r="448">
      <c r="A448" s="17">
        <f>IFERROR(__xludf.DUMMYFUNCTION("""COMPUTED_VALUE"""),1.06211437E8)</f>
        <v>106211437</v>
      </c>
      <c r="B448" s="18" t="str">
        <f>IFERROR(__xludf.DUMMYFUNCTION("""COMPUTED_VALUE"""),"SAPRIADI DG MALLI")</f>
        <v>SAPRIADI DG MALLI</v>
      </c>
      <c r="C448" s="18">
        <f>IFERROR(__xludf.DUMMYFUNCTION("""COMPUTED_VALUE"""),41.0)</f>
        <v>41</v>
      </c>
      <c r="D448" s="35" t="str">
        <f>IFERROR(__xludf.DUMMYFUNCTION("""COMPUTED_VALUE"""),"Islam")</f>
        <v>Islam</v>
      </c>
      <c r="E448" s="18" t="str">
        <f>IFERROR(__xludf.DUMMYFUNCTION("""COMPUTED_VALUE"""),"CV. SENTOSA ABADI")</f>
        <v>CV. SENTOSA ABADI</v>
      </c>
      <c r="F448" s="18" t="str">
        <f>IFERROR(__xludf.DUMMYFUNCTION("""COMPUTED_VALUE"""),"OPERATOR ADT")</f>
        <v>OPERATOR ADT</v>
      </c>
      <c r="G448" s="18" t="str">
        <f>IFERROR(__xludf.DUMMYFUNCTION("""COMPUTED_VALUE"""),"PRODUKSI")</f>
        <v>PRODUKSI</v>
      </c>
      <c r="H448" s="18" t="str">
        <f>IFERROR(__xludf.DUMMYFUNCTION("""COMPUTED_VALUE"""),"2023-11-26 05.50.18")</f>
        <v>2023-11-26 05.50.18</v>
      </c>
      <c r="I448" s="18" t="str">
        <f>IFERROR(__xludf.DUMMYFUNCTION("""COMPUTED_VALUE"""),"2023-11-26 05.50.18")</f>
        <v>2023-11-26 05.50.18</v>
      </c>
      <c r="J448" s="36"/>
      <c r="K448" s="37" t="str">
        <f t="shared" si="1"/>
        <v>[106211437] SAPRIADI DG MALLI</v>
      </c>
    </row>
    <row r="449">
      <c r="A449" s="17">
        <f>IFERROR(__xludf.DUMMYFUNCTION("""COMPUTED_VALUE"""),4.07230004E8)</f>
        <v>407230004</v>
      </c>
      <c r="B449" s="18" t="str">
        <f>IFERROR(__xludf.DUMMYFUNCTION("""COMPUTED_VALUE"""),"SARLIN")</f>
        <v>SARLIN</v>
      </c>
      <c r="C449" s="18">
        <f>IFERROR(__xludf.DUMMYFUNCTION("""COMPUTED_VALUE"""),0.0)</f>
        <v>0</v>
      </c>
      <c r="D449" s="35"/>
      <c r="E449" s="18" t="str">
        <f>IFERROR(__xludf.DUMMYFUNCTION("""COMPUTED_VALUE"""),"CV. SENTOSA ABADI")</f>
        <v>CV. SENTOSA ABADI</v>
      </c>
      <c r="F449" s="18" t="str">
        <f>IFERROR(__xludf.DUMMYFUNCTION("""COMPUTED_VALUE"""),"FOREMAN GRADE CONTROL")</f>
        <v>FOREMAN GRADE CONTROL</v>
      </c>
      <c r="G449" s="18" t="str">
        <f>IFERROR(__xludf.DUMMYFUNCTION("""COMPUTED_VALUE"""),"GRADE CONTROL")</f>
        <v>GRADE CONTROL</v>
      </c>
      <c r="H449" s="18" t="str">
        <f>IFERROR(__xludf.DUMMYFUNCTION("""COMPUTED_VALUE"""),"2023-11-30 06.26.10")</f>
        <v>2023-11-30 06.26.10</v>
      </c>
      <c r="I449" s="18" t="str">
        <f>IFERROR(__xludf.DUMMYFUNCTION("""COMPUTED_VALUE"""),"2023-11-30 16.54.06")</f>
        <v>2023-11-30 16.54.06</v>
      </c>
      <c r="J449" s="36"/>
      <c r="K449" s="37" t="str">
        <f t="shared" si="1"/>
        <v>[407230004] SARLIN</v>
      </c>
    </row>
    <row r="450">
      <c r="A450" s="17">
        <f>IFERROR(__xludf.DUMMYFUNCTION("""COMPUTED_VALUE"""),2.08231822E8)</f>
        <v>208231822</v>
      </c>
      <c r="B450" s="18" t="str">
        <f>IFERROR(__xludf.DUMMYFUNCTION("""COMPUTED_VALUE"""),"SARTI BARUNG")</f>
        <v>SARTI BARUNG</v>
      </c>
      <c r="C450" s="18">
        <f>IFERROR(__xludf.DUMMYFUNCTION("""COMPUTED_VALUE"""),27.0)</f>
        <v>27</v>
      </c>
      <c r="D450" s="35" t="str">
        <f>IFERROR(__xludf.DUMMYFUNCTION("""COMPUTED_VALUE"""),"Kristen Protestan")</f>
        <v>Kristen Protestan</v>
      </c>
      <c r="E450" s="18" t="str">
        <f>IFERROR(__xludf.DUMMYFUNCTION("""COMPUTED_VALUE"""),"CV. Adil Prima Perkasa")</f>
        <v>CV. Adil Prima Perkasa</v>
      </c>
      <c r="F450" s="18" t="str">
        <f>IFERROR(__xludf.DUMMYFUNCTION("""COMPUTED_VALUE"""),"STOCKER")</f>
        <v>STOCKER</v>
      </c>
      <c r="G450" s="18" t="str">
        <f>IFERROR(__xludf.DUMMYFUNCTION("""COMPUTED_VALUE"""),"HRD &amp; GA")</f>
        <v>HRD &amp; GA</v>
      </c>
      <c r="H450" s="18" t="str">
        <f>IFERROR(__xludf.DUMMYFUNCTION("""COMPUTED_VALUE"""),"2024-03-31 09.52.25")</f>
        <v>2024-03-31 09.52.25</v>
      </c>
      <c r="I450" s="18" t="str">
        <f>IFERROR(__xludf.DUMMYFUNCTION("""COMPUTED_VALUE"""),"2024-03-31 17.54.55")</f>
        <v>2024-03-31 17.54.55</v>
      </c>
      <c r="J450" s="36"/>
      <c r="K450" s="37" t="str">
        <f t="shared" si="1"/>
        <v>[208231822] SARTI BARUNG</v>
      </c>
    </row>
    <row r="451">
      <c r="A451" s="17">
        <f>IFERROR(__xludf.DUMMYFUNCTION("""COMPUTED_VALUE"""),2.11201268E8)</f>
        <v>211201268</v>
      </c>
      <c r="B451" s="18" t="str">
        <f>IFERROR(__xludf.DUMMYFUNCTION("""COMPUTED_VALUE"""),"SATRULLAH")</f>
        <v>SATRULLAH</v>
      </c>
      <c r="C451" s="18">
        <f>IFERROR(__xludf.DUMMYFUNCTION("""COMPUTED_VALUE"""),37.0)</f>
        <v>37</v>
      </c>
      <c r="D451" s="35" t="str">
        <f>IFERROR(__xludf.DUMMYFUNCTION("""COMPUTED_VALUE"""),"Kristen Protestan")</f>
        <v>Kristen Protestan</v>
      </c>
      <c r="E451" s="18" t="str">
        <f>IFERROR(__xludf.DUMMYFUNCTION("""COMPUTED_VALUE"""),"CV. Adil Prima Perkasa")</f>
        <v>CV. Adil Prima Perkasa</v>
      </c>
      <c r="F451" s="18" t="str">
        <f>IFERROR(__xludf.DUMMYFUNCTION("""COMPUTED_VALUE"""),"DRIVER DT H700ZY")</f>
        <v>DRIVER DT H700ZY</v>
      </c>
      <c r="G451" s="18" t="str">
        <f>IFERROR(__xludf.DUMMYFUNCTION("""COMPUTED_VALUE"""),"KENDARAAN &amp; UNIT SUPPORT")</f>
        <v>KENDARAAN &amp; UNIT SUPPORT</v>
      </c>
      <c r="H451" s="18" t="str">
        <f>IFERROR(__xludf.DUMMYFUNCTION("""COMPUTED_VALUE"""),"2024-03-31 05.12.39")</f>
        <v>2024-03-31 05.12.39</v>
      </c>
      <c r="I451" s="18" t="str">
        <f>IFERROR(__xludf.DUMMYFUNCTION("""COMPUTED_VALUE"""),"2024-03-31 17.02.53")</f>
        <v>2024-03-31 17.02.53</v>
      </c>
      <c r="J451" s="36">
        <f>IFERROR(__xludf.DUMMYFUNCTION("""COMPUTED_VALUE"""),33532.0)</f>
        <v>33532</v>
      </c>
      <c r="K451" s="37" t="str">
        <f t="shared" si="1"/>
        <v>[211201268] SATRULLAH</v>
      </c>
    </row>
    <row r="452">
      <c r="A452" s="17">
        <f>IFERROR(__xludf.DUMMYFUNCTION("""COMPUTED_VALUE"""),1.10231845E8)</f>
        <v>110231845</v>
      </c>
      <c r="B452" s="18" t="str">
        <f>IFERROR(__xludf.DUMMYFUNCTION("""COMPUTED_VALUE"""),"SELIN")</f>
        <v>SELIN</v>
      </c>
      <c r="C452" s="18">
        <f>IFERROR(__xludf.DUMMYFUNCTION("""COMPUTED_VALUE"""),0.0)</f>
        <v>0</v>
      </c>
      <c r="D452" s="35"/>
      <c r="E452" s="18" t="str">
        <f>IFERROR(__xludf.DUMMYFUNCTION("""COMPUTED_VALUE"""),"CV. SENTOSA ABADI")</f>
        <v>CV. SENTOSA ABADI</v>
      </c>
      <c r="F452" s="18" t="str">
        <f>IFERROR(__xludf.DUMMYFUNCTION("""COMPUTED_VALUE"""),"DRIVER DT H500")</f>
        <v>DRIVER DT H500</v>
      </c>
      <c r="G452" s="18" t="str">
        <f>IFERROR(__xludf.DUMMYFUNCTION("""COMPUTED_VALUE"""),"KENDARAAN &amp; UNIT SUPPORT")</f>
        <v>KENDARAAN &amp; UNIT SUPPORT</v>
      </c>
      <c r="H452" s="18" t="str">
        <f>IFERROR(__xludf.DUMMYFUNCTION("""COMPUTED_VALUE"""),"2024-03-31 18.09.33")</f>
        <v>2024-03-31 18.09.33</v>
      </c>
      <c r="I452" s="18" t="str">
        <f>IFERROR(__xludf.DUMMYFUNCTION("""COMPUTED_VALUE"""),"2024-03-31 18.09.33")</f>
        <v>2024-03-31 18.09.33</v>
      </c>
      <c r="J452" s="36"/>
      <c r="K452" s="37" t="str">
        <f t="shared" si="1"/>
        <v>[110231845] SELIN</v>
      </c>
    </row>
    <row r="453">
      <c r="A453" s="17"/>
      <c r="B453" s="18" t="str">
        <f>IFERROR(__xludf.DUMMYFUNCTION("""COMPUTED_VALUE"""),"SELLY HANDOKO")</f>
        <v>SELLY HANDOKO</v>
      </c>
      <c r="C453" s="18">
        <f>IFERROR(__xludf.DUMMYFUNCTION("""COMPUTED_VALUE"""),0.0)</f>
        <v>0</v>
      </c>
      <c r="D453" s="35"/>
      <c r="E453" s="18" t="str">
        <f>IFERROR(__xludf.DUMMYFUNCTION("""COMPUTED_VALUE"""),"CV. SENTOSA ABADI")</f>
        <v>CV. SENTOSA ABADI</v>
      </c>
      <c r="F453" s="18" t="str">
        <f>IFERROR(__xludf.DUMMYFUNCTION("""COMPUTED_VALUE"""),"FALSE")</f>
        <v>FALSE</v>
      </c>
      <c r="G453" s="18" t="str">
        <f>IFERROR(__xludf.DUMMYFUNCTION("""COMPUTED_VALUE"""),"FALSE")</f>
        <v>FALSE</v>
      </c>
      <c r="H453" s="18"/>
      <c r="I453" s="18"/>
      <c r="J453" s="36"/>
      <c r="K453" s="37" t="str">
        <f t="shared" si="1"/>
        <v/>
      </c>
    </row>
    <row r="454">
      <c r="A454" s="17">
        <f>IFERROR(__xludf.DUMMYFUNCTION("""COMPUTED_VALUE"""),1.09201224E8)</f>
        <v>109201224</v>
      </c>
      <c r="B454" s="18" t="str">
        <f>IFERROR(__xludf.DUMMYFUNCTION("""COMPUTED_VALUE"""),"SEPNIM. E. BALEBU")</f>
        <v>SEPNIM. E. BALEBU</v>
      </c>
      <c r="C454" s="18">
        <f>IFERROR(__xludf.DUMMYFUNCTION("""COMPUTED_VALUE"""),42.0)</f>
        <v>42</v>
      </c>
      <c r="D454" s="35" t="str">
        <f>IFERROR(__xludf.DUMMYFUNCTION("""COMPUTED_VALUE"""),"Kristen Protestan")</f>
        <v>Kristen Protestan</v>
      </c>
      <c r="E454" s="18" t="str">
        <f>IFERROR(__xludf.DUMMYFUNCTION("""COMPUTED_VALUE"""),"CV. SENTOSA ABADI")</f>
        <v>CV. SENTOSA ABADI</v>
      </c>
      <c r="F454" s="18" t="str">
        <f>IFERROR(__xludf.DUMMYFUNCTION("""COMPUTED_VALUE"""),"OPERATOR COMPACTOR")</f>
        <v>OPERATOR COMPACTOR</v>
      </c>
      <c r="G454" s="18" t="str">
        <f>IFERROR(__xludf.DUMMYFUNCTION("""COMPUTED_VALUE"""),"PRODUKSI")</f>
        <v>PRODUKSI</v>
      </c>
      <c r="H454" s="18" t="str">
        <f>IFERROR(__xludf.DUMMYFUNCTION("""COMPUTED_VALUE"""),"2023-11-20 06.41.04")</f>
        <v>2023-11-20 06.41.04</v>
      </c>
      <c r="I454" s="18" t="str">
        <f>IFERROR(__xludf.DUMMYFUNCTION("""COMPUTED_VALUE"""),"2023-11-20 20.50.02")</f>
        <v>2023-11-20 20.50.02</v>
      </c>
      <c r="J454" s="36">
        <f>IFERROR(__xludf.DUMMYFUNCTION("""COMPUTED_VALUE"""),31877.0)</f>
        <v>31877</v>
      </c>
      <c r="K454" s="37" t="str">
        <f t="shared" si="1"/>
        <v>[109201224] SEPNIM. E. BALEBU</v>
      </c>
    </row>
    <row r="455">
      <c r="A455" s="17">
        <f>IFERROR(__xludf.DUMMYFUNCTION("""COMPUTED_VALUE"""),2.06211441E8)</f>
        <v>206211441</v>
      </c>
      <c r="B455" s="18" t="str">
        <f>IFERROR(__xludf.DUMMYFUNCTION("""COMPUTED_VALUE"""),"SEPRI DAUD PAJULA")</f>
        <v>SEPRI DAUD PAJULA</v>
      </c>
      <c r="C455" s="18">
        <f>IFERROR(__xludf.DUMMYFUNCTION("""COMPUTED_VALUE"""),28.0)</f>
        <v>28</v>
      </c>
      <c r="D455" s="35" t="str">
        <f>IFERROR(__xludf.DUMMYFUNCTION("""COMPUTED_VALUE"""),"Kristen Protestan")</f>
        <v>Kristen Protestan</v>
      </c>
      <c r="E455" s="18" t="str">
        <f>IFERROR(__xludf.DUMMYFUNCTION("""COMPUTED_VALUE"""),"CV. Adil Prima Perkasa")</f>
        <v>CV. Adil Prima Perkasa</v>
      </c>
      <c r="F455" s="18" t="str">
        <f>IFERROR(__xludf.DUMMYFUNCTION("""COMPUTED_VALUE"""),"OPERATOR EXCAVATOR")</f>
        <v>OPERATOR EXCAVATOR</v>
      </c>
      <c r="G455" s="18" t="str">
        <f>IFERROR(__xludf.DUMMYFUNCTION("""COMPUTED_VALUE"""),"PRODUKSI")</f>
        <v>PRODUKSI</v>
      </c>
      <c r="H455" s="18" t="str">
        <f>IFERROR(__xludf.DUMMYFUNCTION("""COMPUTED_VALUE"""),"2023-11-29 04.59.43")</f>
        <v>2023-11-29 04.59.43</v>
      </c>
      <c r="I455" s="18" t="str">
        <f>IFERROR(__xludf.DUMMYFUNCTION("""COMPUTED_VALUE"""),"2023-11-29 04.59.43")</f>
        <v>2023-11-29 04.59.43</v>
      </c>
      <c r="J455" s="36"/>
      <c r="K455" s="37" t="str">
        <f t="shared" si="1"/>
        <v>[206211441] SEPRI DAUD PAJULA</v>
      </c>
    </row>
    <row r="456">
      <c r="A456" s="17">
        <f>IFERROR(__xludf.DUMMYFUNCTION("""COMPUTED_VALUE"""),2.03241904E8)</f>
        <v>203241904</v>
      </c>
      <c r="B456" s="18" t="str">
        <f>IFERROR(__xludf.DUMMYFUNCTION("""COMPUTED_VALUE"""),"SERVUS GIANTO")</f>
        <v>SERVUS GIANTO</v>
      </c>
      <c r="C456" s="18">
        <f>IFERROR(__xludf.DUMMYFUNCTION("""COMPUTED_VALUE"""),0.0)</f>
        <v>0</v>
      </c>
      <c r="D456" s="35"/>
      <c r="E456" s="18" t="str">
        <f>IFERROR(__xludf.DUMMYFUNCTION("""COMPUTED_VALUE"""),"CV. Adil Prima Perkasa")</f>
        <v>CV. Adil Prima Perkasa</v>
      </c>
      <c r="F456" s="18" t="str">
        <f>IFERROR(__xludf.DUMMYFUNCTION("""COMPUTED_VALUE"""),"CREW SURVEY")</f>
        <v>CREW SURVEY</v>
      </c>
      <c r="G456" s="18" t="str">
        <f>IFERROR(__xludf.DUMMYFUNCTION("""COMPUTED_VALUE"""),"MPE")</f>
        <v>MPE</v>
      </c>
      <c r="H456" s="18"/>
      <c r="I456" s="18"/>
      <c r="J456" s="36"/>
      <c r="K456" s="37" t="str">
        <f t="shared" si="1"/>
        <v/>
      </c>
    </row>
    <row r="457">
      <c r="A457" s="17">
        <f>IFERROR(__xludf.DUMMYFUNCTION("""COMPUTED_VALUE"""),1.0521139E8)</f>
        <v>105211390</v>
      </c>
      <c r="B457" s="18" t="str">
        <f>IFERROR(__xludf.DUMMYFUNCTION("""COMPUTED_VALUE"""),"SESARIUS JAHUS")</f>
        <v>SESARIUS JAHUS</v>
      </c>
      <c r="C457" s="18">
        <f>IFERROR(__xludf.DUMMYFUNCTION("""COMPUTED_VALUE"""),29.0)</f>
        <v>29</v>
      </c>
      <c r="D457" s="35" t="str">
        <f>IFERROR(__xludf.DUMMYFUNCTION("""COMPUTED_VALUE"""),"Kristen Khatolik")</f>
        <v>Kristen Khatolik</v>
      </c>
      <c r="E457" s="18" t="str">
        <f>IFERROR(__xludf.DUMMYFUNCTION("""COMPUTED_VALUE"""),"CV. SENTOSA ABADI")</f>
        <v>CV. SENTOSA ABADI</v>
      </c>
      <c r="F457" s="18" t="str">
        <f>IFERROR(__xludf.DUMMYFUNCTION("""COMPUTED_VALUE"""),"OPERATOR EXCAVATOR")</f>
        <v>OPERATOR EXCAVATOR</v>
      </c>
      <c r="G457" s="18" t="str">
        <f>IFERROR(__xludf.DUMMYFUNCTION("""COMPUTED_VALUE"""),"PRODUKSI")</f>
        <v>PRODUKSI</v>
      </c>
      <c r="H457" s="18" t="str">
        <f>IFERROR(__xludf.DUMMYFUNCTION("""COMPUTED_VALUE"""),"2023-11-03 20.00.54")</f>
        <v>2023-11-03 20.00.54</v>
      </c>
      <c r="I457" s="18" t="str">
        <f>IFERROR(__xludf.DUMMYFUNCTION("""COMPUTED_VALUE"""),"2023-11-03 20.00.54")</f>
        <v>2023-11-03 20.00.54</v>
      </c>
      <c r="J457" s="36"/>
      <c r="K457" s="37" t="str">
        <f t="shared" si="1"/>
        <v>[105211390] SESARIUS JAHUS</v>
      </c>
    </row>
    <row r="458">
      <c r="A458" s="17">
        <f>IFERROR(__xludf.DUMMYFUNCTION("""COMPUTED_VALUE"""),1.12180618E8)</f>
        <v>112180618</v>
      </c>
      <c r="B458" s="18" t="str">
        <f>IFERROR(__xludf.DUMMYFUNCTION("""COMPUTED_VALUE"""),"SEWARDI")</f>
        <v>SEWARDI</v>
      </c>
      <c r="C458" s="18">
        <f>IFERROR(__xludf.DUMMYFUNCTION("""COMPUTED_VALUE"""),53.0)</f>
        <v>53</v>
      </c>
      <c r="D458" s="35" t="str">
        <f>IFERROR(__xludf.DUMMYFUNCTION("""COMPUTED_VALUE"""),"Islam")</f>
        <v>Islam</v>
      </c>
      <c r="E458" s="18" t="str">
        <f>IFERROR(__xludf.DUMMYFUNCTION("""COMPUTED_VALUE"""),"CV. SENTOSA ABADI")</f>
        <v>CV. SENTOSA ABADI</v>
      </c>
      <c r="F458" s="18" t="str">
        <f>IFERROR(__xludf.DUMMYFUNCTION("""COMPUTED_VALUE"""),"OPERATOR ADT")</f>
        <v>OPERATOR ADT</v>
      </c>
      <c r="G458" s="18" t="str">
        <f>IFERROR(__xludf.DUMMYFUNCTION("""COMPUTED_VALUE"""),"PRODUKSI")</f>
        <v>PRODUKSI</v>
      </c>
      <c r="H458" s="18" t="str">
        <f>IFERROR(__xludf.DUMMYFUNCTION("""COMPUTED_VALUE"""),"2023-11-30 04.23.39")</f>
        <v>2023-11-30 04.23.39</v>
      </c>
      <c r="I458" s="18" t="str">
        <f>IFERROR(__xludf.DUMMYFUNCTION("""COMPUTED_VALUE"""),"2023-11-30 16.58.44")</f>
        <v>2023-11-30 16.58.44</v>
      </c>
      <c r="J458" s="36"/>
      <c r="K458" s="37" t="str">
        <f t="shared" si="1"/>
        <v>[112180618] SEWARDI</v>
      </c>
    </row>
    <row r="459">
      <c r="A459" s="17">
        <f>IFERROR(__xludf.DUMMYFUNCTION("""COMPUTED_VALUE"""),2.02231721E8)</f>
        <v>202231721</v>
      </c>
      <c r="B459" s="18" t="str">
        <f>IFERROR(__xludf.DUMMYFUNCTION("""COMPUTED_VALUE"""),"SIDANG")</f>
        <v>SIDANG</v>
      </c>
      <c r="C459" s="18">
        <f>IFERROR(__xludf.DUMMYFUNCTION("""COMPUTED_VALUE"""),25.0)</f>
        <v>25</v>
      </c>
      <c r="D459" s="35" t="str">
        <f>IFERROR(__xludf.DUMMYFUNCTION("""COMPUTED_VALUE"""),"Islam")</f>
        <v>Islam</v>
      </c>
      <c r="E459" s="18" t="str">
        <f>IFERROR(__xludf.DUMMYFUNCTION("""COMPUTED_VALUE"""),"CV. Adil Prima Perkasa")</f>
        <v>CV. Adil Prima Perkasa</v>
      </c>
      <c r="F459" s="18" t="str">
        <f>IFERROR(__xludf.DUMMYFUNCTION("""COMPUTED_VALUE"""),"DRIVER DT H700ZS")</f>
        <v>DRIVER DT H700ZS</v>
      </c>
      <c r="G459" s="18" t="str">
        <f>IFERROR(__xludf.DUMMYFUNCTION("""COMPUTED_VALUE"""),"KENDARAAN &amp; UNIT SUPPORT")</f>
        <v>KENDARAAN &amp; UNIT SUPPORT</v>
      </c>
      <c r="H459" s="18" t="str">
        <f>IFERROR(__xludf.DUMMYFUNCTION("""COMPUTED_VALUE"""),"2024-03-27 04.09.06")</f>
        <v>2024-03-27 04.09.06</v>
      </c>
      <c r="I459" s="18" t="str">
        <f>IFERROR(__xludf.DUMMYFUNCTION("""COMPUTED_VALUE"""),"2024-03-27 04.09.06")</f>
        <v>2024-03-27 04.09.06</v>
      </c>
      <c r="J459" s="36">
        <f>IFERROR(__xludf.DUMMYFUNCTION("""COMPUTED_VALUE"""),34167.0)</f>
        <v>34167</v>
      </c>
      <c r="K459" s="37" t="str">
        <f t="shared" si="1"/>
        <v>[202231721] SIDANG</v>
      </c>
    </row>
    <row r="460">
      <c r="A460" s="17">
        <f>IFERROR(__xludf.DUMMYFUNCTION("""COMPUTED_VALUE"""),2.07231798E8)</f>
        <v>207231798</v>
      </c>
      <c r="B460" s="18" t="str">
        <f>IFERROR(__xludf.DUMMYFUNCTION("""COMPUTED_VALUE"""),"SIMON")</f>
        <v>SIMON</v>
      </c>
      <c r="C460" s="18">
        <f>IFERROR(__xludf.DUMMYFUNCTION("""COMPUTED_VALUE"""),0.0)</f>
        <v>0</v>
      </c>
      <c r="D460" s="35"/>
      <c r="E460" s="18" t="str">
        <f>IFERROR(__xludf.DUMMYFUNCTION("""COMPUTED_VALUE"""),"CV. Adil Prima Perkasa")</f>
        <v>CV. Adil Prima Perkasa</v>
      </c>
      <c r="F460" s="18" t="str">
        <f>IFERROR(__xludf.DUMMYFUNCTION("""COMPUTED_VALUE"""),"HELPER MEKANIK ALAT BERAT")</f>
        <v>HELPER MEKANIK ALAT BERAT</v>
      </c>
      <c r="G460" s="18" t="str">
        <f>IFERROR(__xludf.DUMMYFUNCTION("""COMPUTED_VALUE"""),"WORKSHOP")</f>
        <v>WORKSHOP</v>
      </c>
      <c r="H460" s="18" t="str">
        <f>IFERROR(__xludf.DUMMYFUNCTION("""COMPUTED_VALUE"""),"2023-12-29 07.07.23")</f>
        <v>2023-12-29 07.07.23</v>
      </c>
      <c r="I460" s="18" t="str">
        <f>IFERROR(__xludf.DUMMYFUNCTION("""COMPUTED_VALUE"""),"2023-12-29 07.07.23")</f>
        <v>2023-12-29 07.07.23</v>
      </c>
      <c r="J460" s="36"/>
      <c r="K460" s="37" t="str">
        <f t="shared" si="1"/>
        <v>[207231798] SIMON</v>
      </c>
    </row>
    <row r="461">
      <c r="A461" s="17">
        <f>IFERROR(__xludf.DUMMYFUNCTION("""COMPUTED_VALUE"""),1.08120252E8)</f>
        <v>108120252</v>
      </c>
      <c r="B461" s="18" t="str">
        <f>IFERROR(__xludf.DUMMYFUNCTION("""COMPUTED_VALUE"""),"SINYO NAYOAN")</f>
        <v>SINYO NAYOAN</v>
      </c>
      <c r="C461" s="18">
        <f>IFERROR(__xludf.DUMMYFUNCTION("""COMPUTED_VALUE"""),54.0)</f>
        <v>54</v>
      </c>
      <c r="D461" s="35" t="str">
        <f>IFERROR(__xludf.DUMMYFUNCTION("""COMPUTED_VALUE"""),"Kristen Protestan")</f>
        <v>Kristen Protestan</v>
      </c>
      <c r="E461" s="18" t="str">
        <f>IFERROR(__xludf.DUMMYFUNCTION("""COMPUTED_VALUE"""),"CV. SENTOSA ABADI")</f>
        <v>CV. SENTOSA ABADI</v>
      </c>
      <c r="F461" s="18" t="str">
        <f>IFERROR(__xludf.DUMMYFUNCTION("""COMPUTED_VALUE"""),"DRIVER DT H500")</f>
        <v>DRIVER DT H500</v>
      </c>
      <c r="G461" s="18" t="str">
        <f>IFERROR(__xludf.DUMMYFUNCTION("""COMPUTED_VALUE"""),"KENDARAAN &amp; UNIT SUPPORT")</f>
        <v>KENDARAAN &amp; UNIT SUPPORT</v>
      </c>
      <c r="H461" s="18" t="str">
        <f>IFERROR(__xludf.DUMMYFUNCTION("""COMPUTED_VALUE"""),"2023-11-30 06.43.00")</f>
        <v>2023-11-30 06.43.00</v>
      </c>
      <c r="I461" s="18" t="str">
        <f>IFERROR(__xludf.DUMMYFUNCTION("""COMPUTED_VALUE"""),"2023-11-30 06.43.00")</f>
        <v>2023-11-30 06.43.00</v>
      </c>
      <c r="J461" s="36"/>
      <c r="K461" s="37" t="str">
        <f t="shared" si="1"/>
        <v>[108120252] SINYO NAYOAN</v>
      </c>
    </row>
    <row r="462">
      <c r="A462" s="17">
        <f>IFERROR(__xludf.DUMMYFUNCTION("""COMPUTED_VALUE"""),2.06211433E8)</f>
        <v>206211433</v>
      </c>
      <c r="B462" s="18" t="str">
        <f>IFERROR(__xludf.DUMMYFUNCTION("""COMPUTED_VALUE"""),"SIRAJUDDIN")</f>
        <v>SIRAJUDDIN</v>
      </c>
      <c r="C462" s="18">
        <f>IFERROR(__xludf.DUMMYFUNCTION("""COMPUTED_VALUE"""),49.0)</f>
        <v>49</v>
      </c>
      <c r="D462" s="35" t="str">
        <f>IFERROR(__xludf.DUMMYFUNCTION("""COMPUTED_VALUE"""),"Islam")</f>
        <v>Islam</v>
      </c>
      <c r="E462" s="18" t="str">
        <f>IFERROR(__xludf.DUMMYFUNCTION("""COMPUTED_VALUE"""),"CV. Adil Prima Perkasa")</f>
        <v>CV. Adil Prima Perkasa</v>
      </c>
      <c r="F462" s="18" t="str">
        <f>IFERROR(__xludf.DUMMYFUNCTION("""COMPUTED_VALUE"""),"OPERATOR BULLDOZER")</f>
        <v>OPERATOR BULLDOZER</v>
      </c>
      <c r="G462" s="18" t="str">
        <f>IFERROR(__xludf.DUMMYFUNCTION("""COMPUTED_VALUE"""),"PRODUKSI")</f>
        <v>PRODUKSI</v>
      </c>
      <c r="H462" s="18" t="str">
        <f>IFERROR(__xludf.DUMMYFUNCTION("""COMPUTED_VALUE"""),"2023-11-29 05.41.18")</f>
        <v>2023-11-29 05.41.18</v>
      </c>
      <c r="I462" s="18" t="str">
        <f>IFERROR(__xludf.DUMMYFUNCTION("""COMPUTED_VALUE"""),"2023-11-29 20.14.05")</f>
        <v>2023-11-29 20.14.05</v>
      </c>
      <c r="J462" s="36"/>
      <c r="K462" s="37" t="str">
        <f t="shared" si="1"/>
        <v>[206211433] SIRAJUDDIN</v>
      </c>
    </row>
    <row r="463">
      <c r="A463" s="17">
        <f>IFERROR(__xludf.DUMMYFUNCTION("""COMPUTED_VALUE"""),1.02180376E8)</f>
        <v>102180376</v>
      </c>
      <c r="B463" s="18" t="str">
        <f>IFERROR(__xludf.DUMMYFUNCTION("""COMPUTED_VALUE"""),"SLAMET PURWADI")</f>
        <v>SLAMET PURWADI</v>
      </c>
      <c r="C463" s="18">
        <f>IFERROR(__xludf.DUMMYFUNCTION("""COMPUTED_VALUE"""),30.0)</f>
        <v>30</v>
      </c>
      <c r="D463" s="35" t="str">
        <f>IFERROR(__xludf.DUMMYFUNCTION("""COMPUTED_VALUE"""),"Islam")</f>
        <v>Islam</v>
      </c>
      <c r="E463" s="18" t="str">
        <f>IFERROR(__xludf.DUMMYFUNCTION("""COMPUTED_VALUE"""),"CV. SENTOSA ABADI")</f>
        <v>CV. SENTOSA ABADI</v>
      </c>
      <c r="F463" s="18" t="str">
        <f>IFERROR(__xludf.DUMMYFUNCTION("""COMPUTED_VALUE"""),"OPERATOR ADT")</f>
        <v>OPERATOR ADT</v>
      </c>
      <c r="G463" s="18" t="str">
        <f>IFERROR(__xludf.DUMMYFUNCTION("""COMPUTED_VALUE"""),"PRODUKSI")</f>
        <v>PRODUKSI</v>
      </c>
      <c r="H463" s="18" t="str">
        <f>IFERROR(__xludf.DUMMYFUNCTION("""COMPUTED_VALUE"""),"2023-11-30 16.55.39")</f>
        <v>2023-11-30 16.55.39</v>
      </c>
      <c r="I463" s="18" t="str">
        <f>IFERROR(__xludf.DUMMYFUNCTION("""COMPUTED_VALUE"""),"2023-11-30 16.55.39")</f>
        <v>2023-11-30 16.55.39</v>
      </c>
      <c r="J463" s="36">
        <f>IFERROR(__xludf.DUMMYFUNCTION("""COMPUTED_VALUE"""),34798.0)</f>
        <v>34798</v>
      </c>
      <c r="K463" s="37" t="str">
        <f t="shared" si="1"/>
        <v>[102180376] SLAMET PURWADI</v>
      </c>
    </row>
    <row r="464">
      <c r="A464" s="17"/>
      <c r="B464" s="18" t="str">
        <f>IFERROR(__xludf.DUMMYFUNCTION("""COMPUTED_VALUE"""),"SOFIA A. RUSLI")</f>
        <v>SOFIA A. RUSLI</v>
      </c>
      <c r="C464" s="18">
        <f>IFERROR(__xludf.DUMMYFUNCTION("""COMPUTED_VALUE"""),27.0)</f>
        <v>27</v>
      </c>
      <c r="D464" s="35" t="str">
        <f>IFERROR(__xludf.DUMMYFUNCTION("""COMPUTED_VALUE"""),"Islam")</f>
        <v>Islam</v>
      </c>
      <c r="E464" s="18" t="str">
        <f>IFERROR(__xludf.DUMMYFUNCTION("""COMPUTED_VALUE"""),"CV. Monalisa")</f>
        <v>CV. Monalisa</v>
      </c>
      <c r="F464" s="18" t="str">
        <f>IFERROR(__xludf.DUMMYFUNCTION("""COMPUTED_VALUE"""),"ACCOUNTING")</f>
        <v>ACCOUNTING</v>
      </c>
      <c r="G464" s="18" t="str">
        <f>IFERROR(__xludf.DUMMYFUNCTION("""COMPUTED_VALUE"""),"FINANCE")</f>
        <v>FINANCE</v>
      </c>
      <c r="H464" s="18"/>
      <c r="I464" s="18"/>
      <c r="J464" s="36"/>
      <c r="K464" s="37" t="str">
        <f t="shared" si="1"/>
        <v/>
      </c>
    </row>
    <row r="465">
      <c r="A465" s="17">
        <f>IFERROR(__xludf.DUMMYFUNCTION("""COMPUTED_VALUE"""),1.11201302E8)</f>
        <v>111201302</v>
      </c>
      <c r="B465" s="18" t="str">
        <f>IFERROR(__xludf.DUMMYFUNCTION("""COMPUTED_VALUE"""),"SOFYAN MOTEE")</f>
        <v>SOFYAN MOTEE</v>
      </c>
      <c r="C465" s="18">
        <f>IFERROR(__xludf.DUMMYFUNCTION("""COMPUTED_VALUE"""),30.0)</f>
        <v>30</v>
      </c>
      <c r="D465" s="35" t="str">
        <f>IFERROR(__xludf.DUMMYFUNCTION("""COMPUTED_VALUE"""),"Kristen Protestan")</f>
        <v>Kristen Protestan</v>
      </c>
      <c r="E465" s="18" t="str">
        <f>IFERROR(__xludf.DUMMYFUNCTION("""COMPUTED_VALUE"""),"CV. SENTOSA ABADI")</f>
        <v>CV. SENTOSA ABADI</v>
      </c>
      <c r="F465" s="18" t="str">
        <f>IFERROR(__xludf.DUMMYFUNCTION("""COMPUTED_VALUE"""),"DRIVER FUEL MPE")</f>
        <v>DRIVER FUEL MPE</v>
      </c>
      <c r="G465" s="18" t="str">
        <f>IFERROR(__xludf.DUMMYFUNCTION("""COMPUTED_VALUE"""),"MPE")</f>
        <v>MPE</v>
      </c>
      <c r="H465" s="18" t="str">
        <f>IFERROR(__xludf.DUMMYFUNCTION("""COMPUTED_VALUE"""),"2024-03-31 04.40.36")</f>
        <v>2024-03-31 04.40.36</v>
      </c>
      <c r="I465" s="18" t="str">
        <f>IFERROR(__xludf.DUMMYFUNCTION("""COMPUTED_VALUE"""),"2024-03-31 18.22.37")</f>
        <v>2024-03-31 18.22.37</v>
      </c>
      <c r="J465" s="36"/>
      <c r="K465" s="37" t="str">
        <f t="shared" si="1"/>
        <v>[111201302] SOFYAN MOTEE</v>
      </c>
    </row>
    <row r="466">
      <c r="A466" s="17">
        <f>IFERROR(__xludf.DUMMYFUNCTION("""COMPUTED_VALUE"""),2.0719103E8)</f>
        <v>207191030</v>
      </c>
      <c r="B466" s="18" t="str">
        <f>IFERROR(__xludf.DUMMYFUNCTION("""COMPUTED_VALUE"""),"SOLEMAN LATONTJE TALAMOA")</f>
        <v>SOLEMAN LATONTJE TALAMOA</v>
      </c>
      <c r="C466" s="18">
        <f>IFERROR(__xludf.DUMMYFUNCTION("""COMPUTED_VALUE"""),73.0)</f>
        <v>73</v>
      </c>
      <c r="D466" s="35" t="str">
        <f>IFERROR(__xludf.DUMMYFUNCTION("""COMPUTED_VALUE"""),"Islam")</f>
        <v>Islam</v>
      </c>
      <c r="E466" s="18" t="str">
        <f>IFERROR(__xludf.DUMMYFUNCTION("""COMPUTED_VALUE"""),"CV. Adil Prima Perkasa")</f>
        <v>CV. Adil Prima Perkasa</v>
      </c>
      <c r="F466" s="18" t="str">
        <f>IFERROR(__xludf.DUMMYFUNCTION("""COMPUTED_VALUE"""),"DRIVER DT H500")</f>
        <v>DRIVER DT H500</v>
      </c>
      <c r="G466" s="18" t="str">
        <f>IFERROR(__xludf.DUMMYFUNCTION("""COMPUTED_VALUE"""),"KENDARAAN &amp; UNIT SUPPORT")</f>
        <v>KENDARAAN &amp; UNIT SUPPORT</v>
      </c>
      <c r="H466" s="18" t="str">
        <f>IFERROR(__xludf.DUMMYFUNCTION("""COMPUTED_VALUE"""),"2024-03-31 06.24.26")</f>
        <v>2024-03-31 06.24.26</v>
      </c>
      <c r="I466" s="18" t="str">
        <f>IFERROR(__xludf.DUMMYFUNCTION("""COMPUTED_VALUE"""),"2024-03-31 16.41.03")</f>
        <v>2024-03-31 16.41.03</v>
      </c>
      <c r="J466" s="36">
        <f>IFERROR(__xludf.DUMMYFUNCTION("""COMPUTED_VALUE"""),28040.0)</f>
        <v>28040</v>
      </c>
      <c r="K466" s="37" t="str">
        <f t="shared" si="1"/>
        <v>[207191030] SOLEMAN LATONTJE TALAMOA</v>
      </c>
    </row>
    <row r="467">
      <c r="A467" s="17">
        <f>IFERROR(__xludf.DUMMYFUNCTION("""COMPUTED_VALUE"""),1.03201149E8)</f>
        <v>103201149</v>
      </c>
      <c r="B467" s="18" t="str">
        <f>IFERROR(__xludf.DUMMYFUNCTION("""COMPUTED_VALUE"""),"SRIYANTI BUBEN")</f>
        <v>SRIYANTI BUBEN</v>
      </c>
      <c r="C467" s="18">
        <f>IFERROR(__xludf.DUMMYFUNCTION("""COMPUTED_VALUE"""),0.0)</f>
        <v>0</v>
      </c>
      <c r="D467" s="35"/>
      <c r="E467" s="18" t="str">
        <f>IFERROR(__xludf.DUMMYFUNCTION("""COMPUTED_VALUE"""),"CV. SENTOSA ABADI")</f>
        <v>CV. SENTOSA ABADI</v>
      </c>
      <c r="F467" s="18" t="str">
        <f>IFERROR(__xludf.DUMMYFUNCTION("""COMPUTED_VALUE"""),"ADMIN MAINTENANCE")</f>
        <v>ADMIN MAINTENANCE</v>
      </c>
      <c r="G467" s="18" t="str">
        <f>IFERROR(__xludf.DUMMYFUNCTION("""COMPUTED_VALUE"""),"WORKSHOP")</f>
        <v>WORKSHOP</v>
      </c>
      <c r="H467" s="18" t="str">
        <f>IFERROR(__xludf.DUMMYFUNCTION("""COMPUTED_VALUE"""),"2023-10-28 06.59.23")</f>
        <v>2023-10-28 06.59.23</v>
      </c>
      <c r="I467" s="18" t="str">
        <f>IFERROR(__xludf.DUMMYFUNCTION("""COMPUTED_VALUE"""),"2023-10-28 16.55.13")</f>
        <v>2023-10-28 16.55.13</v>
      </c>
      <c r="J467" s="36"/>
      <c r="K467" s="37" t="str">
        <f t="shared" si="1"/>
        <v>[103201149] SRIYANTI BUBEN</v>
      </c>
    </row>
    <row r="468">
      <c r="A468" s="17">
        <f>IFERROR(__xludf.DUMMYFUNCTION("""COMPUTED_VALUE"""),2.04231748E8)</f>
        <v>204231748</v>
      </c>
      <c r="B468" s="18" t="str">
        <f>IFERROR(__xludf.DUMMYFUNCTION("""COMPUTED_VALUE"""),"STANISLAUS MILUS")</f>
        <v>STANISLAUS MILUS</v>
      </c>
      <c r="C468" s="18">
        <f>IFERROR(__xludf.DUMMYFUNCTION("""COMPUTED_VALUE"""),23.0)</f>
        <v>23</v>
      </c>
      <c r="D468" s="35" t="str">
        <f>IFERROR(__xludf.DUMMYFUNCTION("""COMPUTED_VALUE"""),"Kristen Khatolik")</f>
        <v>Kristen Khatolik</v>
      </c>
      <c r="E468" s="18" t="str">
        <f>IFERROR(__xludf.DUMMYFUNCTION("""COMPUTED_VALUE"""),"CV. Adil Prima Perkasa")</f>
        <v>CV. Adil Prima Perkasa</v>
      </c>
      <c r="F468" s="18" t="str">
        <f>IFERROR(__xludf.DUMMYFUNCTION("""COMPUTED_VALUE"""),"HELPER FUEL")</f>
        <v>HELPER FUEL</v>
      </c>
      <c r="G468" s="18" t="str">
        <f>IFERROR(__xludf.DUMMYFUNCTION("""COMPUTED_VALUE"""),"MPE")</f>
        <v>MPE</v>
      </c>
      <c r="H468" s="18" t="str">
        <f>IFERROR(__xludf.DUMMYFUNCTION("""COMPUTED_VALUE"""),"2023-11-29 04.59.08")</f>
        <v>2023-11-29 04.59.08</v>
      </c>
      <c r="I468" s="18" t="str">
        <f>IFERROR(__xludf.DUMMYFUNCTION("""COMPUTED_VALUE"""),"2023-11-29 20.34.17")</f>
        <v>2023-11-29 20.34.17</v>
      </c>
      <c r="J468" s="36"/>
      <c r="K468" s="37" t="str">
        <f t="shared" si="1"/>
        <v>[204231748] STANISLAUS MILUS</v>
      </c>
    </row>
    <row r="469">
      <c r="A469" s="17">
        <f>IFERROR(__xludf.DUMMYFUNCTION("""COMPUTED_VALUE"""),2.07231799E8)</f>
        <v>207231799</v>
      </c>
      <c r="B469" s="18" t="str">
        <f>IFERROR(__xludf.DUMMYFUNCTION("""COMPUTED_VALUE"""),"STEEFALDY JUNIOR TAPPANG")</f>
        <v>STEEFALDY JUNIOR TAPPANG</v>
      </c>
      <c r="C469" s="18">
        <f>IFERROR(__xludf.DUMMYFUNCTION("""COMPUTED_VALUE"""),22.0)</f>
        <v>22</v>
      </c>
      <c r="D469" s="35" t="str">
        <f>IFERROR(__xludf.DUMMYFUNCTION("""COMPUTED_VALUE"""),"Kristen Protestan")</f>
        <v>Kristen Protestan</v>
      </c>
      <c r="E469" s="18" t="str">
        <f>IFERROR(__xludf.DUMMYFUNCTION("""COMPUTED_VALUE"""),"CV. Adil Prima Perkasa")</f>
        <v>CV. Adil Prima Perkasa</v>
      </c>
      <c r="F469" s="18" t="str">
        <f>IFERROR(__xludf.DUMMYFUNCTION("""COMPUTED_VALUE"""),"CREW SURVEY")</f>
        <v>CREW SURVEY</v>
      </c>
      <c r="G469" s="18" t="str">
        <f>IFERROR(__xludf.DUMMYFUNCTION("""COMPUTED_VALUE"""),"MPE")</f>
        <v>MPE</v>
      </c>
      <c r="H469" s="18" t="str">
        <f>IFERROR(__xludf.DUMMYFUNCTION("""COMPUTED_VALUE"""),"2023-12-23 05.49.53")</f>
        <v>2023-12-23 05.49.53</v>
      </c>
      <c r="I469" s="18" t="str">
        <f>IFERROR(__xludf.DUMMYFUNCTION("""COMPUTED_VALUE"""),"2023-12-23 05.49.53")</f>
        <v>2023-12-23 05.49.53</v>
      </c>
      <c r="J469" s="36"/>
      <c r="K469" s="37" t="str">
        <f t="shared" si="1"/>
        <v>[207231799] STEEFALDY JUNIOR TAPPANG</v>
      </c>
    </row>
    <row r="470">
      <c r="A470" s="17">
        <f>IFERROR(__xludf.DUMMYFUNCTION("""COMPUTED_VALUE"""),1.09221681E8)</f>
        <v>109221681</v>
      </c>
      <c r="B470" s="18" t="str">
        <f>IFERROR(__xludf.DUMMYFUNCTION("""COMPUTED_VALUE"""),"STEFANUS EKFRIS BURINTI")</f>
        <v>STEFANUS EKFRIS BURINTI</v>
      </c>
      <c r="C470" s="18">
        <f>IFERROR(__xludf.DUMMYFUNCTION("""COMPUTED_VALUE"""),24.0)</f>
        <v>24</v>
      </c>
      <c r="D470" s="35" t="str">
        <f>IFERROR(__xludf.DUMMYFUNCTION("""COMPUTED_VALUE"""),"Kristen Protestan")</f>
        <v>Kristen Protestan</v>
      </c>
      <c r="E470" s="18" t="str">
        <f>IFERROR(__xludf.DUMMYFUNCTION("""COMPUTED_VALUE"""),"CV. SENTOSA ABADI")</f>
        <v>CV. SENTOSA ABADI</v>
      </c>
      <c r="F470" s="18" t="str">
        <f>IFERROR(__xludf.DUMMYFUNCTION("""COMPUTED_VALUE"""),"BAGIAN UMUM")</f>
        <v>BAGIAN UMUM</v>
      </c>
      <c r="G470" s="18" t="str">
        <f>IFERROR(__xludf.DUMMYFUNCTION("""COMPUTED_VALUE"""),"HRD &amp; GA")</f>
        <v>HRD &amp; GA</v>
      </c>
      <c r="H470" s="18" t="str">
        <f>IFERROR(__xludf.DUMMYFUNCTION("""COMPUTED_VALUE"""),"2024-03-31 07.08.57")</f>
        <v>2024-03-31 07.08.57</v>
      </c>
      <c r="I470" s="18" t="str">
        <f>IFERROR(__xludf.DUMMYFUNCTION("""COMPUTED_VALUE"""),"2024-03-31 18.03.59")</f>
        <v>2024-03-31 18.03.59</v>
      </c>
      <c r="J470" s="36"/>
      <c r="K470" s="37" t="str">
        <f t="shared" si="1"/>
        <v>[109221681] STEFANUS EKFRIS BURINTI</v>
      </c>
    </row>
    <row r="471">
      <c r="A471" s="17">
        <f>IFERROR(__xludf.DUMMYFUNCTION("""COMPUTED_VALUE"""),2.0223173E8)</f>
        <v>202231730</v>
      </c>
      <c r="B471" s="18" t="str">
        <f>IFERROR(__xludf.DUMMYFUNCTION("""COMPUTED_VALUE"""),"STEFLI BOVEN")</f>
        <v>STEFLI BOVEN</v>
      </c>
      <c r="C471" s="18">
        <f>IFERROR(__xludf.DUMMYFUNCTION("""COMPUTED_VALUE"""),29.0)</f>
        <v>29</v>
      </c>
      <c r="D471" s="35" t="str">
        <f>IFERROR(__xludf.DUMMYFUNCTION("""COMPUTED_VALUE"""),"Kristen Protestan")</f>
        <v>Kristen Protestan</v>
      </c>
      <c r="E471" s="18" t="str">
        <f>IFERROR(__xludf.DUMMYFUNCTION("""COMPUTED_VALUE"""),"CV. Adil Prima Perkasa")</f>
        <v>CV. Adil Prima Perkasa</v>
      </c>
      <c r="F471" s="18" t="str">
        <f>IFERROR(__xludf.DUMMYFUNCTION("""COMPUTED_VALUE"""),"OPERATOR BULLDOZER")</f>
        <v>OPERATOR BULLDOZER</v>
      </c>
      <c r="G471" s="18" t="str">
        <f>IFERROR(__xludf.DUMMYFUNCTION("""COMPUTED_VALUE"""),"PRODUKSI")</f>
        <v>PRODUKSI</v>
      </c>
      <c r="H471" s="18" t="str">
        <f>IFERROR(__xludf.DUMMYFUNCTION("""COMPUTED_VALUE"""),"2023-11-29 19.59.28")</f>
        <v>2023-11-29 19.59.28</v>
      </c>
      <c r="I471" s="18" t="str">
        <f>IFERROR(__xludf.DUMMYFUNCTION("""COMPUTED_VALUE"""),"2023-11-29 19.59.28")</f>
        <v>2023-11-29 19.59.28</v>
      </c>
      <c r="J471" s="36"/>
      <c r="K471" s="37" t="str">
        <f t="shared" si="1"/>
        <v>[202231730] STEFLI BOVEN</v>
      </c>
    </row>
    <row r="472">
      <c r="A472" s="17">
        <f>IFERROR(__xludf.DUMMYFUNCTION("""COMPUTED_VALUE"""),4.008219003)</f>
        <v>4.008219003</v>
      </c>
      <c r="B472" s="18" t="str">
        <f>IFERROR(__xludf.DUMMYFUNCTION("""COMPUTED_VALUE"""),"STEPHANIE SHANIA HERLAMBANG")</f>
        <v>STEPHANIE SHANIA HERLAMBANG</v>
      </c>
      <c r="C472" s="18">
        <f>IFERROR(__xludf.DUMMYFUNCTION("""COMPUTED_VALUE"""),0.0)</f>
        <v>0</v>
      </c>
      <c r="D472" s="35"/>
      <c r="E472" s="18" t="str">
        <f>IFERROR(__xludf.DUMMYFUNCTION("""COMPUTED_VALUE"""),"CV. Adil Prima Perkasa")</f>
        <v>CV. Adil Prima Perkasa</v>
      </c>
      <c r="F472" s="18" t="str">
        <f>IFERROR(__xludf.DUMMYFUNCTION("""COMPUTED_VALUE"""),"ACCOUNTING")</f>
        <v>ACCOUNTING</v>
      </c>
      <c r="G472" s="18" t="str">
        <f>IFERROR(__xludf.DUMMYFUNCTION("""COMPUTED_VALUE"""),"FINANCE")</f>
        <v>FINANCE</v>
      </c>
      <c r="H472" s="18"/>
      <c r="I472" s="18"/>
      <c r="J472" s="36"/>
      <c r="K472" s="37" t="str">
        <f t="shared" si="1"/>
        <v/>
      </c>
    </row>
    <row r="473">
      <c r="A473" s="17">
        <f>IFERROR(__xludf.DUMMYFUNCTION("""COMPUTED_VALUE"""),1.06190909E8)</f>
        <v>106190909</v>
      </c>
      <c r="B473" s="18" t="str">
        <f>IFERROR(__xludf.DUMMYFUNCTION("""COMPUTED_VALUE"""),"STEVANUS RAMEGAU")</f>
        <v>STEVANUS RAMEGAU</v>
      </c>
      <c r="C473" s="18">
        <f>IFERROR(__xludf.DUMMYFUNCTION("""COMPUTED_VALUE"""),0.0)</f>
        <v>0</v>
      </c>
      <c r="D473" s="35"/>
      <c r="E473" s="18" t="str">
        <f>IFERROR(__xludf.DUMMYFUNCTION("""COMPUTED_VALUE"""),"CV. SENTOSA ABADI")</f>
        <v>CV. SENTOSA ABADI</v>
      </c>
      <c r="F473" s="18" t="str">
        <f>IFERROR(__xludf.DUMMYFUNCTION("""COMPUTED_VALUE"""),"DRIVER DT H700ZY")</f>
        <v>DRIVER DT H700ZY</v>
      </c>
      <c r="G473" s="18" t="str">
        <f>IFERROR(__xludf.DUMMYFUNCTION("""COMPUTED_VALUE"""),"KENDARAAN &amp; UNIT SUPPORT")</f>
        <v>KENDARAAN &amp; UNIT SUPPORT</v>
      </c>
      <c r="H473" s="18" t="str">
        <f>IFERROR(__xludf.DUMMYFUNCTION("""COMPUTED_VALUE"""),"2024-03-31 05.55.23")</f>
        <v>2024-03-31 05.55.23</v>
      </c>
      <c r="I473" s="18" t="str">
        <f>IFERROR(__xludf.DUMMYFUNCTION("""COMPUTED_VALUE"""),"2024-03-31 20.30.48")</f>
        <v>2024-03-31 20.30.48</v>
      </c>
      <c r="J473" s="36"/>
      <c r="K473" s="37" t="str">
        <f t="shared" si="1"/>
        <v>[106190909] STEVANUS RAMEGAU</v>
      </c>
    </row>
    <row r="474">
      <c r="A474" s="17">
        <f>IFERROR(__xludf.DUMMYFUNCTION("""COMPUTED_VALUE"""),1.08211466E8)</f>
        <v>108211466</v>
      </c>
      <c r="B474" s="18" t="str">
        <f>IFERROR(__xludf.DUMMYFUNCTION("""COMPUTED_VALUE"""),"SUAIB MUNANDAR")</f>
        <v>SUAIB MUNANDAR</v>
      </c>
      <c r="C474" s="18">
        <f>IFERROR(__xludf.DUMMYFUNCTION("""COMPUTED_VALUE"""),1.0)</f>
        <v>1</v>
      </c>
      <c r="D474" s="35" t="str">
        <f>IFERROR(__xludf.DUMMYFUNCTION("""COMPUTED_VALUE"""),"Islam")</f>
        <v>Islam</v>
      </c>
      <c r="E474" s="18" t="str">
        <f>IFERROR(__xludf.DUMMYFUNCTION("""COMPUTED_VALUE"""),"CV. SENTOSA ABADI")</f>
        <v>CV. SENTOSA ABADI</v>
      </c>
      <c r="F474" s="18" t="str">
        <f>IFERROR(__xludf.DUMMYFUNCTION("""COMPUTED_VALUE"""),"HELPER TYRE")</f>
        <v>HELPER TYRE</v>
      </c>
      <c r="G474" s="18" t="str">
        <f>IFERROR(__xludf.DUMMYFUNCTION("""COMPUTED_VALUE"""),"WORKSHOP")</f>
        <v>WORKSHOP</v>
      </c>
      <c r="H474" s="18" t="str">
        <f>IFERROR(__xludf.DUMMYFUNCTION("""COMPUTED_VALUE"""),"2023-11-29 06.45.07")</f>
        <v>2023-11-29 06.45.07</v>
      </c>
      <c r="I474" s="18" t="str">
        <f>IFERROR(__xludf.DUMMYFUNCTION("""COMPUTED_VALUE"""),"2023-11-29 06.45.07")</f>
        <v>2023-11-29 06.45.07</v>
      </c>
      <c r="J474" s="36"/>
      <c r="K474" s="37" t="str">
        <f t="shared" si="1"/>
        <v>[108211466] SUAIB MUNANDAR</v>
      </c>
    </row>
    <row r="475">
      <c r="A475" s="17">
        <f>IFERROR(__xludf.DUMMYFUNCTION("""COMPUTED_VALUE"""),1.04211379E8)</f>
        <v>104211379</v>
      </c>
      <c r="B475" s="18" t="str">
        <f>IFERROR(__xludf.DUMMYFUNCTION("""COMPUTED_VALUE"""),"SUBRI KURNIAWAN")</f>
        <v>SUBRI KURNIAWAN</v>
      </c>
      <c r="C475" s="18">
        <f>IFERROR(__xludf.DUMMYFUNCTION("""COMPUTED_VALUE"""),24.0)</f>
        <v>24</v>
      </c>
      <c r="D475" s="35" t="str">
        <f>IFERROR(__xludf.DUMMYFUNCTION("""COMPUTED_VALUE"""),"Kristen Protestan")</f>
        <v>Kristen Protestan</v>
      </c>
      <c r="E475" s="18" t="str">
        <f>IFERROR(__xludf.DUMMYFUNCTION("""COMPUTED_VALUE"""),"CV. SENTOSA ABADI")</f>
        <v>CV. SENTOSA ABADI</v>
      </c>
      <c r="F475" s="18" t="str">
        <f>IFERROR(__xludf.DUMMYFUNCTION("""COMPUTED_VALUE"""),"DRIVER DT H700ZY")</f>
        <v>DRIVER DT H700ZY</v>
      </c>
      <c r="G475" s="18" t="str">
        <f>IFERROR(__xludf.DUMMYFUNCTION("""COMPUTED_VALUE"""),"KENDARAAN &amp; UNIT SUPPORT")</f>
        <v>KENDARAAN &amp; UNIT SUPPORT</v>
      </c>
      <c r="H475" s="18" t="str">
        <f>IFERROR(__xludf.DUMMYFUNCTION("""COMPUTED_VALUE"""),"2023-11-29 06.38.30")</f>
        <v>2023-11-29 06.38.30</v>
      </c>
      <c r="I475" s="18" t="str">
        <f>IFERROR(__xludf.DUMMYFUNCTION("""COMPUTED_VALUE"""),"2023-11-29 06.38.30")</f>
        <v>2023-11-29 06.38.30</v>
      </c>
      <c r="J475" s="36"/>
      <c r="K475" s="37" t="str">
        <f t="shared" si="1"/>
        <v>[104211379] SUBRI KURNIAWAN</v>
      </c>
    </row>
    <row r="476">
      <c r="A476" s="17">
        <f>IFERROR(__xludf.DUMMYFUNCTION("""COMPUTED_VALUE"""),1.08201191E8)</f>
        <v>108201191</v>
      </c>
      <c r="B476" s="18" t="str">
        <f>IFERROR(__xludf.DUMMYFUNCTION("""COMPUTED_VALUE"""),"SUFIAN")</f>
        <v>SUFIAN</v>
      </c>
      <c r="C476" s="18">
        <f>IFERROR(__xludf.DUMMYFUNCTION("""COMPUTED_VALUE"""),41.0)</f>
        <v>41</v>
      </c>
      <c r="D476" s="35" t="str">
        <f>IFERROR(__xludf.DUMMYFUNCTION("""COMPUTED_VALUE"""),"Islam")</f>
        <v>Islam</v>
      </c>
      <c r="E476" s="18" t="str">
        <f>IFERROR(__xludf.DUMMYFUNCTION("""COMPUTED_VALUE"""),"CV. SENTOSA ABADI")</f>
        <v>CV. SENTOSA ABADI</v>
      </c>
      <c r="F476" s="18" t="str">
        <f>IFERROR(__xludf.DUMMYFUNCTION("""COMPUTED_VALUE"""),"OPERATOR EXCAVATOR")</f>
        <v>OPERATOR EXCAVATOR</v>
      </c>
      <c r="G476" s="18" t="str">
        <f>IFERROR(__xludf.DUMMYFUNCTION("""COMPUTED_VALUE"""),"PRODUKSI")</f>
        <v>PRODUKSI</v>
      </c>
      <c r="H476" s="18" t="str">
        <f>IFERROR(__xludf.DUMMYFUNCTION("""COMPUTED_VALUE"""),"2023-11-26 05.41.22")</f>
        <v>2023-11-26 05.41.22</v>
      </c>
      <c r="I476" s="18" t="str">
        <f>IFERROR(__xludf.DUMMYFUNCTION("""COMPUTED_VALUE"""),"2023-11-26 05.41.22")</f>
        <v>2023-11-26 05.41.22</v>
      </c>
      <c r="J476" s="36">
        <f>IFERROR(__xludf.DUMMYFUNCTION("""COMPUTED_VALUE"""),28960.0)</f>
        <v>28960</v>
      </c>
      <c r="K476" s="37" t="str">
        <f t="shared" si="1"/>
        <v>[108201191] SUFIAN</v>
      </c>
    </row>
    <row r="477">
      <c r="A477" s="17">
        <f>IFERROR(__xludf.DUMMYFUNCTION("""COMPUTED_VALUE"""),1.02190764E8)</f>
        <v>102190764</v>
      </c>
      <c r="B477" s="18" t="str">
        <f>IFERROR(__xludf.DUMMYFUNCTION("""COMPUTED_VALUE"""),"SULAEMAN")</f>
        <v>SULAEMAN</v>
      </c>
      <c r="C477" s="18">
        <f>IFERROR(__xludf.DUMMYFUNCTION("""COMPUTED_VALUE"""),33.0)</f>
        <v>33</v>
      </c>
      <c r="D477" s="35" t="str">
        <f>IFERROR(__xludf.DUMMYFUNCTION("""COMPUTED_VALUE"""),"Islam")</f>
        <v>Islam</v>
      </c>
      <c r="E477" s="18" t="str">
        <f>IFERROR(__xludf.DUMMYFUNCTION("""COMPUTED_VALUE"""),"CV. SENTOSA ABADI")</f>
        <v>CV. SENTOSA ABADI</v>
      </c>
      <c r="F477" s="18" t="str">
        <f>IFERROR(__xludf.DUMMYFUNCTION("""COMPUTED_VALUE"""),"SECURITY")</f>
        <v>SECURITY</v>
      </c>
      <c r="G477" s="18" t="str">
        <f>IFERROR(__xludf.DUMMYFUNCTION("""COMPUTED_VALUE"""),"HRD &amp; GA")</f>
        <v>HRD &amp; GA</v>
      </c>
      <c r="H477" s="18" t="str">
        <f>IFERROR(__xludf.DUMMYFUNCTION("""COMPUTED_VALUE"""),"2024-03-31 06.58.20")</f>
        <v>2024-03-31 06.58.20</v>
      </c>
      <c r="I477" s="18" t="str">
        <f>IFERROR(__xludf.DUMMYFUNCTION("""COMPUTED_VALUE"""),"2024-03-31 15.03.35")</f>
        <v>2024-03-31 15.03.35</v>
      </c>
      <c r="J477" s="36"/>
      <c r="K477" s="37" t="str">
        <f t="shared" si="1"/>
        <v>[102190764] SULAEMAN</v>
      </c>
    </row>
    <row r="478">
      <c r="A478" s="17">
        <f>IFERROR(__xludf.DUMMYFUNCTION("""COMPUTED_VALUE"""),2.04150699E8)</f>
        <v>204150699</v>
      </c>
      <c r="B478" s="18" t="str">
        <f>IFERROR(__xludf.DUMMYFUNCTION("""COMPUTED_VALUE"""),"SULTAN")</f>
        <v>SULTAN</v>
      </c>
      <c r="C478" s="18">
        <f>IFERROR(__xludf.DUMMYFUNCTION("""COMPUTED_VALUE"""),63.0)</f>
        <v>63</v>
      </c>
      <c r="D478" s="35" t="str">
        <f>IFERROR(__xludf.DUMMYFUNCTION("""COMPUTED_VALUE"""),"Islam")</f>
        <v>Islam</v>
      </c>
      <c r="E478" s="18" t="str">
        <f>IFERROR(__xludf.DUMMYFUNCTION("""COMPUTED_VALUE"""),"CV. Adil Prima Perkasa")</f>
        <v>CV. Adil Prima Perkasa</v>
      </c>
      <c r="F478" s="18" t="str">
        <f>IFERROR(__xludf.DUMMYFUNCTION("""COMPUTED_VALUE"""),"DRIVER FUEL MPE")</f>
        <v>DRIVER FUEL MPE</v>
      </c>
      <c r="G478" s="18" t="str">
        <f>IFERROR(__xludf.DUMMYFUNCTION("""COMPUTED_VALUE"""),"MPE")</f>
        <v>MPE</v>
      </c>
      <c r="H478" s="18" t="str">
        <f>IFERROR(__xludf.DUMMYFUNCTION("""COMPUTED_VALUE"""),"2023-11-30 04.42.06")</f>
        <v>2023-11-30 04.42.06</v>
      </c>
      <c r="I478" s="18" t="str">
        <f>IFERROR(__xludf.DUMMYFUNCTION("""COMPUTED_VALUE"""),"2023-11-30 19.18.19")</f>
        <v>2023-11-30 19.18.19</v>
      </c>
      <c r="J478" s="36">
        <f>IFERROR(__xludf.DUMMYFUNCTION("""COMPUTED_VALUE"""),26015.0)</f>
        <v>26015</v>
      </c>
      <c r="K478" s="37" t="str">
        <f t="shared" si="1"/>
        <v>[204150699] SULTAN</v>
      </c>
    </row>
    <row r="479">
      <c r="A479" s="17">
        <f>IFERROR(__xludf.DUMMYFUNCTION("""COMPUTED_VALUE"""),2.01241875E8)</f>
        <v>201241875</v>
      </c>
      <c r="B479" s="18" t="str">
        <f>IFERROR(__xludf.DUMMYFUNCTION("""COMPUTED_VALUE"""),"SUPARDI")</f>
        <v>SUPARDI</v>
      </c>
      <c r="C479" s="18">
        <f>IFERROR(__xludf.DUMMYFUNCTION("""COMPUTED_VALUE"""),22.0)</f>
        <v>22</v>
      </c>
      <c r="D479" s="35" t="str">
        <f>IFERROR(__xludf.DUMMYFUNCTION("""COMPUTED_VALUE"""),"Islam")</f>
        <v>Islam</v>
      </c>
      <c r="E479" s="18" t="str">
        <f>IFERROR(__xludf.DUMMYFUNCTION("""COMPUTED_VALUE"""),"CV. Adil Prima Perkasa")</f>
        <v>CV. Adil Prima Perkasa</v>
      </c>
      <c r="F479" s="18" t="str">
        <f>IFERROR(__xludf.DUMMYFUNCTION("""COMPUTED_VALUE"""),"SECURITY")</f>
        <v>SECURITY</v>
      </c>
      <c r="G479" s="18" t="str">
        <f>IFERROR(__xludf.DUMMYFUNCTION("""COMPUTED_VALUE"""),"HRD &amp; GA")</f>
        <v>HRD &amp; GA</v>
      </c>
      <c r="H479" s="18" t="str">
        <f>IFERROR(__xludf.DUMMYFUNCTION("""COMPUTED_VALUE"""),"2024-03-31 08.54.58")</f>
        <v>2024-03-31 08.54.58</v>
      </c>
      <c r="I479" s="18" t="str">
        <f>IFERROR(__xludf.DUMMYFUNCTION("""COMPUTED_VALUE"""),"2024-03-31 21.56.04")</f>
        <v>2024-03-31 21.56.04</v>
      </c>
      <c r="J479" s="36"/>
      <c r="K479" s="37" t="str">
        <f t="shared" si="1"/>
        <v>[201241875] SUPARDI</v>
      </c>
    </row>
    <row r="480">
      <c r="A480" s="17">
        <f>IFERROR(__xludf.DUMMYFUNCTION("""COMPUTED_VALUE"""),2.08231827E8)</f>
        <v>208231827</v>
      </c>
      <c r="B480" s="18" t="str">
        <f>IFERROR(__xludf.DUMMYFUNCTION("""COMPUTED_VALUE"""),"SUPARDIE")</f>
        <v>SUPARDIE</v>
      </c>
      <c r="C480" s="18">
        <f>IFERROR(__xludf.DUMMYFUNCTION("""COMPUTED_VALUE"""),33.0)</f>
        <v>33</v>
      </c>
      <c r="D480" s="35" t="str">
        <f>IFERROR(__xludf.DUMMYFUNCTION("""COMPUTED_VALUE"""),"Islam")</f>
        <v>Islam</v>
      </c>
      <c r="E480" s="18" t="str">
        <f>IFERROR(__xludf.DUMMYFUNCTION("""COMPUTED_VALUE"""),"CV. Adil Prima Perkasa")</f>
        <v>CV. Adil Prima Perkasa</v>
      </c>
      <c r="F480" s="18" t="str">
        <f>IFERROR(__xludf.DUMMYFUNCTION("""COMPUTED_VALUE"""),"OPERATOR EXCAVATOR")</f>
        <v>OPERATOR EXCAVATOR</v>
      </c>
      <c r="G480" s="18" t="str">
        <f>IFERROR(__xludf.DUMMYFUNCTION("""COMPUTED_VALUE"""),"PRODUKSI")</f>
        <v>PRODUKSI</v>
      </c>
      <c r="H480" s="18" t="str">
        <f>IFERROR(__xludf.DUMMYFUNCTION("""COMPUTED_VALUE"""),"2023-11-30 08.36.30")</f>
        <v>2023-11-30 08.36.30</v>
      </c>
      <c r="I480" s="18" t="str">
        <f>IFERROR(__xludf.DUMMYFUNCTION("""COMPUTED_VALUE"""),"2023-11-30 08.36.30")</f>
        <v>2023-11-30 08.36.30</v>
      </c>
      <c r="J480" s="36"/>
      <c r="K480" s="37" t="str">
        <f t="shared" si="1"/>
        <v>[208231827] SUPARDIE</v>
      </c>
    </row>
    <row r="481">
      <c r="A481" s="17">
        <f>IFERROR(__xludf.DUMMYFUNCTION("""COMPUTED_VALUE"""),2.12211557E8)</f>
        <v>212211557</v>
      </c>
      <c r="B481" s="18" t="str">
        <f>IFERROR(__xludf.DUMMYFUNCTION("""COMPUTED_VALUE"""),"SUPRIONO AMAL")</f>
        <v>SUPRIONO AMAL</v>
      </c>
      <c r="C481" s="18">
        <f>IFERROR(__xludf.DUMMYFUNCTION("""COMPUTED_VALUE"""),46.0)</f>
        <v>46</v>
      </c>
      <c r="D481" s="35" t="str">
        <f>IFERROR(__xludf.DUMMYFUNCTION("""COMPUTED_VALUE"""),"Islam")</f>
        <v>Islam</v>
      </c>
      <c r="E481" s="18" t="str">
        <f>IFERROR(__xludf.DUMMYFUNCTION("""COMPUTED_VALUE"""),"CV. Adil Prima Perkasa")</f>
        <v>CV. Adil Prima Perkasa</v>
      </c>
      <c r="F481" s="18" t="str">
        <f>IFERROR(__xludf.DUMMYFUNCTION("""COMPUTED_VALUE"""),"OPERATOR BULLDOZER")</f>
        <v>OPERATOR BULLDOZER</v>
      </c>
      <c r="G481" s="18" t="str">
        <f>IFERROR(__xludf.DUMMYFUNCTION("""COMPUTED_VALUE"""),"PRODUKSI")</f>
        <v>PRODUKSI</v>
      </c>
      <c r="H481" s="18" t="str">
        <f>IFERROR(__xludf.DUMMYFUNCTION("""COMPUTED_VALUE"""),"2023-11-30 05.26.18")</f>
        <v>2023-11-30 05.26.18</v>
      </c>
      <c r="I481" s="18" t="str">
        <f>IFERROR(__xludf.DUMMYFUNCTION("""COMPUTED_VALUE"""),"2023-11-30 05.26.18")</f>
        <v>2023-11-30 05.26.18</v>
      </c>
      <c r="J481" s="36"/>
      <c r="K481" s="37" t="str">
        <f t="shared" si="1"/>
        <v>[212211557] SUPRIONO AMAL</v>
      </c>
    </row>
    <row r="482">
      <c r="A482" s="17">
        <f>IFERROR(__xludf.DUMMYFUNCTION("""COMPUTED_VALUE"""),2.08201175E8)</f>
        <v>208201175</v>
      </c>
      <c r="B482" s="18" t="str">
        <f>IFERROR(__xludf.DUMMYFUNCTION("""COMPUTED_VALUE"""),"SUPRIYADI DG NAKKU")</f>
        <v>SUPRIYADI DG NAKKU</v>
      </c>
      <c r="C482" s="18">
        <f>IFERROR(__xludf.DUMMYFUNCTION("""COMPUTED_VALUE"""),48.0)</f>
        <v>48</v>
      </c>
      <c r="D482" s="35" t="str">
        <f>IFERROR(__xludf.DUMMYFUNCTION("""COMPUTED_VALUE"""),"Islam")</f>
        <v>Islam</v>
      </c>
      <c r="E482" s="18" t="str">
        <f>IFERROR(__xludf.DUMMYFUNCTION("""COMPUTED_VALUE"""),"CV. Adil Prima Perkasa")</f>
        <v>CV. Adil Prima Perkasa</v>
      </c>
      <c r="F482" s="18" t="str">
        <f>IFERROR(__xludf.DUMMYFUNCTION("""COMPUTED_VALUE"""),"DRIVER DT H700ZY")</f>
        <v>DRIVER DT H700ZY</v>
      </c>
      <c r="G482" s="18" t="str">
        <f>IFERROR(__xludf.DUMMYFUNCTION("""COMPUTED_VALUE"""),"KENDARAAN &amp; UNIT SUPPORT")</f>
        <v>KENDARAAN &amp; UNIT SUPPORT</v>
      </c>
      <c r="H482" s="18" t="str">
        <f>IFERROR(__xludf.DUMMYFUNCTION("""COMPUTED_VALUE"""),"2024-03-31 06.19.40")</f>
        <v>2024-03-31 06.19.40</v>
      </c>
      <c r="I482" s="18" t="str">
        <f>IFERROR(__xludf.DUMMYFUNCTION("""COMPUTED_VALUE"""),"2024-03-31 17.40.38")</f>
        <v>2024-03-31 17.40.38</v>
      </c>
      <c r="J482" s="36">
        <f>IFERROR(__xludf.DUMMYFUNCTION("""COMPUTED_VALUE"""),27433.0)</f>
        <v>27433</v>
      </c>
      <c r="K482" s="37" t="str">
        <f t="shared" si="1"/>
        <v>[208201175] SUPRIYADI DG NAKKU</v>
      </c>
    </row>
    <row r="483">
      <c r="A483" s="17">
        <f>IFERROR(__xludf.DUMMYFUNCTION("""COMPUTED_VALUE"""),2.01211333E8)</f>
        <v>201211333</v>
      </c>
      <c r="B483" s="18" t="str">
        <f>IFERROR(__xludf.DUMMYFUNCTION("""COMPUTED_VALUE"""),"SURIANTO")</f>
        <v>SURIANTO</v>
      </c>
      <c r="C483" s="18">
        <f>IFERROR(__xludf.DUMMYFUNCTION("""COMPUTED_VALUE"""),29.0)</f>
        <v>29</v>
      </c>
      <c r="D483" s="35" t="str">
        <f>IFERROR(__xludf.DUMMYFUNCTION("""COMPUTED_VALUE"""),"Kristen Protestan")</f>
        <v>Kristen Protestan</v>
      </c>
      <c r="E483" s="18" t="str">
        <f>IFERROR(__xludf.DUMMYFUNCTION("""COMPUTED_VALUE"""),"CV. Adil Prima Perkasa")</f>
        <v>CV. Adil Prima Perkasa</v>
      </c>
      <c r="F483" s="18" t="str">
        <f>IFERROR(__xludf.DUMMYFUNCTION("""COMPUTED_VALUE"""),"OPERATOR EXCAVATOR")</f>
        <v>OPERATOR EXCAVATOR</v>
      </c>
      <c r="G483" s="18" t="str">
        <f>IFERROR(__xludf.DUMMYFUNCTION("""COMPUTED_VALUE"""),"PRODUKSI")</f>
        <v>PRODUKSI</v>
      </c>
      <c r="H483" s="18" t="str">
        <f>IFERROR(__xludf.DUMMYFUNCTION("""COMPUTED_VALUE"""),"2023-11-30 06.02.14")</f>
        <v>2023-11-30 06.02.14</v>
      </c>
      <c r="I483" s="18" t="str">
        <f>IFERROR(__xludf.DUMMYFUNCTION("""COMPUTED_VALUE"""),"2023-11-30 06.02.14")</f>
        <v>2023-11-30 06.02.14</v>
      </c>
      <c r="J483" s="36"/>
      <c r="K483" s="37" t="str">
        <f t="shared" si="1"/>
        <v>[201211333] SURIANTO</v>
      </c>
    </row>
    <row r="484">
      <c r="A484" s="17">
        <f>IFERROR(__xludf.DUMMYFUNCTION("""COMPUTED_VALUE"""),1.07211451E8)</f>
        <v>107211451</v>
      </c>
      <c r="B484" s="18" t="str">
        <f>IFERROR(__xludf.DUMMYFUNCTION("""COMPUTED_VALUE"""),"SURIANTO")</f>
        <v>SURIANTO</v>
      </c>
      <c r="C484" s="18">
        <f>IFERROR(__xludf.DUMMYFUNCTION("""COMPUTED_VALUE"""),47.0)</f>
        <v>47</v>
      </c>
      <c r="D484" s="35" t="str">
        <f>IFERROR(__xludf.DUMMYFUNCTION("""COMPUTED_VALUE"""),"Islam")</f>
        <v>Islam</v>
      </c>
      <c r="E484" s="18" t="str">
        <f>IFERROR(__xludf.DUMMYFUNCTION("""COMPUTED_VALUE"""),"CV. SENTOSA ABADI")</f>
        <v>CV. SENTOSA ABADI</v>
      </c>
      <c r="F484" s="18" t="str">
        <f>IFERROR(__xludf.DUMMYFUNCTION("""COMPUTED_VALUE"""),"DRIVER DT H700ZY")</f>
        <v>DRIVER DT H700ZY</v>
      </c>
      <c r="G484" s="18" t="str">
        <f>IFERROR(__xludf.DUMMYFUNCTION("""COMPUTED_VALUE"""),"KENDARAAN &amp; UNIT SUPPORT")</f>
        <v>KENDARAAN &amp; UNIT SUPPORT</v>
      </c>
      <c r="H484" s="18" t="str">
        <f>IFERROR(__xludf.DUMMYFUNCTION("""COMPUTED_VALUE"""),"2024-03-31 06.19.48")</f>
        <v>2024-03-31 06.19.48</v>
      </c>
      <c r="I484" s="18" t="str">
        <f>IFERROR(__xludf.DUMMYFUNCTION("""COMPUTED_VALUE"""),"2024-03-31 16.58.47")</f>
        <v>2024-03-31 16.58.47</v>
      </c>
      <c r="J484" s="36"/>
      <c r="K484" s="37" t="str">
        <f t="shared" si="1"/>
        <v>[107211451] SURIANTO</v>
      </c>
    </row>
    <row r="485">
      <c r="A485" s="17">
        <f>IFERROR(__xludf.DUMMYFUNCTION("""COMPUTED_VALUE"""),1.08201196E8)</f>
        <v>108201196</v>
      </c>
      <c r="B485" s="18" t="str">
        <f>IFERROR(__xludf.DUMMYFUNCTION("""COMPUTED_VALUE"""),"SURIYADI")</f>
        <v>SURIYADI</v>
      </c>
      <c r="C485" s="18">
        <f>IFERROR(__xludf.DUMMYFUNCTION("""COMPUTED_VALUE"""),60.0)</f>
        <v>60</v>
      </c>
      <c r="D485" s="35" t="str">
        <f>IFERROR(__xludf.DUMMYFUNCTION("""COMPUTED_VALUE"""),"Islam")</f>
        <v>Islam</v>
      </c>
      <c r="E485" s="18" t="str">
        <f>IFERROR(__xludf.DUMMYFUNCTION("""COMPUTED_VALUE"""),"CV. SENTOSA ABADI")</f>
        <v>CV. SENTOSA ABADI</v>
      </c>
      <c r="F485" s="18" t="str">
        <f>IFERROR(__xludf.DUMMYFUNCTION("""COMPUTED_VALUE"""),"DRIVER DT H700ZY")</f>
        <v>DRIVER DT H700ZY</v>
      </c>
      <c r="G485" s="18" t="str">
        <f>IFERROR(__xludf.DUMMYFUNCTION("""COMPUTED_VALUE"""),"KENDARAAN &amp; UNIT SUPPORT")</f>
        <v>KENDARAAN &amp; UNIT SUPPORT</v>
      </c>
      <c r="H485" s="18" t="str">
        <f>IFERROR(__xludf.DUMMYFUNCTION("""COMPUTED_VALUE"""),"2024-03-30 04.52.15")</f>
        <v>2024-03-30 04.52.15</v>
      </c>
      <c r="I485" s="18" t="str">
        <f>IFERROR(__xludf.DUMMYFUNCTION("""COMPUTED_VALUE"""),"2024-03-30 17.14.53")</f>
        <v>2024-03-30 17.14.53</v>
      </c>
      <c r="J485" s="36"/>
      <c r="K485" s="37" t="str">
        <f t="shared" si="1"/>
        <v>[108201196] SURIYADI</v>
      </c>
    </row>
    <row r="486">
      <c r="A486" s="17">
        <f>IFERROR(__xludf.DUMMYFUNCTION("""COMPUTED_VALUE"""),2.09201235E8)</f>
        <v>209201235</v>
      </c>
      <c r="B486" s="18" t="str">
        <f>IFERROR(__xludf.DUMMYFUNCTION("""COMPUTED_VALUE"""),"SURONO")</f>
        <v>SURONO</v>
      </c>
      <c r="C486" s="18">
        <f>IFERROR(__xludf.DUMMYFUNCTION("""COMPUTED_VALUE"""),0.0)</f>
        <v>0</v>
      </c>
      <c r="D486" s="35" t="str">
        <f>IFERROR(__xludf.DUMMYFUNCTION("""COMPUTED_VALUE"""),"Islam")</f>
        <v>Islam</v>
      </c>
      <c r="E486" s="18" t="str">
        <f>IFERROR(__xludf.DUMMYFUNCTION("""COMPUTED_VALUE"""),"CV. Adil Prima Perkasa")</f>
        <v>CV. Adil Prima Perkasa</v>
      </c>
      <c r="F486" s="18" t="str">
        <f>IFERROR(__xludf.DUMMYFUNCTION("""COMPUTED_VALUE"""),"OPERATOR GRADER")</f>
        <v>OPERATOR GRADER</v>
      </c>
      <c r="G486" s="18" t="str">
        <f>IFERROR(__xludf.DUMMYFUNCTION("""COMPUTED_VALUE"""),"PRODUKSI")</f>
        <v>PRODUKSI</v>
      </c>
      <c r="H486" s="18" t="str">
        <f>IFERROR(__xludf.DUMMYFUNCTION("""COMPUTED_VALUE"""),"2023-11-30 05.47.58")</f>
        <v>2023-11-30 05.47.58</v>
      </c>
      <c r="I486" s="18" t="str">
        <f>IFERROR(__xludf.DUMMYFUNCTION("""COMPUTED_VALUE"""),"2023-11-30 05.47.58")</f>
        <v>2023-11-30 05.47.58</v>
      </c>
      <c r="J486" s="36">
        <f>IFERROR(__xludf.DUMMYFUNCTION("""COMPUTED_VALUE"""),27466.0)</f>
        <v>27466</v>
      </c>
      <c r="K486" s="37" t="str">
        <f t="shared" si="1"/>
        <v>[209201235] SURONO</v>
      </c>
    </row>
    <row r="487">
      <c r="A487" s="17">
        <f>IFERROR(__xludf.DUMMYFUNCTION("""COMPUTED_VALUE"""),2.11211543E8)</f>
        <v>211211543</v>
      </c>
      <c r="B487" s="18" t="str">
        <f>IFERROR(__xludf.DUMMYFUNCTION("""COMPUTED_VALUE"""),"SUSILO AFRIYANTO PETA'A")</f>
        <v>SUSILO AFRIYANTO PETA'A</v>
      </c>
      <c r="C487" s="18">
        <f>IFERROR(__xludf.DUMMYFUNCTION("""COMPUTED_VALUE"""),28.0)</f>
        <v>28</v>
      </c>
      <c r="D487" s="35" t="str">
        <f>IFERROR(__xludf.DUMMYFUNCTION("""COMPUTED_VALUE"""),"Kristen Protestan")</f>
        <v>Kristen Protestan</v>
      </c>
      <c r="E487" s="18" t="str">
        <f>IFERROR(__xludf.DUMMYFUNCTION("""COMPUTED_VALUE"""),"CV. Adil Prima Perkasa")</f>
        <v>CV. Adil Prima Perkasa</v>
      </c>
      <c r="F487" s="18" t="str">
        <f>IFERROR(__xludf.DUMMYFUNCTION("""COMPUTED_VALUE"""),"DRIVER DT H700ZY")</f>
        <v>DRIVER DT H700ZY</v>
      </c>
      <c r="G487" s="18" t="str">
        <f>IFERROR(__xludf.DUMMYFUNCTION("""COMPUTED_VALUE"""),"KENDARAAN &amp; UNIT SUPPORT")</f>
        <v>KENDARAAN &amp; UNIT SUPPORT</v>
      </c>
      <c r="H487" s="18" t="str">
        <f>IFERROR(__xludf.DUMMYFUNCTION("""COMPUTED_VALUE"""),"2024-03-31 06.20.15")</f>
        <v>2024-03-31 06.20.15</v>
      </c>
      <c r="I487" s="18" t="str">
        <f>IFERROR(__xludf.DUMMYFUNCTION("""COMPUTED_VALUE"""),"2024-03-31 18.21.43")</f>
        <v>2024-03-31 18.21.43</v>
      </c>
      <c r="J487" s="36">
        <f>IFERROR(__xludf.DUMMYFUNCTION("""COMPUTED_VALUE"""),34441.0)</f>
        <v>34441</v>
      </c>
      <c r="K487" s="37" t="str">
        <f t="shared" si="1"/>
        <v>[211211543] SUSILO AFRIYANTO PETA'A</v>
      </c>
    </row>
    <row r="488">
      <c r="A488" s="17">
        <f>IFERROR(__xludf.DUMMYFUNCTION("""COMPUTED_VALUE"""),2.0122158E8)</f>
        <v>201221580</v>
      </c>
      <c r="B488" s="18" t="str">
        <f>IFERROR(__xludf.DUMMYFUNCTION("""COMPUTED_VALUE"""),"SUTRIYANTO ARMAN S.")</f>
        <v>SUTRIYANTO ARMAN S.</v>
      </c>
      <c r="C488" s="18">
        <f>IFERROR(__xludf.DUMMYFUNCTION("""COMPUTED_VALUE"""),30.0)</f>
        <v>30</v>
      </c>
      <c r="D488" s="35" t="str">
        <f>IFERROR(__xludf.DUMMYFUNCTION("""COMPUTED_VALUE"""),"Islam")</f>
        <v>Islam</v>
      </c>
      <c r="E488" s="18" t="str">
        <f>IFERROR(__xludf.DUMMYFUNCTION("""COMPUTED_VALUE"""),"CV. Adil Prima Perkasa")</f>
        <v>CV. Adil Prima Perkasa</v>
      </c>
      <c r="F488" s="18" t="str">
        <f>IFERROR(__xludf.DUMMYFUNCTION("""COMPUTED_VALUE"""),"DRIVER DT H700ZY")</f>
        <v>DRIVER DT H700ZY</v>
      </c>
      <c r="G488" s="18" t="str">
        <f>IFERROR(__xludf.DUMMYFUNCTION("""COMPUTED_VALUE"""),"KENDARAAN &amp; UNIT SUPPORT")</f>
        <v>KENDARAAN &amp; UNIT SUPPORT</v>
      </c>
      <c r="H488" s="18" t="str">
        <f>IFERROR(__xludf.DUMMYFUNCTION("""COMPUTED_VALUE"""),"2024-03-31 04.56.06")</f>
        <v>2024-03-31 04.56.06</v>
      </c>
      <c r="I488" s="18" t="str">
        <f>IFERROR(__xludf.DUMMYFUNCTION("""COMPUTED_VALUE"""),"2024-03-31 16.03.02")</f>
        <v>2024-03-31 16.03.02</v>
      </c>
      <c r="J488" s="36">
        <f>IFERROR(__xludf.DUMMYFUNCTION("""COMPUTED_VALUE"""),33154.0)</f>
        <v>33154</v>
      </c>
      <c r="K488" s="37" t="str">
        <f t="shared" si="1"/>
        <v>[201221580] SUTRIYANTO ARMAN S.</v>
      </c>
    </row>
    <row r="489">
      <c r="A489" s="17">
        <f>IFERROR(__xludf.DUMMYFUNCTION("""COMPUTED_VALUE"""),2.12211558E8)</f>
        <v>212211558</v>
      </c>
      <c r="B489" s="18" t="str">
        <f>IFERROR(__xludf.DUMMYFUNCTION("""COMPUTED_VALUE"""),"SYABIR")</f>
        <v>SYABIR</v>
      </c>
      <c r="C489" s="18">
        <f>IFERROR(__xludf.DUMMYFUNCTION("""COMPUTED_VALUE"""),43.0)</f>
        <v>43</v>
      </c>
      <c r="D489" s="35" t="str">
        <f>IFERROR(__xludf.DUMMYFUNCTION("""COMPUTED_VALUE"""),"Islam")</f>
        <v>Islam</v>
      </c>
      <c r="E489" s="18" t="str">
        <f>IFERROR(__xludf.DUMMYFUNCTION("""COMPUTED_VALUE"""),"CV. Adil Prima Perkasa")</f>
        <v>CV. Adil Prima Perkasa</v>
      </c>
      <c r="F489" s="18" t="str">
        <f>IFERROR(__xludf.DUMMYFUNCTION("""COMPUTED_VALUE"""),"DRIVER DT H700ZY")</f>
        <v>DRIVER DT H700ZY</v>
      </c>
      <c r="G489" s="18" t="str">
        <f>IFERROR(__xludf.DUMMYFUNCTION("""COMPUTED_VALUE"""),"KENDARAAN &amp; UNIT SUPPORT")</f>
        <v>KENDARAAN &amp; UNIT SUPPORT</v>
      </c>
      <c r="H489" s="18" t="str">
        <f>IFERROR(__xludf.DUMMYFUNCTION("""COMPUTED_VALUE"""),"2024-03-31 06.20.07")</f>
        <v>2024-03-31 06.20.07</v>
      </c>
      <c r="I489" s="18" t="str">
        <f>IFERROR(__xludf.DUMMYFUNCTION("""COMPUTED_VALUE"""),"2024-03-31 15.53.46")</f>
        <v>2024-03-31 15.53.46</v>
      </c>
      <c r="J489" s="36">
        <f>IFERROR(__xludf.DUMMYFUNCTION("""COMPUTED_VALUE"""),30420.0)</f>
        <v>30420</v>
      </c>
      <c r="K489" s="37" t="str">
        <f t="shared" si="1"/>
        <v>[212211558] SYABIR</v>
      </c>
    </row>
    <row r="490">
      <c r="A490" s="17">
        <f>IFERROR(__xludf.DUMMYFUNCTION("""COMPUTED_VALUE"""),2.05241915E8)</f>
        <v>205241915</v>
      </c>
      <c r="B490" s="18" t="str">
        <f>IFERROR(__xludf.DUMMYFUNCTION("""COMPUTED_VALUE"""),"SYAHDANG KURNIAWAN")</f>
        <v>SYAHDANG KURNIAWAN</v>
      </c>
      <c r="C490" s="18">
        <f>IFERROR(__xludf.DUMMYFUNCTION("""COMPUTED_VALUE"""),0.0)</f>
        <v>0</v>
      </c>
      <c r="D490" s="35"/>
      <c r="E490" s="18" t="str">
        <f>IFERROR(__xludf.DUMMYFUNCTION("""COMPUTED_VALUE"""),"CV. Adil Prima Perkasa")</f>
        <v>CV. Adil Prima Perkasa</v>
      </c>
      <c r="F490" s="18" t="str">
        <f>IFERROR(__xludf.DUMMYFUNCTION("""COMPUTED_VALUE"""),"HELPER TYRE")</f>
        <v>HELPER TYRE</v>
      </c>
      <c r="G490" s="18" t="str">
        <f>IFERROR(__xludf.DUMMYFUNCTION("""COMPUTED_VALUE"""),"WORKSHOP")</f>
        <v>WORKSHOP</v>
      </c>
      <c r="H490" s="18"/>
      <c r="I490" s="18"/>
      <c r="J490" s="36"/>
      <c r="K490" s="37" t="str">
        <f t="shared" si="1"/>
        <v/>
      </c>
    </row>
    <row r="491">
      <c r="A491" s="17">
        <f>IFERROR(__xludf.DUMMYFUNCTION("""COMPUTED_VALUE"""),2.09211495E8)</f>
        <v>209211495</v>
      </c>
      <c r="B491" s="18" t="str">
        <f>IFERROR(__xludf.DUMMYFUNCTION("""COMPUTED_VALUE"""),"SYAMSIR")</f>
        <v>SYAMSIR</v>
      </c>
      <c r="C491" s="18">
        <f>IFERROR(__xludf.DUMMYFUNCTION("""COMPUTED_VALUE"""),36.0)</f>
        <v>36</v>
      </c>
      <c r="D491" s="35" t="str">
        <f>IFERROR(__xludf.DUMMYFUNCTION("""COMPUTED_VALUE"""),"Islam")</f>
        <v>Islam</v>
      </c>
      <c r="E491" s="18" t="str">
        <f>IFERROR(__xludf.DUMMYFUNCTION("""COMPUTED_VALUE"""),"CV. Adil Prima Perkasa")</f>
        <v>CV. Adil Prima Perkasa</v>
      </c>
      <c r="F491" s="18" t="str">
        <f>IFERROR(__xludf.DUMMYFUNCTION("""COMPUTED_VALUE"""),"OPERATOR EXCAVATOR")</f>
        <v>OPERATOR EXCAVATOR</v>
      </c>
      <c r="G491" s="18" t="str">
        <f>IFERROR(__xludf.DUMMYFUNCTION("""COMPUTED_VALUE"""),"PRODUKSI")</f>
        <v>PRODUKSI</v>
      </c>
      <c r="H491" s="18" t="str">
        <f>IFERROR(__xludf.DUMMYFUNCTION("""COMPUTED_VALUE"""),"2023-11-30 05.04.36")</f>
        <v>2023-11-30 05.04.36</v>
      </c>
      <c r="I491" s="18" t="str">
        <f>IFERROR(__xludf.DUMMYFUNCTION("""COMPUTED_VALUE"""),"2023-11-30 05.04.36")</f>
        <v>2023-11-30 05.04.36</v>
      </c>
      <c r="J491" s="36">
        <f>IFERROR(__xludf.DUMMYFUNCTION("""COMPUTED_VALUE"""),31967.0)</f>
        <v>31967</v>
      </c>
      <c r="K491" s="37" t="str">
        <f t="shared" si="1"/>
        <v>[209211495] SYAMSIR</v>
      </c>
    </row>
    <row r="492">
      <c r="A492" s="17">
        <f>IFERROR(__xludf.DUMMYFUNCTION("""COMPUTED_VALUE"""),1.08201195E8)</f>
        <v>108201195</v>
      </c>
      <c r="B492" s="18" t="str">
        <f>IFERROR(__xludf.DUMMYFUNCTION("""COMPUTED_VALUE"""),"SYAMSUL")</f>
        <v>SYAMSUL</v>
      </c>
      <c r="C492" s="18">
        <f>IFERROR(__xludf.DUMMYFUNCTION("""COMPUTED_VALUE"""),32.0)</f>
        <v>32</v>
      </c>
      <c r="D492" s="35" t="str">
        <f>IFERROR(__xludf.DUMMYFUNCTION("""COMPUTED_VALUE"""),"Islam")</f>
        <v>Islam</v>
      </c>
      <c r="E492" s="18" t="str">
        <f>IFERROR(__xludf.DUMMYFUNCTION("""COMPUTED_VALUE"""),"CV. SENTOSA ABADI")</f>
        <v>CV. SENTOSA ABADI</v>
      </c>
      <c r="F492" s="18" t="str">
        <f>IFERROR(__xludf.DUMMYFUNCTION("""COMPUTED_VALUE"""),"OPERATOR BULLDOZER")</f>
        <v>OPERATOR BULLDOZER</v>
      </c>
      <c r="G492" s="18" t="str">
        <f>IFERROR(__xludf.DUMMYFUNCTION("""COMPUTED_VALUE"""),"PRODUKSI")</f>
        <v>PRODUKSI</v>
      </c>
      <c r="H492" s="18" t="str">
        <f>IFERROR(__xludf.DUMMYFUNCTION("""COMPUTED_VALUE"""),"2023-11-30 07.07.25")</f>
        <v>2023-11-30 07.07.25</v>
      </c>
      <c r="I492" s="18" t="str">
        <f>IFERROR(__xludf.DUMMYFUNCTION("""COMPUTED_VALUE"""),"2023-11-30 07.07.25")</f>
        <v>2023-11-30 07.07.25</v>
      </c>
      <c r="J492" s="36">
        <f>IFERROR(__xludf.DUMMYFUNCTION("""COMPUTED_VALUE"""),31028.0)</f>
        <v>31028</v>
      </c>
      <c r="K492" s="37" t="str">
        <f t="shared" si="1"/>
        <v>[108201195] SYAMSUL</v>
      </c>
    </row>
    <row r="493">
      <c r="A493" s="17">
        <f>IFERROR(__xludf.DUMMYFUNCTION("""COMPUTED_VALUE"""),1.12201307E8)</f>
        <v>112201307</v>
      </c>
      <c r="B493" s="18" t="str">
        <f>IFERROR(__xludf.DUMMYFUNCTION("""COMPUTED_VALUE"""),"TANDU")</f>
        <v>TANDU</v>
      </c>
      <c r="C493" s="18">
        <f>IFERROR(__xludf.DUMMYFUNCTION("""COMPUTED_VALUE"""),48.0)</f>
        <v>48</v>
      </c>
      <c r="D493" s="35" t="str">
        <f>IFERROR(__xludf.DUMMYFUNCTION("""COMPUTED_VALUE"""),"Kristen Protestan")</f>
        <v>Kristen Protestan</v>
      </c>
      <c r="E493" s="18" t="str">
        <f>IFERROR(__xludf.DUMMYFUNCTION("""COMPUTED_VALUE"""),"CV. SENTOSA ABADI")</f>
        <v>CV. SENTOSA ABADI</v>
      </c>
      <c r="F493" s="18" t="str">
        <f>IFERROR(__xludf.DUMMYFUNCTION("""COMPUTED_VALUE"""),"OPERATOR BUBUT")</f>
        <v>OPERATOR BUBUT</v>
      </c>
      <c r="G493" s="18" t="str">
        <f>IFERROR(__xludf.DUMMYFUNCTION("""COMPUTED_VALUE"""),"WORKSHOP")</f>
        <v>WORKSHOP</v>
      </c>
      <c r="H493" s="18" t="str">
        <f>IFERROR(__xludf.DUMMYFUNCTION("""COMPUTED_VALUE"""),"2023-12-21 06.51.44")</f>
        <v>2023-12-21 06.51.44</v>
      </c>
      <c r="I493" s="18" t="str">
        <f>IFERROR(__xludf.DUMMYFUNCTION("""COMPUTED_VALUE"""),"2023-12-21 06.51.44")</f>
        <v>2023-12-21 06.51.44</v>
      </c>
      <c r="J493" s="36">
        <f>IFERROR(__xludf.DUMMYFUNCTION("""COMPUTED_VALUE"""),29987.0)</f>
        <v>29987</v>
      </c>
      <c r="K493" s="37" t="str">
        <f t="shared" si="1"/>
        <v>[112201307] TANDU</v>
      </c>
    </row>
    <row r="494">
      <c r="A494" s="17">
        <f>IFERROR(__xludf.DUMMYFUNCTION("""COMPUTED_VALUE"""),2.06231779E8)</f>
        <v>206231779</v>
      </c>
      <c r="B494" s="18" t="str">
        <f>IFERROR(__xludf.DUMMYFUNCTION("""COMPUTED_VALUE"""),"TAUFIK MUSJINJA")</f>
        <v>TAUFIK MUSJINJA</v>
      </c>
      <c r="C494" s="18">
        <f>IFERROR(__xludf.DUMMYFUNCTION("""COMPUTED_VALUE"""),21.0)</f>
        <v>21</v>
      </c>
      <c r="D494" s="35" t="str">
        <f>IFERROR(__xludf.DUMMYFUNCTION("""COMPUTED_VALUE"""),"Islam")</f>
        <v>Islam</v>
      </c>
      <c r="E494" s="18" t="str">
        <f>IFERROR(__xludf.DUMMYFUNCTION("""COMPUTED_VALUE"""),"CV. Adil Prima Perkasa")</f>
        <v>CV. Adil Prima Perkasa</v>
      </c>
      <c r="F494" s="18" t="str">
        <f>IFERROR(__xludf.DUMMYFUNCTION("""COMPUTED_VALUE"""),"HELPER TYRE")</f>
        <v>HELPER TYRE</v>
      </c>
      <c r="G494" s="18" t="str">
        <f>IFERROR(__xludf.DUMMYFUNCTION("""COMPUTED_VALUE"""),"WORKSHOP")</f>
        <v>WORKSHOP</v>
      </c>
      <c r="H494" s="18" t="str">
        <f>IFERROR(__xludf.DUMMYFUNCTION("""COMPUTED_VALUE"""),"2023-12-30 07.07.00")</f>
        <v>2023-12-30 07.07.00</v>
      </c>
      <c r="I494" s="18" t="str">
        <f>IFERROR(__xludf.DUMMYFUNCTION("""COMPUTED_VALUE"""),"2023-12-30 21.24.14")</f>
        <v>2023-12-30 21.24.14</v>
      </c>
      <c r="J494" s="36"/>
      <c r="K494" s="37" t="str">
        <f t="shared" si="1"/>
        <v>[206231779] TAUFIK MUSJINJA</v>
      </c>
    </row>
    <row r="495">
      <c r="A495" s="17">
        <f>IFERROR(__xludf.DUMMYFUNCTION("""COMPUTED_VALUE"""),1.07190949E8)</f>
        <v>107190949</v>
      </c>
      <c r="B495" s="18" t="str">
        <f>IFERROR(__xludf.DUMMYFUNCTION("""COMPUTED_VALUE"""),"TAUFIQ HIDAYAT")</f>
        <v>TAUFIQ HIDAYAT</v>
      </c>
      <c r="C495" s="18">
        <f>IFERROR(__xludf.DUMMYFUNCTION("""COMPUTED_VALUE"""),24.0)</f>
        <v>24</v>
      </c>
      <c r="D495" s="35" t="str">
        <f>IFERROR(__xludf.DUMMYFUNCTION("""COMPUTED_VALUE"""),"Islam")</f>
        <v>Islam</v>
      </c>
      <c r="E495" s="18" t="str">
        <f>IFERROR(__xludf.DUMMYFUNCTION("""COMPUTED_VALUE"""),"CV. SENTOSA ABADI")</f>
        <v>CV. SENTOSA ABADI</v>
      </c>
      <c r="F495" s="18" t="str">
        <f>IFERROR(__xludf.DUMMYFUNCTION("""COMPUTED_VALUE"""),"DRIVER LV")</f>
        <v>DRIVER LV</v>
      </c>
      <c r="G495" s="18" t="str">
        <f>IFERROR(__xludf.DUMMYFUNCTION("""COMPUTED_VALUE"""),"KENDARAAN &amp; UNIT SUPPORT")</f>
        <v>KENDARAAN &amp; UNIT SUPPORT</v>
      </c>
      <c r="H495" s="18" t="str">
        <f>IFERROR(__xludf.DUMMYFUNCTION("""COMPUTED_VALUE"""),"2024-03-31 05.50.40")</f>
        <v>2024-03-31 05.50.40</v>
      </c>
      <c r="I495" s="18" t="str">
        <f>IFERROR(__xludf.DUMMYFUNCTION("""COMPUTED_VALUE"""),"2024-03-31 18.34.20")</f>
        <v>2024-03-31 18.34.20</v>
      </c>
      <c r="J495" s="36"/>
      <c r="K495" s="37" t="str">
        <f t="shared" si="1"/>
        <v>[107190949] TAUFIQ HIDAYAT</v>
      </c>
    </row>
    <row r="496">
      <c r="A496" s="17">
        <f>IFERROR(__xludf.DUMMYFUNCTION("""COMPUTED_VALUE"""),1.04211382E8)</f>
        <v>104211382</v>
      </c>
      <c r="B496" s="18" t="str">
        <f>IFERROR(__xludf.DUMMYFUNCTION("""COMPUTED_VALUE"""),"THAMRIN LAIDA")</f>
        <v>THAMRIN LAIDA</v>
      </c>
      <c r="C496" s="18">
        <f>IFERROR(__xludf.DUMMYFUNCTION("""COMPUTED_VALUE"""),54.0)</f>
        <v>54</v>
      </c>
      <c r="D496" s="35" t="str">
        <f>IFERROR(__xludf.DUMMYFUNCTION("""COMPUTED_VALUE"""),"Kristen Protestan")</f>
        <v>Kristen Protestan</v>
      </c>
      <c r="E496" s="18" t="str">
        <f>IFERROR(__xludf.DUMMYFUNCTION("""COMPUTED_VALUE"""),"CV. SENTOSA ABADI")</f>
        <v>CV. SENTOSA ABADI</v>
      </c>
      <c r="F496" s="18" t="str">
        <f>IFERROR(__xludf.DUMMYFUNCTION("""COMPUTED_VALUE"""),"DRIVER DT H700ZY")</f>
        <v>DRIVER DT H700ZY</v>
      </c>
      <c r="G496" s="18" t="str">
        <f>IFERROR(__xludf.DUMMYFUNCTION("""COMPUTED_VALUE"""),"KENDARAAN &amp; UNIT SUPPORT")</f>
        <v>KENDARAAN &amp; UNIT SUPPORT</v>
      </c>
      <c r="H496" s="18" t="str">
        <f>IFERROR(__xludf.DUMMYFUNCTION("""COMPUTED_VALUE"""),"2023-11-30 05.19.14")</f>
        <v>2023-11-30 05.19.14</v>
      </c>
      <c r="I496" s="18" t="str">
        <f>IFERROR(__xludf.DUMMYFUNCTION("""COMPUTED_VALUE"""),"2023-11-30 15.32.51")</f>
        <v>2023-11-30 15.32.51</v>
      </c>
      <c r="J496" s="36"/>
      <c r="K496" s="37" t="str">
        <f t="shared" si="1"/>
        <v>[104211382] THAMRIN LAIDA</v>
      </c>
    </row>
    <row r="497">
      <c r="A497" s="17">
        <f>IFERROR(__xludf.DUMMYFUNCTION("""COMPUTED_VALUE"""),1.05211411E8)</f>
        <v>105211411</v>
      </c>
      <c r="B497" s="18" t="str">
        <f>IFERROR(__xludf.DUMMYFUNCTION("""COMPUTED_VALUE"""),"THEOFILUS KALENGKE")</f>
        <v>THEOFILUS KALENGKE</v>
      </c>
      <c r="C497" s="18">
        <f>IFERROR(__xludf.DUMMYFUNCTION("""COMPUTED_VALUE"""),25.0)</f>
        <v>25</v>
      </c>
      <c r="D497" s="35" t="str">
        <f>IFERROR(__xludf.DUMMYFUNCTION("""COMPUTED_VALUE"""),"Kristen Protestan")</f>
        <v>Kristen Protestan</v>
      </c>
      <c r="E497" s="18" t="str">
        <f>IFERROR(__xludf.DUMMYFUNCTION("""COMPUTED_VALUE"""),"CV. SENTOSA ABADI")</f>
        <v>CV. SENTOSA ABADI</v>
      </c>
      <c r="F497" s="18" t="str">
        <f>IFERROR(__xludf.DUMMYFUNCTION("""COMPUTED_VALUE"""),"HELPER MECHANIC MAINTENANCE")</f>
        <v>HELPER MECHANIC MAINTENANCE</v>
      </c>
      <c r="G497" s="18" t="str">
        <f>IFERROR(__xludf.DUMMYFUNCTION("""COMPUTED_VALUE"""),"WORKSHOP")</f>
        <v>WORKSHOP</v>
      </c>
      <c r="H497" s="18" t="str">
        <f>IFERROR(__xludf.DUMMYFUNCTION("""COMPUTED_VALUE"""),"2023-11-30 19.27.38")</f>
        <v>2023-11-30 19.27.38</v>
      </c>
      <c r="I497" s="18" t="str">
        <f>IFERROR(__xludf.DUMMYFUNCTION("""COMPUTED_VALUE"""),"2023-11-30 19.27.38")</f>
        <v>2023-11-30 19.27.38</v>
      </c>
      <c r="J497" s="36"/>
      <c r="K497" s="37" t="str">
        <f t="shared" si="1"/>
        <v>[105211411] THEOFILUS KALENGKE</v>
      </c>
    </row>
    <row r="498">
      <c r="A498" s="17">
        <f>IFERROR(__xludf.DUMMYFUNCTION("""COMPUTED_VALUE"""),2.07160685E8)</f>
        <v>207160685</v>
      </c>
      <c r="B498" s="18" t="str">
        <f>IFERROR(__xludf.DUMMYFUNCTION("""COMPUTED_VALUE"""),"THOMAS TARU")</f>
        <v>THOMAS TARU</v>
      </c>
      <c r="C498" s="18">
        <f>IFERROR(__xludf.DUMMYFUNCTION("""COMPUTED_VALUE"""),48.0)</f>
        <v>48</v>
      </c>
      <c r="D498" s="35" t="str">
        <f>IFERROR(__xludf.DUMMYFUNCTION("""COMPUTED_VALUE"""),"Kristen Khatolik")</f>
        <v>Kristen Khatolik</v>
      </c>
      <c r="E498" s="18" t="str">
        <f>IFERROR(__xludf.DUMMYFUNCTION("""COMPUTED_VALUE"""),"CV. Adil Prima Perkasa")</f>
        <v>CV. Adil Prima Perkasa</v>
      </c>
      <c r="F498" s="18" t="str">
        <f>IFERROR(__xludf.DUMMYFUNCTION("""COMPUTED_VALUE"""),"OPERATOR BULLDOZER")</f>
        <v>OPERATOR BULLDOZER</v>
      </c>
      <c r="G498" s="18" t="str">
        <f>IFERROR(__xludf.DUMMYFUNCTION("""COMPUTED_VALUE"""),"PRODUKSI")</f>
        <v>PRODUKSI</v>
      </c>
      <c r="H498" s="18" t="str">
        <f>IFERROR(__xludf.DUMMYFUNCTION("""COMPUTED_VALUE"""),"2023-11-29 07.08.17")</f>
        <v>2023-11-29 07.08.17</v>
      </c>
      <c r="I498" s="18" t="str">
        <f>IFERROR(__xludf.DUMMYFUNCTION("""COMPUTED_VALUE"""),"2023-11-29 16.23.09")</f>
        <v>2023-11-29 16.23.09</v>
      </c>
      <c r="J498" s="36">
        <f>IFERROR(__xludf.DUMMYFUNCTION("""COMPUTED_VALUE"""),28775.0)</f>
        <v>28775</v>
      </c>
      <c r="K498" s="37" t="str">
        <f t="shared" si="1"/>
        <v>[207160685] THOMAS TARU</v>
      </c>
    </row>
    <row r="499">
      <c r="A499" s="17"/>
      <c r="B499" s="18" t="str">
        <f>IFERROR(__xludf.DUMMYFUNCTION("""COMPUTED_VALUE"""),"Tiara Maharani")</f>
        <v>Tiara Maharani</v>
      </c>
      <c r="C499" s="18">
        <f>IFERROR(__xludf.DUMMYFUNCTION("""COMPUTED_VALUE"""),23.0)</f>
        <v>23</v>
      </c>
      <c r="D499" s="35" t="str">
        <f>IFERROR(__xludf.DUMMYFUNCTION("""COMPUTED_VALUE"""),"Islam")</f>
        <v>Islam</v>
      </c>
      <c r="E499" s="18" t="str">
        <f>IFERROR(__xludf.DUMMYFUNCTION("""COMPUTED_VALUE"""),"CV. SENTOSA ABADI")</f>
        <v>CV. SENTOSA ABADI</v>
      </c>
      <c r="F499" s="18" t="str">
        <f>IFERROR(__xludf.DUMMYFUNCTION("""COMPUTED_VALUE"""),"FALSE")</f>
        <v>FALSE</v>
      </c>
      <c r="G499" s="18" t="str">
        <f>IFERROR(__xludf.DUMMYFUNCTION("""COMPUTED_VALUE"""),"FALSE")</f>
        <v>FALSE</v>
      </c>
      <c r="H499" s="18"/>
      <c r="I499" s="18"/>
      <c r="J499" s="36"/>
      <c r="K499" s="37" t="str">
        <f t="shared" si="1"/>
        <v/>
      </c>
    </row>
    <row r="500">
      <c r="A500" s="17">
        <f>IFERROR(__xludf.DUMMYFUNCTION("""COMPUTED_VALUE"""),2.01221574E8)</f>
        <v>201221574</v>
      </c>
      <c r="B500" s="18" t="str">
        <f>IFERROR(__xludf.DUMMYFUNCTION("""COMPUTED_VALUE"""),"UDIN DG SEWANG")</f>
        <v>UDIN DG SEWANG</v>
      </c>
      <c r="C500" s="18">
        <f>IFERROR(__xludf.DUMMYFUNCTION("""COMPUTED_VALUE"""),42.0)</f>
        <v>42</v>
      </c>
      <c r="D500" s="35" t="str">
        <f>IFERROR(__xludf.DUMMYFUNCTION("""COMPUTED_VALUE"""),"Islam")</f>
        <v>Islam</v>
      </c>
      <c r="E500" s="18" t="str">
        <f>IFERROR(__xludf.DUMMYFUNCTION("""COMPUTED_VALUE"""),"CV. Adil Prima Perkasa")</f>
        <v>CV. Adil Prima Perkasa</v>
      </c>
      <c r="F500" s="18" t="str">
        <f>IFERROR(__xludf.DUMMYFUNCTION("""COMPUTED_VALUE"""),"DRIVER DT H700ZY")</f>
        <v>DRIVER DT H700ZY</v>
      </c>
      <c r="G500" s="18" t="str">
        <f>IFERROR(__xludf.DUMMYFUNCTION("""COMPUTED_VALUE"""),"KENDARAAN &amp; UNIT SUPPORT")</f>
        <v>KENDARAAN &amp; UNIT SUPPORT</v>
      </c>
      <c r="H500" s="18" t="str">
        <f>IFERROR(__xludf.DUMMYFUNCTION("""COMPUTED_VALUE"""),"2024-03-26 12.35.19")</f>
        <v>2024-03-26 12.35.19</v>
      </c>
      <c r="I500" s="18" t="str">
        <f>IFERROR(__xludf.DUMMYFUNCTION("""COMPUTED_VALUE"""),"2024-03-26 12.35.19")</f>
        <v>2024-03-26 12.35.19</v>
      </c>
      <c r="J500" s="36">
        <f>IFERROR(__xludf.DUMMYFUNCTION("""COMPUTED_VALUE"""),30461.0)</f>
        <v>30461</v>
      </c>
      <c r="K500" s="37" t="str">
        <f t="shared" si="1"/>
        <v>[201221574] UDIN DG SEWANG</v>
      </c>
    </row>
    <row r="501">
      <c r="A501" s="17">
        <f>IFERROR(__xludf.DUMMYFUNCTION("""COMPUTED_VALUE"""),2.06221653E8)</f>
        <v>206221653</v>
      </c>
      <c r="B501" s="18" t="str">
        <f>IFERROR(__xludf.DUMMYFUNCTION("""COMPUTED_VALUE"""),"UJANG SETIAWAN")</f>
        <v>UJANG SETIAWAN</v>
      </c>
      <c r="C501" s="18">
        <f>IFERROR(__xludf.DUMMYFUNCTION("""COMPUTED_VALUE"""),41.0)</f>
        <v>41</v>
      </c>
      <c r="D501" s="35" t="str">
        <f>IFERROR(__xludf.DUMMYFUNCTION("""COMPUTED_VALUE"""),"Kristen Protestan")</f>
        <v>Kristen Protestan</v>
      </c>
      <c r="E501" s="18" t="str">
        <f>IFERROR(__xludf.DUMMYFUNCTION("""COMPUTED_VALUE"""),"CV. Adil Prima Perkasa")</f>
        <v>CV. Adil Prima Perkasa</v>
      </c>
      <c r="F501" s="18" t="str">
        <f>IFERROR(__xludf.DUMMYFUNCTION("""COMPUTED_VALUE"""),"DRIVER DT H700ZY")</f>
        <v>DRIVER DT H700ZY</v>
      </c>
      <c r="G501" s="18" t="str">
        <f>IFERROR(__xludf.DUMMYFUNCTION("""COMPUTED_VALUE"""),"KENDARAAN &amp; UNIT SUPPORT")</f>
        <v>KENDARAAN &amp; UNIT SUPPORT</v>
      </c>
      <c r="H501" s="18" t="str">
        <f>IFERROR(__xludf.DUMMYFUNCTION("""COMPUTED_VALUE"""),"2023-11-29 06.00.06")</f>
        <v>2023-11-29 06.00.06</v>
      </c>
      <c r="I501" s="18" t="str">
        <f>IFERROR(__xludf.DUMMYFUNCTION("""COMPUTED_VALUE"""),"2023-11-29 06.00.06")</f>
        <v>2023-11-29 06.00.06</v>
      </c>
      <c r="J501" s="36">
        <f>IFERROR(__xludf.DUMMYFUNCTION("""COMPUTED_VALUE"""),32288.0)</f>
        <v>32288</v>
      </c>
      <c r="K501" s="37" t="str">
        <f t="shared" si="1"/>
        <v>[206221653] UJANG SETIAWAN</v>
      </c>
    </row>
    <row r="502">
      <c r="A502" s="17">
        <f>IFERROR(__xludf.DUMMYFUNCTION("""COMPUTED_VALUE"""),1.09211493E8)</f>
        <v>109211493</v>
      </c>
      <c r="B502" s="18" t="str">
        <f>IFERROR(__xludf.DUMMYFUNCTION("""COMPUTED_VALUE"""),"VENDLY TADJAMAWO")</f>
        <v>VENDLY TADJAMAWO</v>
      </c>
      <c r="C502" s="18">
        <f>IFERROR(__xludf.DUMMYFUNCTION("""COMPUTED_VALUE"""),31.0)</f>
        <v>31</v>
      </c>
      <c r="D502" s="35" t="str">
        <f>IFERROR(__xludf.DUMMYFUNCTION("""COMPUTED_VALUE"""),"Kristen Protestan")</f>
        <v>Kristen Protestan</v>
      </c>
      <c r="E502" s="18" t="str">
        <f>IFERROR(__xludf.DUMMYFUNCTION("""COMPUTED_VALUE"""),"CV. SENTOSA ABADI")</f>
        <v>CV. SENTOSA ABADI</v>
      </c>
      <c r="F502" s="18" t="str">
        <f>IFERROR(__xludf.DUMMYFUNCTION("""COMPUTED_VALUE"""),"HELPER TYRE")</f>
        <v>HELPER TYRE</v>
      </c>
      <c r="G502" s="18" t="str">
        <f>IFERROR(__xludf.DUMMYFUNCTION("""COMPUTED_VALUE"""),"WORKSHOP")</f>
        <v>WORKSHOP</v>
      </c>
      <c r="H502" s="18" t="str">
        <f>IFERROR(__xludf.DUMMYFUNCTION("""COMPUTED_VALUE"""),"2023-11-30 07.06.48")</f>
        <v>2023-11-30 07.06.48</v>
      </c>
      <c r="I502" s="18" t="str">
        <f>IFERROR(__xludf.DUMMYFUNCTION("""COMPUTED_VALUE"""),"2023-11-30 22.02.36")</f>
        <v>2023-11-30 22.02.36</v>
      </c>
      <c r="J502" s="36"/>
      <c r="K502" s="37" t="str">
        <f t="shared" si="1"/>
        <v>[109211493] VENDLY TADJAMAWO</v>
      </c>
    </row>
    <row r="503">
      <c r="A503" s="17">
        <f>IFERROR(__xludf.DUMMYFUNCTION("""COMPUTED_VALUE"""),1.06160285E8)</f>
        <v>106160285</v>
      </c>
      <c r="B503" s="18" t="str">
        <f>IFERROR(__xludf.DUMMYFUNCTION("""COMPUTED_VALUE"""),"VIKTOR RARE`A")</f>
        <v>VIKTOR RARE`A</v>
      </c>
      <c r="C503" s="18">
        <f>IFERROR(__xludf.DUMMYFUNCTION("""COMPUTED_VALUE"""),28.0)</f>
        <v>28</v>
      </c>
      <c r="D503" s="35" t="str">
        <f>IFERROR(__xludf.DUMMYFUNCTION("""COMPUTED_VALUE"""),"Kristen Protestan")</f>
        <v>Kristen Protestan</v>
      </c>
      <c r="E503" s="18" t="str">
        <f>IFERROR(__xludf.DUMMYFUNCTION("""COMPUTED_VALUE"""),"CV. SENTOSA ABADI")</f>
        <v>CV. SENTOSA ABADI</v>
      </c>
      <c r="F503" s="18" t="str">
        <f>IFERROR(__xludf.DUMMYFUNCTION("""COMPUTED_VALUE"""),"FOREMAN PRODUKSI")</f>
        <v>FOREMAN PRODUKSI</v>
      </c>
      <c r="G503" s="18" t="str">
        <f>IFERROR(__xludf.DUMMYFUNCTION("""COMPUTED_VALUE"""),"PRODUKSI")</f>
        <v>PRODUKSI</v>
      </c>
      <c r="H503" s="18" t="str">
        <f>IFERROR(__xludf.DUMMYFUNCTION("""COMPUTED_VALUE"""),"2023-11-30 07.13.04")</f>
        <v>2023-11-30 07.13.04</v>
      </c>
      <c r="I503" s="18" t="str">
        <f>IFERROR(__xludf.DUMMYFUNCTION("""COMPUTED_VALUE"""),"2023-11-30 17.54.10")</f>
        <v>2023-11-30 17.54.10</v>
      </c>
      <c r="J503" s="36"/>
      <c r="K503" s="37" t="str">
        <f t="shared" si="1"/>
        <v>[106160285] VIKTOR RARE`A</v>
      </c>
    </row>
    <row r="504">
      <c r="A504" s="17">
        <f>IFERROR(__xludf.DUMMYFUNCTION("""COMPUTED_VALUE"""),1.11231858E8)</f>
        <v>111231858</v>
      </c>
      <c r="B504" s="18" t="str">
        <f>IFERROR(__xludf.DUMMYFUNCTION("""COMPUTED_VALUE"""),"WAHYU HADI PURNOMO")</f>
        <v>WAHYU HADI PURNOMO</v>
      </c>
      <c r="C504" s="18">
        <f>IFERROR(__xludf.DUMMYFUNCTION("""COMPUTED_VALUE"""),0.0)</f>
        <v>0</v>
      </c>
      <c r="D504" s="35"/>
      <c r="E504" s="18" t="str">
        <f>IFERROR(__xludf.DUMMYFUNCTION("""COMPUTED_VALUE"""),"CV. SENTOSA ABADI")</f>
        <v>CV. SENTOSA ABADI</v>
      </c>
      <c r="F504" s="18" t="str">
        <f>IFERROR(__xludf.DUMMYFUNCTION("""COMPUTED_VALUE"""),"CREW SURVEY")</f>
        <v>CREW SURVEY</v>
      </c>
      <c r="G504" s="18" t="str">
        <f>IFERROR(__xludf.DUMMYFUNCTION("""COMPUTED_VALUE"""),"MPE")</f>
        <v>MPE</v>
      </c>
      <c r="H504" s="18" t="str">
        <f>IFERROR(__xludf.DUMMYFUNCTION("""COMPUTED_VALUE"""),"2023-11-30 19.17.28")</f>
        <v>2023-11-30 19.17.28</v>
      </c>
      <c r="I504" s="18" t="str">
        <f>IFERROR(__xludf.DUMMYFUNCTION("""COMPUTED_VALUE"""),"2023-11-30 19.17.28")</f>
        <v>2023-11-30 19.17.28</v>
      </c>
      <c r="J504" s="36"/>
      <c r="K504" s="37" t="str">
        <f t="shared" si="1"/>
        <v>[111231858] WAHYU HADI PURNOMO</v>
      </c>
    </row>
    <row r="505">
      <c r="A505" s="17">
        <f>IFERROR(__xludf.DUMMYFUNCTION("""COMPUTED_VALUE"""),2.11180649E8)</f>
        <v>211180649</v>
      </c>
      <c r="B505" s="18" t="str">
        <f>IFERROR(__xludf.DUMMYFUNCTION("""COMPUTED_VALUE"""),"WAWAN IBRAHIM")</f>
        <v>WAWAN IBRAHIM</v>
      </c>
      <c r="C505" s="18">
        <f>IFERROR(__xludf.DUMMYFUNCTION("""COMPUTED_VALUE"""),30.0)</f>
        <v>30</v>
      </c>
      <c r="D505" s="35" t="str">
        <f>IFERROR(__xludf.DUMMYFUNCTION("""COMPUTED_VALUE"""),"Islam")</f>
        <v>Islam</v>
      </c>
      <c r="E505" s="18" t="str">
        <f>IFERROR(__xludf.DUMMYFUNCTION("""COMPUTED_VALUE"""),"CV. Adil Prima Perkasa")</f>
        <v>CV. Adil Prima Perkasa</v>
      </c>
      <c r="F505" s="18" t="str">
        <f>IFERROR(__xludf.DUMMYFUNCTION("""COMPUTED_VALUE"""),"CHECKER PRODUKSI")</f>
        <v>CHECKER PRODUKSI</v>
      </c>
      <c r="G505" s="18" t="str">
        <f>IFERROR(__xludf.DUMMYFUNCTION("""COMPUTED_VALUE"""),"PRODUKSI")</f>
        <v>PRODUKSI</v>
      </c>
      <c r="H505" s="18" t="str">
        <f>IFERROR(__xludf.DUMMYFUNCTION("""COMPUTED_VALUE"""),"2023-11-29 06.47.54")</f>
        <v>2023-11-29 06.47.54</v>
      </c>
      <c r="I505" s="18" t="str">
        <f>IFERROR(__xludf.DUMMYFUNCTION("""COMPUTED_VALUE"""),"2023-11-29 20.53.23")</f>
        <v>2023-11-29 20.53.23</v>
      </c>
      <c r="J505" s="36"/>
      <c r="K505" s="37" t="str">
        <f t="shared" si="1"/>
        <v>[211180649] WAWAN IBRAHIM</v>
      </c>
    </row>
    <row r="506">
      <c r="A506" s="17">
        <f>IFERROR(__xludf.DUMMYFUNCTION("""COMPUTED_VALUE"""),2.09231833E8)</f>
        <v>209231833</v>
      </c>
      <c r="B506" s="18" t="str">
        <f>IFERROR(__xludf.DUMMYFUNCTION("""COMPUTED_VALUE"""),"WELYANTO POHU")</f>
        <v>WELYANTO POHU</v>
      </c>
      <c r="C506" s="18">
        <f>IFERROR(__xludf.DUMMYFUNCTION("""COMPUTED_VALUE"""),0.0)</f>
        <v>0</v>
      </c>
      <c r="D506" s="35" t="str">
        <f>IFERROR(__xludf.DUMMYFUNCTION("""COMPUTED_VALUE"""),"Kristen Protestan")</f>
        <v>Kristen Protestan</v>
      </c>
      <c r="E506" s="18" t="str">
        <f>IFERROR(__xludf.DUMMYFUNCTION("""COMPUTED_VALUE"""),"CV. Adil Prima Perkasa")</f>
        <v>CV. Adil Prima Perkasa</v>
      </c>
      <c r="F506" s="18" t="str">
        <f>IFERROR(__xludf.DUMMYFUNCTION("""COMPUTED_VALUE"""),"DRIVER LV")</f>
        <v>DRIVER LV</v>
      </c>
      <c r="G506" s="18" t="str">
        <f>IFERROR(__xludf.DUMMYFUNCTION("""COMPUTED_VALUE"""),"KENDARAAN &amp; UNIT SUPPORT")</f>
        <v>KENDARAAN &amp; UNIT SUPPORT</v>
      </c>
      <c r="H506" s="18" t="str">
        <f>IFERROR(__xludf.DUMMYFUNCTION("""COMPUTED_VALUE"""),"2024-03-31 05.25.45")</f>
        <v>2024-03-31 05.25.45</v>
      </c>
      <c r="I506" s="18" t="str">
        <f>IFERROR(__xludf.DUMMYFUNCTION("""COMPUTED_VALUE"""),"2024-03-31 20.18.04")</f>
        <v>2024-03-31 20.18.04</v>
      </c>
      <c r="J506" s="36">
        <f>IFERROR(__xludf.DUMMYFUNCTION("""COMPUTED_VALUE"""),30929.0)</f>
        <v>30929</v>
      </c>
      <c r="K506" s="37" t="str">
        <f t="shared" si="1"/>
        <v>[209231833] WELYANTO POHU</v>
      </c>
    </row>
    <row r="507">
      <c r="A507" s="17">
        <f>IFERROR(__xludf.DUMMYFUNCTION("""COMPUTED_VALUE"""),2.04190812E8)</f>
        <v>204190812</v>
      </c>
      <c r="B507" s="18" t="str">
        <f>IFERROR(__xludf.DUMMYFUNCTION("""COMPUTED_VALUE"""),"WENI PASAMBAKA")</f>
        <v>WENI PASAMBAKA</v>
      </c>
      <c r="C507" s="18">
        <f>IFERROR(__xludf.DUMMYFUNCTION("""COMPUTED_VALUE"""),55.0)</f>
        <v>55</v>
      </c>
      <c r="D507" s="35" t="str">
        <f>IFERROR(__xludf.DUMMYFUNCTION("""COMPUTED_VALUE"""),"Kristen Protestan")</f>
        <v>Kristen Protestan</v>
      </c>
      <c r="E507" s="18" t="str">
        <f>IFERROR(__xludf.DUMMYFUNCTION("""COMPUTED_VALUE"""),"CV. Adil Prima Perkasa")</f>
        <v>CV. Adil Prima Perkasa</v>
      </c>
      <c r="F507" s="18" t="str">
        <f>IFERROR(__xludf.DUMMYFUNCTION("""COMPUTED_VALUE"""),"DRIVER DT H700ZY")</f>
        <v>DRIVER DT H700ZY</v>
      </c>
      <c r="G507" s="18" t="str">
        <f>IFERROR(__xludf.DUMMYFUNCTION("""COMPUTED_VALUE"""),"KENDARAAN &amp; UNIT SUPPORT")</f>
        <v>KENDARAAN &amp; UNIT SUPPORT</v>
      </c>
      <c r="H507" s="18" t="str">
        <f>IFERROR(__xludf.DUMMYFUNCTION("""COMPUTED_VALUE"""),"2024-03-16 04.57.07")</f>
        <v>2024-03-16 04.57.07</v>
      </c>
      <c r="I507" s="18" t="str">
        <f>IFERROR(__xludf.DUMMYFUNCTION("""COMPUTED_VALUE"""),"2024-03-16 04.57.07")</f>
        <v>2024-03-16 04.57.07</v>
      </c>
      <c r="J507" s="36">
        <f>IFERROR(__xludf.DUMMYFUNCTION("""COMPUTED_VALUE"""),25127.0)</f>
        <v>25127</v>
      </c>
      <c r="K507" s="37" t="str">
        <f t="shared" si="1"/>
        <v>[204190812] WENI PASAMBAKA</v>
      </c>
    </row>
    <row r="508">
      <c r="A508" s="17">
        <f>IFERROR(__xludf.DUMMYFUNCTION("""COMPUTED_VALUE"""),2.10191092E8)</f>
        <v>210191092</v>
      </c>
      <c r="B508" s="18" t="str">
        <f>IFERROR(__xludf.DUMMYFUNCTION("""COMPUTED_VALUE"""),"WILHELMUS WAWO")</f>
        <v>WILHELMUS WAWO</v>
      </c>
      <c r="C508" s="18">
        <f>IFERROR(__xludf.DUMMYFUNCTION("""COMPUTED_VALUE"""),26.0)</f>
        <v>26</v>
      </c>
      <c r="D508" s="35" t="str">
        <f>IFERROR(__xludf.DUMMYFUNCTION("""COMPUTED_VALUE"""),"Kristen Protestan")</f>
        <v>Kristen Protestan</v>
      </c>
      <c r="E508" s="18" t="str">
        <f>IFERROR(__xludf.DUMMYFUNCTION("""COMPUTED_VALUE"""),"CV. Adil Prima Perkasa")</f>
        <v>CV. Adil Prima Perkasa</v>
      </c>
      <c r="F508" s="18" t="str">
        <f>IFERROR(__xludf.DUMMYFUNCTION("""COMPUTED_VALUE"""),"OPERATOR BULLDOZER")</f>
        <v>OPERATOR BULLDOZER</v>
      </c>
      <c r="G508" s="18" t="str">
        <f>IFERROR(__xludf.DUMMYFUNCTION("""COMPUTED_VALUE"""),"PRODUKSI")</f>
        <v>PRODUKSI</v>
      </c>
      <c r="H508" s="18"/>
      <c r="I508" s="18"/>
      <c r="J508" s="36"/>
      <c r="K508" s="37" t="str">
        <f t="shared" si="1"/>
        <v/>
      </c>
    </row>
    <row r="509">
      <c r="A509" s="17"/>
      <c r="B509" s="18" t="str">
        <f>IFERROR(__xludf.DUMMYFUNCTION("""COMPUTED_VALUE"""),"WILL")</f>
        <v>WILL</v>
      </c>
      <c r="C509" s="18">
        <f>IFERROR(__xludf.DUMMYFUNCTION("""COMPUTED_VALUE"""),0.0)</f>
        <v>0</v>
      </c>
      <c r="D509" s="35"/>
      <c r="E509" s="18" t="str">
        <f>IFERROR(__xludf.DUMMYFUNCTION("""COMPUTED_VALUE"""),"CV. SENTOSA ABADI")</f>
        <v>CV. SENTOSA ABADI</v>
      </c>
      <c r="F509" s="18" t="str">
        <f>IFERROR(__xludf.DUMMYFUNCTION("""COMPUTED_VALUE"""),"FALSE")</f>
        <v>FALSE</v>
      </c>
      <c r="G509" s="18" t="str">
        <f>IFERROR(__xludf.DUMMYFUNCTION("""COMPUTED_VALUE"""),"FALSE")</f>
        <v>FALSE</v>
      </c>
      <c r="H509" s="18"/>
      <c r="I509" s="18"/>
      <c r="J509" s="36"/>
      <c r="K509" s="37" t="str">
        <f t="shared" si="1"/>
        <v/>
      </c>
    </row>
    <row r="510">
      <c r="A510" s="17">
        <f>IFERROR(__xludf.DUMMYFUNCTION("""COMPUTED_VALUE"""),2.02221593E8)</f>
        <v>202221593</v>
      </c>
      <c r="B510" s="18" t="str">
        <f>IFERROR(__xludf.DUMMYFUNCTION("""COMPUTED_VALUE"""),"WILLIAM HANDRI O")</f>
        <v>WILLIAM HANDRI O</v>
      </c>
      <c r="C510" s="18">
        <f>IFERROR(__xludf.DUMMYFUNCTION("""COMPUTED_VALUE"""),25.0)</f>
        <v>25</v>
      </c>
      <c r="D510" s="35" t="str">
        <f>IFERROR(__xludf.DUMMYFUNCTION("""COMPUTED_VALUE"""),"Kristen Protestan")</f>
        <v>Kristen Protestan</v>
      </c>
      <c r="E510" s="18" t="str">
        <f>IFERROR(__xludf.DUMMYFUNCTION("""COMPUTED_VALUE"""),"CV. Adil Prima Perkasa")</f>
        <v>CV. Adil Prima Perkasa</v>
      </c>
      <c r="F510" s="18" t="str">
        <f>IFERROR(__xludf.DUMMYFUNCTION("""COMPUTED_VALUE"""),"DRIVER LV")</f>
        <v>DRIVER LV</v>
      </c>
      <c r="G510" s="18" t="str">
        <f>IFERROR(__xludf.DUMMYFUNCTION("""COMPUTED_VALUE"""),"KENDARAAN &amp; UNIT SUPPORT")</f>
        <v>KENDARAAN &amp; UNIT SUPPORT</v>
      </c>
      <c r="H510" s="18" t="str">
        <f>IFERROR(__xludf.DUMMYFUNCTION("""COMPUTED_VALUE"""),"2024-03-31 05.49.01")</f>
        <v>2024-03-31 05.49.01</v>
      </c>
      <c r="I510" s="18" t="str">
        <f>IFERROR(__xludf.DUMMYFUNCTION("""COMPUTED_VALUE"""),"2024-03-31 22.14.55")</f>
        <v>2024-03-31 22.14.55</v>
      </c>
      <c r="J510" s="36"/>
      <c r="K510" s="37" t="str">
        <f t="shared" si="1"/>
        <v>[202221593] WILLIAM HANDRI O</v>
      </c>
    </row>
    <row r="511">
      <c r="A511" s="17">
        <f>IFERROR(__xludf.DUMMYFUNCTION("""COMPUTED_VALUE"""),2.10180648E8)</f>
        <v>210180648</v>
      </c>
      <c r="B511" s="18" t="str">
        <f>IFERROR(__xludf.DUMMYFUNCTION("""COMPUTED_VALUE"""),"WIWIN")</f>
        <v>WIWIN</v>
      </c>
      <c r="C511" s="18">
        <f>IFERROR(__xludf.DUMMYFUNCTION("""COMPUTED_VALUE"""),23.0)</f>
        <v>23</v>
      </c>
      <c r="D511" s="35" t="str">
        <f>IFERROR(__xludf.DUMMYFUNCTION("""COMPUTED_VALUE"""),"Kristen Protestan")</f>
        <v>Kristen Protestan</v>
      </c>
      <c r="E511" s="18" t="str">
        <f>IFERROR(__xludf.DUMMYFUNCTION("""COMPUTED_VALUE"""),"CV. Adil Prima Perkasa")</f>
        <v>CV. Adil Prima Perkasa</v>
      </c>
      <c r="F511" s="18" t="str">
        <f>IFERROR(__xludf.DUMMYFUNCTION("""COMPUTED_VALUE"""),"ASISTEN SURVEYOR")</f>
        <v>ASISTEN SURVEYOR</v>
      </c>
      <c r="G511" s="18" t="str">
        <f>IFERROR(__xludf.DUMMYFUNCTION("""COMPUTED_VALUE"""),"MPE")</f>
        <v>MPE</v>
      </c>
      <c r="H511" s="18" t="str">
        <f>IFERROR(__xludf.DUMMYFUNCTION("""COMPUTED_VALUE"""),"2023-11-30 21.32.53")</f>
        <v>2023-11-30 21.32.53</v>
      </c>
      <c r="I511" s="18" t="str">
        <f>IFERROR(__xludf.DUMMYFUNCTION("""COMPUTED_VALUE"""),"2023-11-30 21.32.53")</f>
        <v>2023-11-30 21.32.53</v>
      </c>
      <c r="J511" s="36"/>
      <c r="K511" s="37" t="str">
        <f t="shared" si="1"/>
        <v>[210180648] WIWIN</v>
      </c>
    </row>
    <row r="512">
      <c r="A512" s="17">
        <f>IFERROR(__xludf.DUMMYFUNCTION("""COMPUTED_VALUE"""),1.09191065E8)</f>
        <v>109191065</v>
      </c>
      <c r="B512" s="18" t="str">
        <f>IFERROR(__xludf.DUMMYFUNCTION("""COMPUTED_VALUE"""),"YAFET SUMBOUW")</f>
        <v>YAFET SUMBOUW</v>
      </c>
      <c r="C512" s="18">
        <f>IFERROR(__xludf.DUMMYFUNCTION("""COMPUTED_VALUE"""),35.0)</f>
        <v>35</v>
      </c>
      <c r="D512" s="35" t="str">
        <f>IFERROR(__xludf.DUMMYFUNCTION("""COMPUTED_VALUE"""),"Kristen Protestan")</f>
        <v>Kristen Protestan</v>
      </c>
      <c r="E512" s="18" t="str">
        <f>IFERROR(__xludf.DUMMYFUNCTION("""COMPUTED_VALUE"""),"CV. SENTOSA ABADI")</f>
        <v>CV. SENTOSA ABADI</v>
      </c>
      <c r="F512" s="18" t="str">
        <f>IFERROR(__xludf.DUMMYFUNCTION("""COMPUTED_VALUE"""),"OPERATOR EXCAVATOR")</f>
        <v>OPERATOR EXCAVATOR</v>
      </c>
      <c r="G512" s="18" t="str">
        <f>IFERROR(__xludf.DUMMYFUNCTION("""COMPUTED_VALUE"""),"PRODUKSI")</f>
        <v>PRODUKSI</v>
      </c>
      <c r="H512" s="18" t="str">
        <f>IFERROR(__xludf.DUMMYFUNCTION("""COMPUTED_VALUE"""),"2023-11-30 05.27.40")</f>
        <v>2023-11-30 05.27.40</v>
      </c>
      <c r="I512" s="18" t="str">
        <f>IFERROR(__xludf.DUMMYFUNCTION("""COMPUTED_VALUE"""),"2023-11-30 05.27.40")</f>
        <v>2023-11-30 05.27.40</v>
      </c>
      <c r="J512" s="36"/>
      <c r="K512" s="37" t="str">
        <f t="shared" si="1"/>
        <v>[109191065] YAFET SUMBOUW</v>
      </c>
    </row>
    <row r="513">
      <c r="A513" s="17">
        <f>IFERROR(__xludf.DUMMYFUNCTION("""COMPUTED_VALUE"""),2.12231874E8)</f>
        <v>212231874</v>
      </c>
      <c r="B513" s="18" t="str">
        <f>IFERROR(__xludf.DUMMYFUNCTION("""COMPUTED_VALUE"""),"YAKMAN SUMA")</f>
        <v>YAKMAN SUMA</v>
      </c>
      <c r="C513" s="18">
        <f>IFERROR(__xludf.DUMMYFUNCTION("""COMPUTED_VALUE"""),45.0)</f>
        <v>45</v>
      </c>
      <c r="D513" s="35" t="str">
        <f>IFERROR(__xludf.DUMMYFUNCTION("""COMPUTED_VALUE"""),"Islam")</f>
        <v>Islam</v>
      </c>
      <c r="E513" s="18" t="str">
        <f>IFERROR(__xludf.DUMMYFUNCTION("""COMPUTED_VALUE"""),"CV. Adil Prima Perkasa")</f>
        <v>CV. Adil Prima Perkasa</v>
      </c>
      <c r="F513" s="18" t="str">
        <f>IFERROR(__xludf.DUMMYFUNCTION("""COMPUTED_VALUE"""),"FOREMAN GRADE CONTROL")</f>
        <v>FOREMAN GRADE CONTROL</v>
      </c>
      <c r="G513" s="18" t="str">
        <f>IFERROR(__xludf.DUMMYFUNCTION("""COMPUTED_VALUE"""),"GRADE CONTROL")</f>
        <v>GRADE CONTROL</v>
      </c>
      <c r="H513" s="18" t="str">
        <f>IFERROR(__xludf.DUMMYFUNCTION("""COMPUTED_VALUE"""),"2023-11-29 06.49.49")</f>
        <v>2023-11-29 06.49.49</v>
      </c>
      <c r="I513" s="18" t="str">
        <f>IFERROR(__xludf.DUMMYFUNCTION("""COMPUTED_VALUE"""),"2023-11-29 06.53.13")</f>
        <v>2023-11-29 06.53.13</v>
      </c>
      <c r="J513" s="36">
        <f>IFERROR(__xludf.DUMMYFUNCTION("""COMPUTED_VALUE"""),32162.0)</f>
        <v>32162</v>
      </c>
      <c r="K513" s="37" t="str">
        <f t="shared" si="1"/>
        <v>[212231874] YAKMAN SUMA</v>
      </c>
    </row>
    <row r="514">
      <c r="A514" s="17">
        <f>IFERROR(__xludf.DUMMYFUNCTION("""COMPUTED_VALUE"""),3.12200034E8)</f>
        <v>312200034</v>
      </c>
      <c r="B514" s="18" t="str">
        <f>IFERROR(__xludf.DUMMYFUNCTION("""COMPUTED_VALUE"""),"YAKUB")</f>
        <v>YAKUB</v>
      </c>
      <c r="C514" s="18">
        <f>IFERROR(__xludf.DUMMYFUNCTION("""COMPUTED_VALUE"""),37.0)</f>
        <v>37</v>
      </c>
      <c r="D514" s="35" t="str">
        <f>IFERROR(__xludf.DUMMYFUNCTION("""COMPUTED_VALUE"""),"Kristen Protestan")</f>
        <v>Kristen Protestan</v>
      </c>
      <c r="E514" s="18" t="str">
        <f>IFERROR(__xludf.DUMMYFUNCTION("""COMPUTED_VALUE"""),"CV. Monalisa")</f>
        <v>CV. Monalisa</v>
      </c>
      <c r="F514" s="18" t="str">
        <f>IFERROR(__xludf.DUMMYFUNCTION("""COMPUTED_VALUE"""),"OPERATOR BULLDOZER")</f>
        <v>OPERATOR BULLDOZER</v>
      </c>
      <c r="G514" s="18" t="str">
        <f>IFERROR(__xludf.DUMMYFUNCTION("""COMPUTED_VALUE"""),"PRODUKSI")</f>
        <v>PRODUKSI</v>
      </c>
      <c r="H514" s="18"/>
      <c r="I514" s="18"/>
      <c r="J514" s="36"/>
      <c r="K514" s="37" t="str">
        <f t="shared" si="1"/>
        <v/>
      </c>
    </row>
    <row r="515">
      <c r="A515" s="17">
        <f>IFERROR(__xludf.DUMMYFUNCTION("""COMPUTED_VALUE"""),2.05241931E8)</f>
        <v>205241931</v>
      </c>
      <c r="B515" s="18" t="str">
        <f>IFERROR(__xludf.DUMMYFUNCTION("""COMPUTED_VALUE"""),"YAKUB")</f>
        <v>YAKUB</v>
      </c>
      <c r="C515" s="18">
        <f>IFERROR(__xludf.DUMMYFUNCTION("""COMPUTED_VALUE"""),0.0)</f>
        <v>0</v>
      </c>
      <c r="D515" s="35"/>
      <c r="E515" s="18" t="str">
        <f>IFERROR(__xludf.DUMMYFUNCTION("""COMPUTED_VALUE"""),"CV. Adil Prima Perkasa")</f>
        <v>CV. Adil Prima Perkasa</v>
      </c>
      <c r="F515" s="18" t="str">
        <f>IFERROR(__xludf.DUMMYFUNCTION("""COMPUTED_VALUE"""),"OPERATOR BULLDOZER")</f>
        <v>OPERATOR BULLDOZER</v>
      </c>
      <c r="G515" s="18" t="str">
        <f>IFERROR(__xludf.DUMMYFUNCTION("""COMPUTED_VALUE"""),"PRODUKSI")</f>
        <v>PRODUKSI</v>
      </c>
      <c r="H515" s="18"/>
      <c r="I515" s="18"/>
      <c r="J515" s="36"/>
      <c r="K515" s="37" t="str">
        <f t="shared" si="1"/>
        <v/>
      </c>
    </row>
    <row r="516">
      <c r="A516" s="17">
        <f>IFERROR(__xludf.DUMMYFUNCTION("""COMPUTED_VALUE"""),2.10221685E8)</f>
        <v>210221685</v>
      </c>
      <c r="B516" s="18" t="str">
        <f>IFERROR(__xludf.DUMMYFUNCTION("""COMPUTED_VALUE"""),"YALDI MAULANA GUMELAR")</f>
        <v>YALDI MAULANA GUMELAR</v>
      </c>
      <c r="C516" s="18">
        <f>IFERROR(__xludf.DUMMYFUNCTION("""COMPUTED_VALUE"""),26.0)</f>
        <v>26</v>
      </c>
      <c r="D516" s="35" t="str">
        <f>IFERROR(__xludf.DUMMYFUNCTION("""COMPUTED_VALUE"""),"Islam")</f>
        <v>Islam</v>
      </c>
      <c r="E516" s="18" t="str">
        <f>IFERROR(__xludf.DUMMYFUNCTION("""COMPUTED_VALUE"""),"CV. Adil Prima Perkasa")</f>
        <v>CV. Adil Prima Perkasa</v>
      </c>
      <c r="F516" s="18" t="str">
        <f>IFERROR(__xludf.DUMMYFUNCTION("""COMPUTED_VALUE"""),"ASISTEN SURVEYOR")</f>
        <v>ASISTEN SURVEYOR</v>
      </c>
      <c r="G516" s="18" t="str">
        <f>IFERROR(__xludf.DUMMYFUNCTION("""COMPUTED_VALUE"""),"MPE")</f>
        <v>MPE</v>
      </c>
      <c r="H516" s="18" t="str">
        <f>IFERROR(__xludf.DUMMYFUNCTION("""COMPUTED_VALUE"""),"2023-11-30 07.11.55")</f>
        <v>2023-11-30 07.11.55</v>
      </c>
      <c r="I516" s="18" t="str">
        <f>IFERROR(__xludf.DUMMYFUNCTION("""COMPUTED_VALUE"""),"2023-11-30 21.40.40")</f>
        <v>2023-11-30 21.40.40</v>
      </c>
      <c r="J516" s="36"/>
      <c r="K516" s="37" t="str">
        <f t="shared" si="1"/>
        <v>[210221685] YALDI MAULANA GUMELAR</v>
      </c>
    </row>
    <row r="517">
      <c r="A517" s="17">
        <f>IFERROR(__xludf.DUMMYFUNCTION("""COMPUTED_VALUE"""),1.0619092E8)</f>
        <v>106190920</v>
      </c>
      <c r="B517" s="18" t="str">
        <f>IFERROR(__xludf.DUMMYFUNCTION("""COMPUTED_VALUE"""),"YAMIN")</f>
        <v>YAMIN</v>
      </c>
      <c r="C517" s="18">
        <f>IFERROR(__xludf.DUMMYFUNCTION("""COMPUTED_VALUE"""),29.0)</f>
        <v>29</v>
      </c>
      <c r="D517" s="35" t="str">
        <f>IFERROR(__xludf.DUMMYFUNCTION("""COMPUTED_VALUE"""),"Islam")</f>
        <v>Islam</v>
      </c>
      <c r="E517" s="18" t="str">
        <f>IFERROR(__xludf.DUMMYFUNCTION("""COMPUTED_VALUE"""),"CV. SENTOSA ABADI")</f>
        <v>CV. SENTOSA ABADI</v>
      </c>
      <c r="F517" s="18" t="str">
        <f>IFERROR(__xludf.DUMMYFUNCTION("""COMPUTED_VALUE"""),"OPERATOR EXCAVATOR")</f>
        <v>OPERATOR EXCAVATOR</v>
      </c>
      <c r="G517" s="18" t="str">
        <f>IFERROR(__xludf.DUMMYFUNCTION("""COMPUTED_VALUE"""),"PRODUKSI")</f>
        <v>PRODUKSI</v>
      </c>
      <c r="H517" s="18" t="str">
        <f>IFERROR(__xludf.DUMMYFUNCTION("""COMPUTED_VALUE"""),"2023-11-30 06.38.58")</f>
        <v>2023-11-30 06.38.58</v>
      </c>
      <c r="I517" s="18" t="str">
        <f>IFERROR(__xludf.DUMMYFUNCTION("""COMPUTED_VALUE"""),"2023-11-30 06.38.58")</f>
        <v>2023-11-30 06.38.58</v>
      </c>
      <c r="J517" s="36">
        <f>IFERROR(__xludf.DUMMYFUNCTION("""COMPUTED_VALUE"""),35554.0)</f>
        <v>35554</v>
      </c>
      <c r="K517" s="37" t="str">
        <f t="shared" si="1"/>
        <v>[106190920] YAMIN</v>
      </c>
    </row>
    <row r="518">
      <c r="A518" s="17">
        <f>IFERROR(__xludf.DUMMYFUNCTION("""COMPUTED_VALUE"""),2.0321135E8)</f>
        <v>203211350</v>
      </c>
      <c r="B518" s="18" t="str">
        <f>IFERROR(__xludf.DUMMYFUNCTION("""COMPUTED_VALUE"""),"YAMTAR R")</f>
        <v>YAMTAR R</v>
      </c>
      <c r="C518" s="18">
        <f>IFERROR(__xludf.DUMMYFUNCTION("""COMPUTED_VALUE"""),43.0)</f>
        <v>43</v>
      </c>
      <c r="D518" s="35" t="str">
        <f>IFERROR(__xludf.DUMMYFUNCTION("""COMPUTED_VALUE"""),"Islam")</f>
        <v>Islam</v>
      </c>
      <c r="E518" s="18" t="str">
        <f>IFERROR(__xludf.DUMMYFUNCTION("""COMPUTED_VALUE"""),"CV. Adil Prima Perkasa")</f>
        <v>CV. Adil Prima Perkasa</v>
      </c>
      <c r="F518" s="18" t="str">
        <f>IFERROR(__xludf.DUMMYFUNCTION("""COMPUTED_VALUE"""),"OPERATOR EXCAVATOR")</f>
        <v>OPERATOR EXCAVATOR</v>
      </c>
      <c r="G518" s="18" t="str">
        <f>IFERROR(__xludf.DUMMYFUNCTION("""COMPUTED_VALUE"""),"PRODUKSI")</f>
        <v>PRODUKSI</v>
      </c>
      <c r="H518" s="18" t="str">
        <f>IFERROR(__xludf.DUMMYFUNCTION("""COMPUTED_VALUE"""),"2023-11-30 06.11.41")</f>
        <v>2023-11-30 06.11.41</v>
      </c>
      <c r="I518" s="18" t="str">
        <f>IFERROR(__xludf.DUMMYFUNCTION("""COMPUTED_VALUE"""),"2023-11-30 06.11.41")</f>
        <v>2023-11-30 06.11.41</v>
      </c>
      <c r="J518" s="36"/>
      <c r="K518" s="37" t="str">
        <f t="shared" si="1"/>
        <v>[203211350] YAMTAR R</v>
      </c>
    </row>
    <row r="519">
      <c r="A519" s="17">
        <f>IFERROR(__xludf.DUMMYFUNCTION("""COMPUTED_VALUE"""),2.06231789E8)</f>
        <v>206231789</v>
      </c>
      <c r="B519" s="18" t="str">
        <f>IFERROR(__xludf.DUMMYFUNCTION("""COMPUTED_VALUE"""),"YANCE EFENDI SOLEMAN NUSA")</f>
        <v>YANCE EFENDI SOLEMAN NUSA</v>
      </c>
      <c r="C519" s="18">
        <f>IFERROR(__xludf.DUMMYFUNCTION("""COMPUTED_VALUE"""),40.0)</f>
        <v>40</v>
      </c>
      <c r="D519" s="35" t="str">
        <f>IFERROR(__xludf.DUMMYFUNCTION("""COMPUTED_VALUE"""),"Kristen Protestan")</f>
        <v>Kristen Protestan</v>
      </c>
      <c r="E519" s="18" t="str">
        <f>IFERROR(__xludf.DUMMYFUNCTION("""COMPUTED_VALUE"""),"CV. Adil Prima Perkasa")</f>
        <v>CV. Adil Prima Perkasa</v>
      </c>
      <c r="F519" s="18" t="str">
        <f>IFERROR(__xludf.DUMMYFUNCTION("""COMPUTED_VALUE"""),"OPERATOR EXCAVATOR")</f>
        <v>OPERATOR EXCAVATOR</v>
      </c>
      <c r="G519" s="18" t="str">
        <f>IFERROR(__xludf.DUMMYFUNCTION("""COMPUTED_VALUE"""),"PRODUKSI")</f>
        <v>PRODUKSI</v>
      </c>
      <c r="H519" s="18" t="str">
        <f>IFERROR(__xludf.DUMMYFUNCTION("""COMPUTED_VALUE"""),"2023-12-30 05.10.55")</f>
        <v>2023-12-30 05.10.55</v>
      </c>
      <c r="I519" s="18" t="str">
        <f>IFERROR(__xludf.DUMMYFUNCTION("""COMPUTED_VALUE"""),"2023-12-30 16.28.29")</f>
        <v>2023-12-30 16.28.29</v>
      </c>
      <c r="J519" s="36">
        <f>IFERROR(__xludf.DUMMYFUNCTION("""COMPUTED_VALUE"""),31397.0)</f>
        <v>31397</v>
      </c>
      <c r="K519" s="37" t="str">
        <f t="shared" si="1"/>
        <v>[206231789] YANCE EFENDI SOLEMAN NUSA</v>
      </c>
    </row>
    <row r="520">
      <c r="A520" s="17">
        <f>IFERROR(__xludf.DUMMYFUNCTION("""COMPUTED_VALUE"""),1.11211529E8)</f>
        <v>111211529</v>
      </c>
      <c r="B520" s="18" t="str">
        <f>IFERROR(__xludf.DUMMYFUNCTION("""COMPUTED_VALUE"""),"YANIS OTOLUWA")</f>
        <v>YANIS OTOLUWA</v>
      </c>
      <c r="C520" s="18">
        <f>IFERROR(__xludf.DUMMYFUNCTION("""COMPUTED_VALUE"""),38.0)</f>
        <v>38</v>
      </c>
      <c r="D520" s="35" t="str">
        <f>IFERROR(__xludf.DUMMYFUNCTION("""COMPUTED_VALUE"""),"Islam")</f>
        <v>Islam</v>
      </c>
      <c r="E520" s="18" t="str">
        <f>IFERROR(__xludf.DUMMYFUNCTION("""COMPUTED_VALUE"""),"CV. SENTOSA ABADI")</f>
        <v>CV. SENTOSA ABADI</v>
      </c>
      <c r="F520" s="18" t="str">
        <f>IFERROR(__xludf.DUMMYFUNCTION("""COMPUTED_VALUE"""),"DRIVER DT H700ZS")</f>
        <v>DRIVER DT H700ZS</v>
      </c>
      <c r="G520" s="18" t="str">
        <f>IFERROR(__xludf.DUMMYFUNCTION("""COMPUTED_VALUE"""),"KENDARAAN &amp; UNIT SUPPORT")</f>
        <v>KENDARAAN &amp; UNIT SUPPORT</v>
      </c>
      <c r="H520" s="18" t="str">
        <f>IFERROR(__xludf.DUMMYFUNCTION("""COMPUTED_VALUE"""),"2024-03-31 03.25.06")</f>
        <v>2024-03-31 03.25.06</v>
      </c>
      <c r="I520" s="18" t="str">
        <f>IFERROR(__xludf.DUMMYFUNCTION("""COMPUTED_VALUE"""),"2024-03-31 17.27.52")</f>
        <v>2024-03-31 17.27.52</v>
      </c>
      <c r="J520" s="36">
        <f>IFERROR(__xludf.DUMMYFUNCTION("""COMPUTED_VALUE"""),31466.0)</f>
        <v>31466</v>
      </c>
      <c r="K520" s="37" t="str">
        <f t="shared" si="1"/>
        <v>[111211529] YANIS OTOLUWA</v>
      </c>
    </row>
    <row r="521">
      <c r="A521" s="17">
        <f>IFERROR(__xludf.DUMMYFUNCTION("""COMPUTED_VALUE"""),1.04190916E8)</f>
        <v>104190916</v>
      </c>
      <c r="B521" s="18" t="str">
        <f>IFERROR(__xludf.DUMMYFUNCTION("""COMPUTED_VALUE"""),"YASMIN AKUBA")</f>
        <v>YASMIN AKUBA</v>
      </c>
      <c r="C521" s="18">
        <f>IFERROR(__xludf.DUMMYFUNCTION("""COMPUTED_VALUE"""),49.0)</f>
        <v>49</v>
      </c>
      <c r="D521" s="35" t="str">
        <f>IFERROR(__xludf.DUMMYFUNCTION("""COMPUTED_VALUE"""),"Islam")</f>
        <v>Islam</v>
      </c>
      <c r="E521" s="18" t="str">
        <f>IFERROR(__xludf.DUMMYFUNCTION("""COMPUTED_VALUE"""),"CV. SENTOSA ABADI")</f>
        <v>CV. SENTOSA ABADI</v>
      </c>
      <c r="F521" s="18" t="str">
        <f>IFERROR(__xludf.DUMMYFUNCTION("""COMPUTED_VALUE"""),"MEKANIK")</f>
        <v>MEKANIK</v>
      </c>
      <c r="G521" s="18" t="str">
        <f>IFERROR(__xludf.DUMMYFUNCTION("""COMPUTED_VALUE"""),"WORKSHOP")</f>
        <v>WORKSHOP</v>
      </c>
      <c r="H521" s="18" t="str">
        <f>IFERROR(__xludf.DUMMYFUNCTION("""COMPUTED_VALUE"""),"2023-11-30 05.35.20")</f>
        <v>2023-11-30 05.35.20</v>
      </c>
      <c r="I521" s="18" t="str">
        <f>IFERROR(__xludf.DUMMYFUNCTION("""COMPUTED_VALUE"""),"2023-11-30 16.21.37")</f>
        <v>2023-11-30 16.21.37</v>
      </c>
      <c r="J521" s="36">
        <f>IFERROR(__xludf.DUMMYFUNCTION("""COMPUTED_VALUE"""),29407.0)</f>
        <v>29407</v>
      </c>
      <c r="K521" s="37" t="str">
        <f t="shared" si="1"/>
        <v>[104190916] YASMIN AKUBA</v>
      </c>
    </row>
    <row r="522">
      <c r="A522" s="17">
        <f>IFERROR(__xludf.DUMMYFUNCTION("""COMPUTED_VALUE"""),1.01211334E8)</f>
        <v>101211334</v>
      </c>
      <c r="B522" s="18" t="str">
        <f>IFERROR(__xludf.DUMMYFUNCTION("""COMPUTED_VALUE"""),"YATMAN F PANGANDE")</f>
        <v>YATMAN F PANGANDE</v>
      </c>
      <c r="C522" s="18">
        <f>IFERROR(__xludf.DUMMYFUNCTION("""COMPUTED_VALUE"""),51.0)</f>
        <v>51</v>
      </c>
      <c r="D522" s="35" t="str">
        <f>IFERROR(__xludf.DUMMYFUNCTION("""COMPUTED_VALUE"""),"Kristen Khatolik")</f>
        <v>Kristen Khatolik</v>
      </c>
      <c r="E522" s="18" t="str">
        <f>IFERROR(__xludf.DUMMYFUNCTION("""COMPUTED_VALUE"""),"CV. SENTOSA ABADI")</f>
        <v>CV. SENTOSA ABADI</v>
      </c>
      <c r="F522" s="18" t="str">
        <f>IFERROR(__xludf.DUMMYFUNCTION("""COMPUTED_VALUE"""),"DRIVER DT H700ZY")</f>
        <v>DRIVER DT H700ZY</v>
      </c>
      <c r="G522" s="18" t="str">
        <f>IFERROR(__xludf.DUMMYFUNCTION("""COMPUTED_VALUE"""),"KENDARAAN &amp; UNIT SUPPORT")</f>
        <v>KENDARAAN &amp; UNIT SUPPORT</v>
      </c>
      <c r="H522" s="18" t="str">
        <f>IFERROR(__xludf.DUMMYFUNCTION("""COMPUTED_VALUE"""),"2024-03-31 05.24.53")</f>
        <v>2024-03-31 05.24.53</v>
      </c>
      <c r="I522" s="18" t="str">
        <f>IFERROR(__xludf.DUMMYFUNCTION("""COMPUTED_VALUE"""),"2024-03-31 17.35.40")</f>
        <v>2024-03-31 17.35.40</v>
      </c>
      <c r="J522" s="36">
        <f>IFERROR(__xludf.DUMMYFUNCTION("""COMPUTED_VALUE"""),27956.0)</f>
        <v>27956</v>
      </c>
      <c r="K522" s="37" t="str">
        <f t="shared" si="1"/>
        <v>[101211334] YATMAN F PANGANDE</v>
      </c>
    </row>
    <row r="523">
      <c r="A523" s="17">
        <f>IFERROR(__xludf.DUMMYFUNCTION("""COMPUTED_VALUE"""),2.05241922E8)</f>
        <v>205241922</v>
      </c>
      <c r="B523" s="18" t="str">
        <f>IFERROR(__xludf.DUMMYFUNCTION("""COMPUTED_VALUE"""),"YAYAN DARMAWAN")</f>
        <v>YAYAN DARMAWAN</v>
      </c>
      <c r="C523" s="18">
        <f>IFERROR(__xludf.DUMMYFUNCTION("""COMPUTED_VALUE"""),0.0)</f>
        <v>0</v>
      </c>
      <c r="D523" s="35"/>
      <c r="E523" s="18" t="str">
        <f>IFERROR(__xludf.DUMMYFUNCTION("""COMPUTED_VALUE"""),"CV. Adil Prima Perkasa")</f>
        <v>CV. Adil Prima Perkasa</v>
      </c>
      <c r="F523" s="18" t="str">
        <f>IFERROR(__xludf.DUMMYFUNCTION("""COMPUTED_VALUE"""),"HELPER MECHANIC MAINTENANCE")</f>
        <v>HELPER MECHANIC MAINTENANCE</v>
      </c>
      <c r="G523" s="18" t="str">
        <f>IFERROR(__xludf.DUMMYFUNCTION("""COMPUTED_VALUE"""),"WORKSHOP")</f>
        <v>WORKSHOP</v>
      </c>
      <c r="H523" s="18"/>
      <c r="I523" s="18"/>
      <c r="J523" s="36"/>
      <c r="K523" s="37" t="str">
        <f t="shared" si="1"/>
        <v/>
      </c>
    </row>
    <row r="524">
      <c r="A524" s="17"/>
      <c r="B524" s="18" t="str">
        <f>IFERROR(__xludf.DUMMYFUNCTION("""COMPUTED_VALUE"""),"YAYAN SETIAWAN")</f>
        <v>YAYAN SETIAWAN</v>
      </c>
      <c r="C524" s="18">
        <f>IFERROR(__xludf.DUMMYFUNCTION("""COMPUTED_VALUE"""),0.0)</f>
        <v>0</v>
      </c>
      <c r="D524" s="35"/>
      <c r="E524" s="18" t="str">
        <f>IFERROR(__xludf.DUMMYFUNCTION("""COMPUTED_VALUE"""),"CV. SENTOSA ABADI")</f>
        <v>CV. SENTOSA ABADI</v>
      </c>
      <c r="F524" s="18" t="str">
        <f>IFERROR(__xludf.DUMMYFUNCTION("""COMPUTED_VALUE"""),"FALSE")</f>
        <v>FALSE</v>
      </c>
      <c r="G524" s="18" t="str">
        <f>IFERROR(__xludf.DUMMYFUNCTION("""COMPUTED_VALUE"""),"FALSE")</f>
        <v>FALSE</v>
      </c>
      <c r="H524" s="18"/>
      <c r="I524" s="18"/>
      <c r="J524" s="36"/>
      <c r="K524" s="37" t="str">
        <f t="shared" si="1"/>
        <v/>
      </c>
    </row>
    <row r="525">
      <c r="A525" s="17">
        <f>IFERROR(__xludf.DUMMYFUNCTION("""COMPUTED_VALUE"""),1.02211345E8)</f>
        <v>102211345</v>
      </c>
      <c r="B525" s="18" t="str">
        <f>IFERROR(__xludf.DUMMYFUNCTION("""COMPUTED_VALUE"""),"YETTI")</f>
        <v>YETTI</v>
      </c>
      <c r="C525" s="18">
        <f>IFERROR(__xludf.DUMMYFUNCTION("""COMPUTED_VALUE"""),60.0)</f>
        <v>60</v>
      </c>
      <c r="D525" s="35" t="str">
        <f>IFERROR(__xludf.DUMMYFUNCTION("""COMPUTED_VALUE"""),"Kristen Protestan")</f>
        <v>Kristen Protestan</v>
      </c>
      <c r="E525" s="18" t="str">
        <f>IFERROR(__xludf.DUMMYFUNCTION("""COMPUTED_VALUE"""),"CV. SENTOSA ABADI")</f>
        <v>CV. SENTOSA ABADI</v>
      </c>
      <c r="F525" s="18" t="str">
        <f>IFERROR(__xludf.DUMMYFUNCTION("""COMPUTED_VALUE"""),"STOCKER")</f>
        <v>STOCKER</v>
      </c>
      <c r="G525" s="18" t="str">
        <f>IFERROR(__xludf.DUMMYFUNCTION("""COMPUTED_VALUE"""),"HRD &amp; GA")</f>
        <v>HRD &amp; GA</v>
      </c>
      <c r="H525" s="18" t="str">
        <f>IFERROR(__xludf.DUMMYFUNCTION("""COMPUTED_VALUE"""),"2024-03-31 06.44.54")</f>
        <v>2024-03-31 06.44.54</v>
      </c>
      <c r="I525" s="18" t="str">
        <f>IFERROR(__xludf.DUMMYFUNCTION("""COMPUTED_VALUE"""),"2024-03-31 23.46.00")</f>
        <v>2024-03-31 23.46.00</v>
      </c>
      <c r="J525" s="36">
        <f>IFERROR(__xludf.DUMMYFUNCTION("""COMPUTED_VALUE"""),25569.0)</f>
        <v>25569</v>
      </c>
      <c r="K525" s="37" t="str">
        <f t="shared" si="1"/>
        <v>[102211345] YETTI</v>
      </c>
    </row>
    <row r="526">
      <c r="A526" s="17">
        <f>IFERROR(__xludf.DUMMYFUNCTION("""COMPUTED_VALUE"""),1.0920124E8)</f>
        <v>109201240</v>
      </c>
      <c r="B526" s="18" t="str">
        <f>IFERROR(__xludf.DUMMYFUNCTION("""COMPUTED_VALUE"""),"YOEL MALAENY")</f>
        <v>YOEL MALAENY</v>
      </c>
      <c r="C526" s="18">
        <f>IFERROR(__xludf.DUMMYFUNCTION("""COMPUTED_VALUE"""),30.0)</f>
        <v>30</v>
      </c>
      <c r="D526" s="35" t="str">
        <f>IFERROR(__xludf.DUMMYFUNCTION("""COMPUTED_VALUE"""),"Kristen Protestan")</f>
        <v>Kristen Protestan</v>
      </c>
      <c r="E526" s="18" t="str">
        <f>IFERROR(__xludf.DUMMYFUNCTION("""COMPUTED_VALUE"""),"CV. SENTOSA ABADI")</f>
        <v>CV. SENTOSA ABADI</v>
      </c>
      <c r="F526" s="18" t="str">
        <f>IFERROR(__xludf.DUMMYFUNCTION("""COMPUTED_VALUE"""),"FOREMAN KENDARAAN")</f>
        <v>FOREMAN KENDARAAN</v>
      </c>
      <c r="G526" s="18" t="str">
        <f>IFERROR(__xludf.DUMMYFUNCTION("""COMPUTED_VALUE"""),"KENDARAAN &amp; UNIT SUPPORT")</f>
        <v>KENDARAAN &amp; UNIT SUPPORT</v>
      </c>
      <c r="H526" s="18" t="str">
        <f>IFERROR(__xludf.DUMMYFUNCTION("""COMPUTED_VALUE"""),"2024-03-31 06.51.37")</f>
        <v>2024-03-31 06.51.37</v>
      </c>
      <c r="I526" s="18" t="str">
        <f>IFERROR(__xludf.DUMMYFUNCTION("""COMPUTED_VALUE"""),"2024-03-31 17.48.27")</f>
        <v>2024-03-31 17.48.27</v>
      </c>
      <c r="J526" s="36"/>
      <c r="K526" s="37" t="str">
        <f t="shared" si="1"/>
        <v>[109201240] YOEL MALAENY</v>
      </c>
    </row>
    <row r="527">
      <c r="A527" s="17">
        <f>IFERROR(__xludf.DUMMYFUNCTION("""COMPUTED_VALUE"""),1.05211397E8)</f>
        <v>105211397</v>
      </c>
      <c r="B527" s="18" t="str">
        <f>IFERROR(__xludf.DUMMYFUNCTION("""COMPUTED_VALUE"""),"YOHAN MAKABA")</f>
        <v>YOHAN MAKABA</v>
      </c>
      <c r="C527" s="18">
        <f>IFERROR(__xludf.DUMMYFUNCTION("""COMPUTED_VALUE"""),35.0)</f>
        <v>35</v>
      </c>
      <c r="D527" s="35" t="str">
        <f>IFERROR(__xludf.DUMMYFUNCTION("""COMPUTED_VALUE"""),"Kristen Protestan")</f>
        <v>Kristen Protestan</v>
      </c>
      <c r="E527" s="18" t="str">
        <f>IFERROR(__xludf.DUMMYFUNCTION("""COMPUTED_VALUE"""),"CV. SENTOSA ABADI")</f>
        <v>CV. SENTOSA ABADI</v>
      </c>
      <c r="F527" s="18" t="str">
        <f>IFERROR(__xludf.DUMMYFUNCTION("""COMPUTED_VALUE"""),"HELPER MEKANIK ALAT BERAT")</f>
        <v>HELPER MEKANIK ALAT BERAT</v>
      </c>
      <c r="G527" s="18" t="str">
        <f>IFERROR(__xludf.DUMMYFUNCTION("""COMPUTED_VALUE"""),"WORKSHOP")</f>
        <v>WORKSHOP</v>
      </c>
      <c r="H527" s="18" t="str">
        <f>IFERROR(__xludf.DUMMYFUNCTION("""COMPUTED_VALUE"""),"2023-11-30 05.25.53")</f>
        <v>2023-11-30 05.25.53</v>
      </c>
      <c r="I527" s="18" t="str">
        <f>IFERROR(__xludf.DUMMYFUNCTION("""COMPUTED_VALUE"""),"2023-11-30 05.25.53")</f>
        <v>2023-11-30 05.25.53</v>
      </c>
      <c r="J527" s="36">
        <f>IFERROR(__xludf.DUMMYFUNCTION("""COMPUTED_VALUE"""),31820.0)</f>
        <v>31820</v>
      </c>
      <c r="K527" s="37" t="str">
        <f t="shared" si="1"/>
        <v>[105211397] YOHAN MAKABA</v>
      </c>
    </row>
    <row r="528">
      <c r="A528" s="17">
        <f>IFERROR(__xludf.DUMMYFUNCTION("""COMPUTED_VALUE"""),1.10221688E8)</f>
        <v>110221688</v>
      </c>
      <c r="B528" s="18" t="str">
        <f>IFERROR(__xludf.DUMMYFUNCTION("""COMPUTED_VALUE"""),"YOHANES ARDINI EGOR")</f>
        <v>YOHANES ARDINI EGOR</v>
      </c>
      <c r="C528" s="18">
        <f>IFERROR(__xludf.DUMMYFUNCTION("""COMPUTED_VALUE"""),23.0)</f>
        <v>23</v>
      </c>
      <c r="D528" s="35" t="str">
        <f>IFERROR(__xludf.DUMMYFUNCTION("""COMPUTED_VALUE"""),"Kristen Khatolik")</f>
        <v>Kristen Khatolik</v>
      </c>
      <c r="E528" s="18" t="str">
        <f>IFERROR(__xludf.DUMMYFUNCTION("""COMPUTED_VALUE"""),"CV. SENTOSA ABADI")</f>
        <v>CV. SENTOSA ABADI</v>
      </c>
      <c r="F528" s="18" t="str">
        <f>IFERROR(__xludf.DUMMYFUNCTION("""COMPUTED_VALUE"""),"HELPER MECHANIC MAINTENANCE")</f>
        <v>HELPER MECHANIC MAINTENANCE</v>
      </c>
      <c r="G528" s="18" t="str">
        <f>IFERROR(__xludf.DUMMYFUNCTION("""COMPUTED_VALUE"""),"WORKSHOP")</f>
        <v>WORKSHOP</v>
      </c>
      <c r="H528" s="18" t="str">
        <f>IFERROR(__xludf.DUMMYFUNCTION("""COMPUTED_VALUE"""),"2023-11-30 05.54.36")</f>
        <v>2023-11-30 05.54.36</v>
      </c>
      <c r="I528" s="18" t="str">
        <f>IFERROR(__xludf.DUMMYFUNCTION("""COMPUTED_VALUE"""),"2023-11-30 19.26.00")</f>
        <v>2023-11-30 19.26.00</v>
      </c>
      <c r="J528" s="36"/>
      <c r="K528" s="37" t="str">
        <f t="shared" si="1"/>
        <v>[110221688] YOHANES ARDINI EGOR</v>
      </c>
    </row>
    <row r="529">
      <c r="A529" s="17">
        <f>IFERROR(__xludf.DUMMYFUNCTION("""COMPUTED_VALUE"""),2.02221591E8)</f>
        <v>202221591</v>
      </c>
      <c r="B529" s="18" t="str">
        <f>IFERROR(__xludf.DUMMYFUNCTION("""COMPUTED_VALUE"""),"YOHANES BAHARI")</f>
        <v>YOHANES BAHARI</v>
      </c>
      <c r="C529" s="18">
        <f>IFERROR(__xludf.DUMMYFUNCTION("""COMPUTED_VALUE"""),35.0)</f>
        <v>35</v>
      </c>
      <c r="D529" s="35" t="str">
        <f>IFERROR(__xludf.DUMMYFUNCTION("""COMPUTED_VALUE"""),"Kristen Khatolik")</f>
        <v>Kristen Khatolik</v>
      </c>
      <c r="E529" s="18" t="str">
        <f>IFERROR(__xludf.DUMMYFUNCTION("""COMPUTED_VALUE"""),"CV. Adil Prima Perkasa")</f>
        <v>CV. Adil Prima Perkasa</v>
      </c>
      <c r="F529" s="18" t="str">
        <f>IFERROR(__xludf.DUMMYFUNCTION("""COMPUTED_VALUE"""),"DRIVER DT H700ZY")</f>
        <v>DRIVER DT H700ZY</v>
      </c>
      <c r="G529" s="18" t="str">
        <f>IFERROR(__xludf.DUMMYFUNCTION("""COMPUTED_VALUE"""),"KENDARAAN &amp; UNIT SUPPORT")</f>
        <v>KENDARAAN &amp; UNIT SUPPORT</v>
      </c>
      <c r="H529" s="18" t="str">
        <f>IFERROR(__xludf.DUMMYFUNCTION("""COMPUTED_VALUE"""),"2024-03-31 06.19.03")</f>
        <v>2024-03-31 06.19.03</v>
      </c>
      <c r="I529" s="18" t="str">
        <f>IFERROR(__xludf.DUMMYFUNCTION("""COMPUTED_VALUE"""),"2024-03-31 21.28.25")</f>
        <v>2024-03-31 21.28.25</v>
      </c>
      <c r="J529" s="36"/>
      <c r="K529" s="37" t="str">
        <f t="shared" si="1"/>
        <v>[202221591] YOHANES BAHARI</v>
      </c>
    </row>
    <row r="530">
      <c r="A530" s="17">
        <f>IFERROR(__xludf.DUMMYFUNCTION("""COMPUTED_VALUE"""),2.06221646E8)</f>
        <v>206221646</v>
      </c>
      <c r="B530" s="18" t="str">
        <f>IFERROR(__xludf.DUMMYFUNCTION("""COMPUTED_VALUE"""),"YOHANES BONGGA")</f>
        <v>YOHANES BONGGA</v>
      </c>
      <c r="C530" s="18">
        <f>IFERROR(__xludf.DUMMYFUNCTION("""COMPUTED_VALUE"""),42.0)</f>
        <v>42</v>
      </c>
      <c r="D530" s="35" t="str">
        <f>IFERROR(__xludf.DUMMYFUNCTION("""COMPUTED_VALUE"""),"Kristen Protestan")</f>
        <v>Kristen Protestan</v>
      </c>
      <c r="E530" s="18" t="str">
        <f>IFERROR(__xludf.DUMMYFUNCTION("""COMPUTED_VALUE"""),"CV. Adil Prima Perkasa")</f>
        <v>CV. Adil Prima Perkasa</v>
      </c>
      <c r="F530" s="18" t="str">
        <f>IFERROR(__xludf.DUMMYFUNCTION("""COMPUTED_VALUE"""),"DRIVER DT H500")</f>
        <v>DRIVER DT H500</v>
      </c>
      <c r="G530" s="18" t="str">
        <f>IFERROR(__xludf.DUMMYFUNCTION("""COMPUTED_VALUE"""),"KENDARAAN &amp; UNIT SUPPORT")</f>
        <v>KENDARAAN &amp; UNIT SUPPORT</v>
      </c>
      <c r="H530" s="18" t="str">
        <f>IFERROR(__xludf.DUMMYFUNCTION("""COMPUTED_VALUE"""),"2024-03-31 05.20.28")</f>
        <v>2024-03-31 05.20.28</v>
      </c>
      <c r="I530" s="18" t="str">
        <f>IFERROR(__xludf.DUMMYFUNCTION("""COMPUTED_VALUE"""),"2024-03-31 17.49.03")</f>
        <v>2024-03-31 17.49.03</v>
      </c>
      <c r="J530" s="36">
        <f>IFERROR(__xludf.DUMMYFUNCTION("""COMPUTED_VALUE"""),30919.0)</f>
        <v>30919</v>
      </c>
      <c r="K530" s="37" t="str">
        <f t="shared" si="1"/>
        <v>[206221646] YOHANES BONGGA</v>
      </c>
    </row>
    <row r="531">
      <c r="A531" s="17">
        <f>IFERROR(__xludf.DUMMYFUNCTION("""COMPUTED_VALUE"""),3.04230113E8)</f>
        <v>304230113</v>
      </c>
      <c r="B531" s="18" t="str">
        <f>IFERROR(__xludf.DUMMYFUNCTION("""COMPUTED_VALUE"""),"YOHANES JEREMIAS BEA RIA")</f>
        <v>YOHANES JEREMIAS BEA RIA</v>
      </c>
      <c r="C531" s="18">
        <f>IFERROR(__xludf.DUMMYFUNCTION("""COMPUTED_VALUE"""),19.0)</f>
        <v>19</v>
      </c>
      <c r="D531" s="35" t="str">
        <f>IFERROR(__xludf.DUMMYFUNCTION("""COMPUTED_VALUE"""),"Kristen Khatolik")</f>
        <v>Kristen Khatolik</v>
      </c>
      <c r="E531" s="18" t="str">
        <f>IFERROR(__xludf.DUMMYFUNCTION("""COMPUTED_VALUE"""),"CV. Monalisa")</f>
        <v>CV. Monalisa</v>
      </c>
      <c r="F531" s="18" t="str">
        <f>IFERROR(__xludf.DUMMYFUNCTION("""COMPUTED_VALUE"""),"FALSE")</f>
        <v>FALSE</v>
      </c>
      <c r="G531" s="18" t="str">
        <f>IFERROR(__xludf.DUMMYFUNCTION("""COMPUTED_VALUE"""),"INFRASTRUKTUR")</f>
        <v>INFRASTRUKTUR</v>
      </c>
      <c r="H531" s="18"/>
      <c r="I531" s="18"/>
      <c r="J531" s="36"/>
      <c r="K531" s="37" t="str">
        <f t="shared" si="1"/>
        <v/>
      </c>
    </row>
    <row r="532">
      <c r="A532" s="17">
        <f>IFERROR(__xludf.DUMMYFUNCTION("""COMPUTED_VALUE"""),2.11221701E8)</f>
        <v>211221701</v>
      </c>
      <c r="B532" s="18" t="str">
        <f>IFERROR(__xludf.DUMMYFUNCTION("""COMPUTED_VALUE"""),"YOHANIS PAMINNAKAN")</f>
        <v>YOHANIS PAMINNAKAN</v>
      </c>
      <c r="C532" s="18">
        <f>IFERROR(__xludf.DUMMYFUNCTION("""COMPUTED_VALUE"""),36.0)</f>
        <v>36</v>
      </c>
      <c r="D532" s="35" t="str">
        <f>IFERROR(__xludf.DUMMYFUNCTION("""COMPUTED_VALUE"""),"Kristen Khatolik")</f>
        <v>Kristen Khatolik</v>
      </c>
      <c r="E532" s="18" t="str">
        <f>IFERROR(__xludf.DUMMYFUNCTION("""COMPUTED_VALUE"""),"CV. Adil Prima Perkasa")</f>
        <v>CV. Adil Prima Perkasa</v>
      </c>
      <c r="F532" s="18" t="str">
        <f>IFERROR(__xludf.DUMMYFUNCTION("""COMPUTED_VALUE"""),"DRIVER DT H700ZS")</f>
        <v>DRIVER DT H700ZS</v>
      </c>
      <c r="G532" s="18" t="str">
        <f>IFERROR(__xludf.DUMMYFUNCTION("""COMPUTED_VALUE"""),"KENDARAAN &amp; UNIT SUPPORT")</f>
        <v>KENDARAAN &amp; UNIT SUPPORT</v>
      </c>
      <c r="H532" s="18" t="str">
        <f>IFERROR(__xludf.DUMMYFUNCTION("""COMPUTED_VALUE"""),"2024-03-31 17.17.47")</f>
        <v>2024-03-31 17.17.47</v>
      </c>
      <c r="I532" s="18" t="str">
        <f>IFERROR(__xludf.DUMMYFUNCTION("""COMPUTED_VALUE"""),"2024-03-31 17.17.47")</f>
        <v>2024-03-31 17.17.47</v>
      </c>
      <c r="J532" s="36">
        <f>IFERROR(__xludf.DUMMYFUNCTION("""COMPUTED_VALUE"""),35200.0)</f>
        <v>35200</v>
      </c>
      <c r="K532" s="37" t="str">
        <f t="shared" si="1"/>
        <v>[211221701] YOHANIS PAMINNAKAN</v>
      </c>
    </row>
    <row r="533">
      <c r="A533" s="17">
        <f>IFERROR(__xludf.DUMMYFUNCTION("""COMPUTED_VALUE"""),2.07211447E8)</f>
        <v>207211447</v>
      </c>
      <c r="B533" s="18" t="str">
        <f>IFERROR(__xludf.DUMMYFUNCTION("""COMPUTED_VALUE"""),"YOSNAR ALO")</f>
        <v>YOSNAR ALO</v>
      </c>
      <c r="C533" s="18">
        <f>IFERROR(__xludf.DUMMYFUNCTION("""COMPUTED_VALUE"""),28.0)</f>
        <v>28</v>
      </c>
      <c r="D533" s="35" t="str">
        <f>IFERROR(__xludf.DUMMYFUNCTION("""COMPUTED_VALUE"""),"Kristen Protestan")</f>
        <v>Kristen Protestan</v>
      </c>
      <c r="E533" s="18" t="str">
        <f>IFERROR(__xludf.DUMMYFUNCTION("""COMPUTED_VALUE"""),"CV. Adil Prima Perkasa")</f>
        <v>CV. Adil Prima Perkasa</v>
      </c>
      <c r="F533" s="18" t="str">
        <f>IFERROR(__xludf.DUMMYFUNCTION("""COMPUTED_VALUE"""),"OPERATOR EXCAVATOR")</f>
        <v>OPERATOR EXCAVATOR</v>
      </c>
      <c r="G533" s="18" t="str">
        <f>IFERROR(__xludf.DUMMYFUNCTION("""COMPUTED_VALUE"""),"PRODUKSI")</f>
        <v>PRODUKSI</v>
      </c>
      <c r="H533" s="18" t="str">
        <f>IFERROR(__xludf.DUMMYFUNCTION("""COMPUTED_VALUE"""),"2023-11-30 17.45.42")</f>
        <v>2023-11-30 17.45.42</v>
      </c>
      <c r="I533" s="18" t="str">
        <f>IFERROR(__xludf.DUMMYFUNCTION("""COMPUTED_VALUE"""),"2023-11-30 17.45.42")</f>
        <v>2023-11-30 17.45.42</v>
      </c>
      <c r="J533" s="36"/>
      <c r="K533" s="37" t="str">
        <f t="shared" si="1"/>
        <v>[207211447] YOSNAR ALO</v>
      </c>
    </row>
    <row r="534">
      <c r="A534" s="17">
        <f>IFERROR(__xludf.DUMMYFUNCTION("""COMPUTED_VALUE"""),2.07130696E8)</f>
        <v>207130696</v>
      </c>
      <c r="B534" s="18" t="str">
        <f>IFERROR(__xludf.DUMMYFUNCTION("""COMPUTED_VALUE"""),"YOSRI EFANDI NCAONG")</f>
        <v>YOSRI EFANDI NCAONG</v>
      </c>
      <c r="C534" s="18">
        <f>IFERROR(__xludf.DUMMYFUNCTION("""COMPUTED_VALUE"""),34.0)</f>
        <v>34</v>
      </c>
      <c r="D534" s="35" t="str">
        <f>IFERROR(__xludf.DUMMYFUNCTION("""COMPUTED_VALUE"""),"Kristen Khatolik")</f>
        <v>Kristen Khatolik</v>
      </c>
      <c r="E534" s="18" t="str">
        <f>IFERROR(__xludf.DUMMYFUNCTION("""COMPUTED_VALUE"""),"CV. Adil Prima Perkasa")</f>
        <v>CV. Adil Prima Perkasa</v>
      </c>
      <c r="F534" s="18" t="str">
        <f>IFERROR(__xludf.DUMMYFUNCTION("""COMPUTED_VALUE"""),"OPERATOR ADT")</f>
        <v>OPERATOR ADT</v>
      </c>
      <c r="G534" s="18" t="str">
        <f>IFERROR(__xludf.DUMMYFUNCTION("""COMPUTED_VALUE"""),"PRODUKSI")</f>
        <v>PRODUKSI</v>
      </c>
      <c r="H534" s="18" t="str">
        <f>IFERROR(__xludf.DUMMYFUNCTION("""COMPUTED_VALUE"""),"2023-11-29 17.01.34")</f>
        <v>2023-11-29 17.01.34</v>
      </c>
      <c r="I534" s="18" t="str">
        <f>IFERROR(__xludf.DUMMYFUNCTION("""COMPUTED_VALUE"""),"2023-11-29 17.01.34")</f>
        <v>2023-11-29 17.01.34</v>
      </c>
      <c r="J534" s="36"/>
      <c r="K534" s="37" t="str">
        <f t="shared" si="1"/>
        <v>[207130696] YOSRI EFANDI NCAONG</v>
      </c>
    </row>
    <row r="535">
      <c r="A535" s="17">
        <f>IFERROR(__xludf.DUMMYFUNCTION("""COMPUTED_VALUE"""),3.07200009E8)</f>
        <v>307200009</v>
      </c>
      <c r="B535" s="18" t="str">
        <f>IFERROR(__xludf.DUMMYFUNCTION("""COMPUTED_VALUE"""),"YUDAS BINDAU")</f>
        <v>YUDAS BINDAU</v>
      </c>
      <c r="C535" s="18">
        <f>IFERROR(__xludf.DUMMYFUNCTION("""COMPUTED_VALUE"""),49.0)</f>
        <v>49</v>
      </c>
      <c r="D535" s="35" t="str">
        <f>IFERROR(__xludf.DUMMYFUNCTION("""COMPUTED_VALUE"""),"Kristen Protestan")</f>
        <v>Kristen Protestan</v>
      </c>
      <c r="E535" s="18" t="str">
        <f>IFERROR(__xludf.DUMMYFUNCTION("""COMPUTED_VALUE"""),"CV. Monalisa")</f>
        <v>CV. Monalisa</v>
      </c>
      <c r="F535" s="18" t="str">
        <f>IFERROR(__xludf.DUMMYFUNCTION("""COMPUTED_VALUE"""),"STOCKER")</f>
        <v>STOCKER</v>
      </c>
      <c r="G535" s="18" t="str">
        <f>IFERROR(__xludf.DUMMYFUNCTION("""COMPUTED_VALUE"""),"HRD &amp; GA")</f>
        <v>HRD &amp; GA</v>
      </c>
      <c r="H535" s="18"/>
      <c r="I535" s="18"/>
      <c r="J535" s="36"/>
      <c r="K535" s="37" t="str">
        <f t="shared" si="1"/>
        <v/>
      </c>
    </row>
    <row r="536">
      <c r="A536" s="17">
        <f>IFERROR(__xludf.DUMMYFUNCTION("""COMPUTED_VALUE"""),1.08160304E8)</f>
        <v>108160304</v>
      </c>
      <c r="B536" s="18" t="str">
        <f>IFERROR(__xludf.DUMMYFUNCTION("""COMPUTED_VALUE"""),"YULIUS LAPU")</f>
        <v>YULIUS LAPU</v>
      </c>
      <c r="C536" s="18">
        <f>IFERROR(__xludf.DUMMYFUNCTION("""COMPUTED_VALUE"""),46.0)</f>
        <v>46</v>
      </c>
      <c r="D536" s="35" t="str">
        <f>IFERROR(__xludf.DUMMYFUNCTION("""COMPUTED_VALUE"""),"Kristen Khatolik")</f>
        <v>Kristen Khatolik</v>
      </c>
      <c r="E536" s="18" t="str">
        <f>IFERROR(__xludf.DUMMYFUNCTION("""COMPUTED_VALUE"""),"CV. SENTOSA ABADI")</f>
        <v>CV. SENTOSA ABADI</v>
      </c>
      <c r="F536" s="18" t="str">
        <f>IFERROR(__xludf.DUMMYFUNCTION("""COMPUTED_VALUE"""),"OPERATOR BULLDOZER")</f>
        <v>OPERATOR BULLDOZER</v>
      </c>
      <c r="G536" s="18" t="str">
        <f>IFERROR(__xludf.DUMMYFUNCTION("""COMPUTED_VALUE"""),"PRODUKSI")</f>
        <v>PRODUKSI</v>
      </c>
      <c r="H536" s="18" t="str">
        <f>IFERROR(__xludf.DUMMYFUNCTION("""COMPUTED_VALUE"""),"2023-11-30 05.41.21")</f>
        <v>2023-11-30 05.41.21</v>
      </c>
      <c r="I536" s="18" t="str">
        <f>IFERROR(__xludf.DUMMYFUNCTION("""COMPUTED_VALUE"""),"2023-11-30 05.41.21")</f>
        <v>2023-11-30 05.41.21</v>
      </c>
      <c r="J536" s="36"/>
      <c r="K536" s="37" t="str">
        <f t="shared" si="1"/>
        <v>[108160304] YULIUS LAPU</v>
      </c>
    </row>
    <row r="537">
      <c r="A537" s="17">
        <f>IFERROR(__xludf.DUMMYFUNCTION("""COMPUTED_VALUE"""),2.06190933E8)</f>
        <v>206190933</v>
      </c>
      <c r="B537" s="18" t="str">
        <f>IFERROR(__xludf.DUMMYFUNCTION("""COMPUTED_VALUE"""),"YULIUS WALEWANGKO")</f>
        <v>YULIUS WALEWANGKO</v>
      </c>
      <c r="C537" s="18">
        <f>IFERROR(__xludf.DUMMYFUNCTION("""COMPUTED_VALUE"""),59.0)</f>
        <v>59</v>
      </c>
      <c r="D537" s="35" t="str">
        <f>IFERROR(__xludf.DUMMYFUNCTION("""COMPUTED_VALUE"""),"Islam")</f>
        <v>Islam</v>
      </c>
      <c r="E537" s="18" t="str">
        <f>IFERROR(__xludf.DUMMYFUNCTION("""COMPUTED_VALUE"""),"CV. Adil Prima Perkasa")</f>
        <v>CV. Adil Prima Perkasa</v>
      </c>
      <c r="F537" s="18" t="str">
        <f>IFERROR(__xludf.DUMMYFUNCTION("""COMPUTED_VALUE"""),"OPERATOR BULLDOZER")</f>
        <v>OPERATOR BULLDOZER</v>
      </c>
      <c r="G537" s="18" t="str">
        <f>IFERROR(__xludf.DUMMYFUNCTION("""COMPUTED_VALUE"""),"PRODUKSI")</f>
        <v>PRODUKSI</v>
      </c>
      <c r="H537" s="18" t="str">
        <f>IFERROR(__xludf.DUMMYFUNCTION("""COMPUTED_VALUE"""),"2023-11-30 06.03.33")</f>
        <v>2023-11-30 06.03.33</v>
      </c>
      <c r="I537" s="18" t="str">
        <f>IFERROR(__xludf.DUMMYFUNCTION("""COMPUTED_VALUE"""),"2023-11-30 06.03.33")</f>
        <v>2023-11-30 06.03.33</v>
      </c>
      <c r="J537" s="36">
        <f>IFERROR(__xludf.DUMMYFUNCTION("""COMPUTED_VALUE"""),24134.0)</f>
        <v>24134</v>
      </c>
      <c r="K537" s="37" t="str">
        <f t="shared" si="1"/>
        <v>[206190933] YULIUS WALEWANGKO</v>
      </c>
    </row>
    <row r="538">
      <c r="A538" s="17">
        <f>IFERROR(__xludf.DUMMYFUNCTION("""COMPUTED_VALUE"""),1.10211502E8)</f>
        <v>110211502</v>
      </c>
      <c r="B538" s="18" t="str">
        <f>IFERROR(__xludf.DUMMYFUNCTION("""COMPUTED_VALUE"""),"YULTIN TENGASE")</f>
        <v>YULTIN TENGASE</v>
      </c>
      <c r="C538" s="18">
        <f>IFERROR(__xludf.DUMMYFUNCTION("""COMPUTED_VALUE"""),47.0)</f>
        <v>47</v>
      </c>
      <c r="D538" s="35" t="str">
        <f>IFERROR(__xludf.DUMMYFUNCTION("""COMPUTED_VALUE"""),"Kristen Protestan")</f>
        <v>Kristen Protestan</v>
      </c>
      <c r="E538" s="18" t="str">
        <f>IFERROR(__xludf.DUMMYFUNCTION("""COMPUTED_VALUE"""),"CV. SENTOSA ABADI")</f>
        <v>CV. SENTOSA ABADI</v>
      </c>
      <c r="F538" s="18" t="str">
        <f>IFERROR(__xludf.DUMMYFUNCTION("""COMPUTED_VALUE"""),"STOCKER")</f>
        <v>STOCKER</v>
      </c>
      <c r="G538" s="18" t="str">
        <f>IFERROR(__xludf.DUMMYFUNCTION("""COMPUTED_VALUE"""),"HRD &amp; GA")</f>
        <v>HRD &amp; GA</v>
      </c>
      <c r="H538" s="18" t="str">
        <f>IFERROR(__xludf.DUMMYFUNCTION("""COMPUTED_VALUE"""),"2024-03-31 00.25.55")</f>
        <v>2024-03-31 00.25.55</v>
      </c>
      <c r="I538" s="18" t="str">
        <f>IFERROR(__xludf.DUMMYFUNCTION("""COMPUTED_VALUE"""),"2024-03-31 12.24.24")</f>
        <v>2024-03-31 12.24.24</v>
      </c>
      <c r="J538" s="36"/>
      <c r="K538" s="37" t="str">
        <f t="shared" si="1"/>
        <v>[110211502] YULTIN TENGASE</v>
      </c>
    </row>
    <row r="539">
      <c r="A539" s="17">
        <f>IFERROR(__xludf.DUMMYFUNCTION("""COMPUTED_VALUE"""),2.02231725E8)</f>
        <v>202231725</v>
      </c>
      <c r="B539" s="18" t="str">
        <f>IFERROR(__xludf.DUMMYFUNCTION("""COMPUTED_VALUE"""),"YUNUS")</f>
        <v>YUNUS</v>
      </c>
      <c r="C539" s="18">
        <f>IFERROR(__xludf.DUMMYFUNCTION("""COMPUTED_VALUE"""),29.0)</f>
        <v>29</v>
      </c>
      <c r="D539" s="35" t="str">
        <f>IFERROR(__xludf.DUMMYFUNCTION("""COMPUTED_VALUE"""),"Kristen Protestan")</f>
        <v>Kristen Protestan</v>
      </c>
      <c r="E539" s="18" t="str">
        <f>IFERROR(__xludf.DUMMYFUNCTION("""COMPUTED_VALUE"""),"CV. Adil Prima Perkasa")</f>
        <v>CV. Adil Prima Perkasa</v>
      </c>
      <c r="F539" s="18" t="str">
        <f>IFERROR(__xludf.DUMMYFUNCTION("""COMPUTED_VALUE"""),"HELPER BUBUT")</f>
        <v>HELPER BUBUT</v>
      </c>
      <c r="G539" s="18" t="str">
        <f>IFERROR(__xludf.DUMMYFUNCTION("""COMPUTED_VALUE"""),"WORKSHOP")</f>
        <v>WORKSHOP</v>
      </c>
      <c r="H539" s="18" t="str">
        <f>IFERROR(__xludf.DUMMYFUNCTION("""COMPUTED_VALUE"""),"2023-11-29 07.13.47")</f>
        <v>2023-11-29 07.13.47</v>
      </c>
      <c r="I539" s="18" t="str">
        <f>IFERROR(__xludf.DUMMYFUNCTION("""COMPUTED_VALUE"""),"2023-11-29 19.33.59")</f>
        <v>2023-11-29 19.33.59</v>
      </c>
      <c r="J539" s="36"/>
      <c r="K539" s="37" t="str">
        <f t="shared" si="1"/>
        <v>[202231725] YUNUS</v>
      </c>
    </row>
    <row r="540">
      <c r="A540" s="17">
        <f>IFERROR(__xludf.DUMMYFUNCTION("""COMPUTED_VALUE"""),1.11211526E8)</f>
        <v>111211526</v>
      </c>
      <c r="B540" s="18" t="str">
        <f>IFERROR(__xludf.DUMMYFUNCTION("""COMPUTED_VALUE"""),"YUSRIN")</f>
        <v>YUSRIN</v>
      </c>
      <c r="C540" s="18">
        <f>IFERROR(__xludf.DUMMYFUNCTION("""COMPUTED_VALUE"""),44.0)</f>
        <v>44</v>
      </c>
      <c r="D540" s="35" t="str">
        <f>IFERROR(__xludf.DUMMYFUNCTION("""COMPUTED_VALUE"""),"Islam")</f>
        <v>Islam</v>
      </c>
      <c r="E540" s="18" t="str">
        <f>IFERROR(__xludf.DUMMYFUNCTION("""COMPUTED_VALUE"""),"CV. SENTOSA ABADI")</f>
        <v>CV. SENTOSA ABADI</v>
      </c>
      <c r="F540" s="18" t="str">
        <f>IFERROR(__xludf.DUMMYFUNCTION("""COMPUTED_VALUE"""),"DRIVER DT")</f>
        <v>DRIVER DT</v>
      </c>
      <c r="G540" s="18" t="str">
        <f>IFERROR(__xludf.DUMMYFUNCTION("""COMPUTED_VALUE"""),"KENDARAAN &amp; UNIT SUPPORT")</f>
        <v>KENDARAAN &amp; UNIT SUPPORT</v>
      </c>
      <c r="H540" s="18" t="str">
        <f>IFERROR(__xludf.DUMMYFUNCTION("""COMPUTED_VALUE"""),"2024-03-31 06.57.23")</f>
        <v>2024-03-31 06.57.23</v>
      </c>
      <c r="I540" s="18" t="str">
        <f>IFERROR(__xludf.DUMMYFUNCTION("""COMPUTED_VALUE"""),"2024-03-31 16.45.12")</f>
        <v>2024-03-31 16.45.12</v>
      </c>
      <c r="J540" s="36"/>
      <c r="K540" s="37" t="str">
        <f t="shared" si="1"/>
        <v>[111211526] YUSRIN</v>
      </c>
    </row>
    <row r="541">
      <c r="A541" s="17">
        <f>IFERROR(__xludf.DUMMYFUNCTION("""COMPUTED_VALUE"""),2.04241909E8)</f>
        <v>204241909</v>
      </c>
      <c r="B541" s="18" t="str">
        <f>IFERROR(__xludf.DUMMYFUNCTION("""COMPUTED_VALUE"""),"YUSTISIO YAYAN PRABOWO")</f>
        <v>YUSTISIO YAYAN PRABOWO</v>
      </c>
      <c r="C541" s="18">
        <f>IFERROR(__xludf.DUMMYFUNCTION("""COMPUTED_VALUE"""),0.0)</f>
        <v>0</v>
      </c>
      <c r="D541" s="35"/>
      <c r="E541" s="18" t="str">
        <f>IFERROR(__xludf.DUMMYFUNCTION("""COMPUTED_VALUE"""),"CV. Adil Prima Perkasa")</f>
        <v>CV. Adil Prima Perkasa</v>
      </c>
      <c r="F541" s="18" t="str">
        <f>IFERROR(__xludf.DUMMYFUNCTION("""COMPUTED_VALUE"""),"DRIVER LV")</f>
        <v>DRIVER LV</v>
      </c>
      <c r="G541" s="18" t="str">
        <f>IFERROR(__xludf.DUMMYFUNCTION("""COMPUTED_VALUE"""),"KENDARAAN &amp; UNIT SUPPORT")</f>
        <v>KENDARAAN &amp; UNIT SUPPORT</v>
      </c>
      <c r="H541" s="18"/>
      <c r="I541" s="18"/>
      <c r="J541" s="36"/>
      <c r="K541" s="37" t="str">
        <f t="shared" si="1"/>
        <v/>
      </c>
    </row>
    <row r="542">
      <c r="A542" s="17">
        <f>IFERROR(__xludf.DUMMYFUNCTION("""COMPUTED_VALUE"""),1.05190838E8)</f>
        <v>105190838</v>
      </c>
      <c r="B542" s="18" t="str">
        <f>IFERROR(__xludf.DUMMYFUNCTION("""COMPUTED_VALUE"""),"YUSUF")</f>
        <v>YUSUF</v>
      </c>
      <c r="C542" s="18">
        <f>IFERROR(__xludf.DUMMYFUNCTION("""COMPUTED_VALUE"""),24.0)</f>
        <v>24</v>
      </c>
      <c r="D542" s="35" t="str">
        <f>IFERROR(__xludf.DUMMYFUNCTION("""COMPUTED_VALUE"""),"Kristen Protestan")</f>
        <v>Kristen Protestan</v>
      </c>
      <c r="E542" s="18" t="str">
        <f>IFERROR(__xludf.DUMMYFUNCTION("""COMPUTED_VALUE"""),"CV. SENTOSA ABADI")</f>
        <v>CV. SENTOSA ABADI</v>
      </c>
      <c r="F542" s="18" t="str">
        <f>IFERROR(__xludf.DUMMYFUNCTION("""COMPUTED_VALUE"""),"ADMIN LOGISTIC")</f>
        <v>ADMIN LOGISTIC</v>
      </c>
      <c r="G542" s="18" t="str">
        <f>IFERROR(__xludf.DUMMYFUNCTION("""COMPUTED_VALUE"""),"LOGISTIC")</f>
        <v>LOGISTIC</v>
      </c>
      <c r="H542" s="18" t="str">
        <f>IFERROR(__xludf.DUMMYFUNCTION("""COMPUTED_VALUE"""),"2023-11-30 06.46.07")</f>
        <v>2023-11-30 06.46.07</v>
      </c>
      <c r="I542" s="18" t="str">
        <f>IFERROR(__xludf.DUMMYFUNCTION("""COMPUTED_VALUE"""),"2023-11-30 16.21.44")</f>
        <v>2023-11-30 16.21.44</v>
      </c>
      <c r="J542" s="36"/>
      <c r="K542" s="37" t="str">
        <f t="shared" si="1"/>
        <v>[105190838] YUSUF</v>
      </c>
    </row>
    <row r="543">
      <c r="A543" s="17">
        <f>IFERROR(__xludf.DUMMYFUNCTION("""COMPUTED_VALUE"""),2.02150673E8)</f>
        <v>202150673</v>
      </c>
      <c r="B543" s="18" t="str">
        <f>IFERROR(__xludf.DUMMYFUNCTION("""COMPUTED_VALUE"""),"YUSUF RENDY SOLONG")</f>
        <v>YUSUF RENDY SOLONG</v>
      </c>
      <c r="C543" s="18">
        <f>IFERROR(__xludf.DUMMYFUNCTION("""COMPUTED_VALUE"""),30.0)</f>
        <v>30</v>
      </c>
      <c r="D543" s="35" t="str">
        <f>IFERROR(__xludf.DUMMYFUNCTION("""COMPUTED_VALUE"""),"Kristen Protestan")</f>
        <v>Kristen Protestan</v>
      </c>
      <c r="E543" s="18" t="str">
        <f>IFERROR(__xludf.DUMMYFUNCTION("""COMPUTED_VALUE"""),"CV. Adil Prima Perkasa")</f>
        <v>CV. Adil Prima Perkasa</v>
      </c>
      <c r="F543" s="18" t="str">
        <f>IFERROR(__xludf.DUMMYFUNCTION("""COMPUTED_VALUE"""),"OPERATOR EXCAVATOR")</f>
        <v>OPERATOR EXCAVATOR</v>
      </c>
      <c r="G543" s="18" t="str">
        <f>IFERROR(__xludf.DUMMYFUNCTION("""COMPUTED_VALUE"""),"PRODUKSI")</f>
        <v>PRODUKSI</v>
      </c>
      <c r="H543" s="18" t="str">
        <f>IFERROR(__xludf.DUMMYFUNCTION("""COMPUTED_VALUE"""),"2023-11-30 06.17.21")</f>
        <v>2023-11-30 06.17.21</v>
      </c>
      <c r="I543" s="18" t="str">
        <f>IFERROR(__xludf.DUMMYFUNCTION("""COMPUTED_VALUE"""),"2023-11-30 06.17.21")</f>
        <v>2023-11-30 06.17.21</v>
      </c>
      <c r="J543" s="36">
        <f>IFERROR(__xludf.DUMMYFUNCTION("""COMPUTED_VALUE"""),30911.0)</f>
        <v>30911</v>
      </c>
      <c r="K543" s="37" t="str">
        <f t="shared" si="1"/>
        <v>[202150673] YUSUF RENDY SOLONG</v>
      </c>
    </row>
    <row r="544">
      <c r="A544" s="17">
        <f>IFERROR(__xludf.DUMMYFUNCTION("""COMPUTED_VALUE"""),2.12231869E8)</f>
        <v>212231869</v>
      </c>
      <c r="B544" s="18" t="str">
        <f>IFERROR(__xludf.DUMMYFUNCTION("""COMPUTED_VALUE"""),"ZAINIR A. KOROMPOT")</f>
        <v>ZAINIR A. KOROMPOT</v>
      </c>
      <c r="C544" s="18">
        <f>IFERROR(__xludf.DUMMYFUNCTION("""COMPUTED_VALUE"""),0.0)</f>
        <v>0</v>
      </c>
      <c r="D544" s="35"/>
      <c r="E544" s="18" t="str">
        <f>IFERROR(__xludf.DUMMYFUNCTION("""COMPUTED_VALUE"""),"CV. Adil Prima Perkasa")</f>
        <v>CV. Adil Prima Perkasa</v>
      </c>
      <c r="F544" s="18" t="str">
        <f>IFERROR(__xludf.DUMMYFUNCTION("""COMPUTED_VALUE"""),"DRIVER DT H500")</f>
        <v>DRIVER DT H500</v>
      </c>
      <c r="G544" s="18" t="str">
        <f>IFERROR(__xludf.DUMMYFUNCTION("""COMPUTED_VALUE"""),"KENDARAAN &amp; UNIT SUPPORT")</f>
        <v>KENDARAAN &amp; UNIT SUPPORT</v>
      </c>
      <c r="H544" s="18"/>
      <c r="I544" s="18"/>
      <c r="J544" s="36"/>
      <c r="K544" s="37" t="str">
        <f t="shared" si="1"/>
        <v/>
      </c>
    </row>
    <row r="545">
      <c r="A545" s="17">
        <f>IFERROR(__xludf.DUMMYFUNCTION("""COMPUTED_VALUE"""),2.07231797E8)</f>
        <v>207231797</v>
      </c>
      <c r="B545" s="18" t="str">
        <f>IFERROR(__xludf.DUMMYFUNCTION("""COMPUTED_VALUE"""),"ZETH")</f>
        <v>ZETH</v>
      </c>
      <c r="C545" s="18">
        <f>IFERROR(__xludf.DUMMYFUNCTION("""COMPUTED_VALUE"""),22.0)</f>
        <v>22</v>
      </c>
      <c r="D545" s="35" t="str">
        <f>IFERROR(__xludf.DUMMYFUNCTION("""COMPUTED_VALUE"""),"Kristen Protestan")</f>
        <v>Kristen Protestan</v>
      </c>
      <c r="E545" s="18" t="str">
        <f>IFERROR(__xludf.DUMMYFUNCTION("""COMPUTED_VALUE"""),"CV. Adil Prima Perkasa")</f>
        <v>CV. Adil Prima Perkasa</v>
      </c>
      <c r="F545" s="18" t="str">
        <f>IFERROR(__xludf.DUMMYFUNCTION("""COMPUTED_VALUE"""),"HELPER MECHANIC DT OTR")</f>
        <v>HELPER MECHANIC DT OTR</v>
      </c>
      <c r="G545" s="18" t="str">
        <f>IFERROR(__xludf.DUMMYFUNCTION("""COMPUTED_VALUE"""),"WORKSHOP")</f>
        <v>WORKSHOP</v>
      </c>
      <c r="H545" s="18" t="str">
        <f>IFERROR(__xludf.DUMMYFUNCTION("""COMPUTED_VALUE"""),"2023-12-29 06.31.01")</f>
        <v>2023-12-29 06.31.01</v>
      </c>
      <c r="I545" s="18" t="str">
        <f>IFERROR(__xludf.DUMMYFUNCTION("""COMPUTED_VALUE"""),"2023-12-29 06.31.01")</f>
        <v>2023-12-29 06.31.01</v>
      </c>
      <c r="J545" s="36"/>
      <c r="K545" s="37" t="str">
        <f t="shared" si="1"/>
        <v>[207231797] ZETH</v>
      </c>
    </row>
    <row r="546">
      <c r="A546" s="17">
        <f>IFERROR(__xludf.DUMMYFUNCTION("""COMPUTED_VALUE"""),1.08201194E8)</f>
        <v>108201194</v>
      </c>
      <c r="B546" s="18" t="str">
        <f>IFERROR(__xludf.DUMMYFUNCTION("""COMPUTED_VALUE"""),"ZULKIFLI")</f>
        <v>ZULKIFLI</v>
      </c>
      <c r="C546" s="18">
        <f>IFERROR(__xludf.DUMMYFUNCTION("""COMPUTED_VALUE"""),27.0)</f>
        <v>27</v>
      </c>
      <c r="D546" s="35" t="str">
        <f>IFERROR(__xludf.DUMMYFUNCTION("""COMPUTED_VALUE"""),"Islam")</f>
        <v>Islam</v>
      </c>
      <c r="E546" s="18" t="str">
        <f>IFERROR(__xludf.DUMMYFUNCTION("""COMPUTED_VALUE"""),"CV. SENTOSA ABADI")</f>
        <v>CV. SENTOSA ABADI</v>
      </c>
      <c r="F546" s="18" t="str">
        <f>IFERROR(__xludf.DUMMYFUNCTION("""COMPUTED_VALUE"""),"OPERATOR COMPACTOR")</f>
        <v>OPERATOR COMPACTOR</v>
      </c>
      <c r="G546" s="18" t="str">
        <f>IFERROR(__xludf.DUMMYFUNCTION("""COMPUTED_VALUE"""),"PRODUKSI")</f>
        <v>PRODUKSI</v>
      </c>
      <c r="H546" s="18" t="str">
        <f>IFERROR(__xludf.DUMMYFUNCTION("""COMPUTED_VALUE"""),"2023-11-30 16.53.53")</f>
        <v>2023-11-30 16.53.53</v>
      </c>
      <c r="I546" s="18" t="str">
        <f>IFERROR(__xludf.DUMMYFUNCTION("""COMPUTED_VALUE"""),"2023-11-30 16.53.53")</f>
        <v>2023-11-30 16.53.53</v>
      </c>
      <c r="J546" s="36"/>
      <c r="K546" s="37" t="str">
        <f t="shared" si="1"/>
        <v>[108201194] ZULKIFLI</v>
      </c>
    </row>
    <row r="547">
      <c r="A547" s="17"/>
      <c r="B547" s="18" t="str">
        <f>IFERROR(__xludf.DUMMYFUNCTION("""COMPUTED_VALUE"""),"[0201241879] ARIADI TURUSI")</f>
        <v>[0201241879] ARIADI TURUSI</v>
      </c>
      <c r="C547" s="18">
        <f>IFERROR(__xludf.DUMMYFUNCTION("""COMPUTED_VALUE"""),0.0)</f>
        <v>0</v>
      </c>
      <c r="D547" s="35"/>
      <c r="E547" s="18" t="str">
        <f>IFERROR(__xludf.DUMMYFUNCTION("""COMPUTED_VALUE"""),"CV. Adil Prima Perkasa")</f>
        <v>CV. Adil Prima Perkasa</v>
      </c>
      <c r="F547" s="18" t="str">
        <f>IFERROR(__xludf.DUMMYFUNCTION("""COMPUTED_VALUE"""),"FALSE")</f>
        <v>FALSE</v>
      </c>
      <c r="G547" s="18" t="str">
        <f>IFERROR(__xludf.DUMMYFUNCTION("""COMPUTED_VALUE"""),"FALSE")</f>
        <v>FALSE</v>
      </c>
      <c r="H547" s="18"/>
      <c r="I547" s="18"/>
      <c r="J547" s="36"/>
      <c r="K547" s="37" t="str">
        <f t="shared" si="1"/>
        <v/>
      </c>
    </row>
    <row r="548">
      <c r="A548" s="17"/>
      <c r="B548" s="18" t="str">
        <f>IFERROR(__xludf.DUMMYFUNCTION("""COMPUTED_VALUE"""),"[0202231720] TRI SUTRISNO ADE PUTRA")</f>
        <v>[0202231720] TRI SUTRISNO ADE PUTRA</v>
      </c>
      <c r="C548" s="18">
        <f>IFERROR(__xludf.DUMMYFUNCTION("""COMPUTED_VALUE"""),0.0)</f>
        <v>0</v>
      </c>
      <c r="D548" s="35"/>
      <c r="E548" s="18" t="str">
        <f>IFERROR(__xludf.DUMMYFUNCTION("""COMPUTED_VALUE"""),"CV. SENTOSA ABADI")</f>
        <v>CV. SENTOSA ABADI</v>
      </c>
      <c r="F548" s="18" t="str">
        <f>IFERROR(__xludf.DUMMYFUNCTION("""COMPUTED_VALUE"""),"FALSE")</f>
        <v>FALSE</v>
      </c>
      <c r="G548" s="18" t="str">
        <f>IFERROR(__xludf.DUMMYFUNCTION("""COMPUTED_VALUE"""),"FALSE")</f>
        <v>FALSE</v>
      </c>
      <c r="H548" s="18"/>
      <c r="I548" s="18"/>
      <c r="J548" s="36"/>
      <c r="K548" s="37" t="str">
        <f t="shared" si="1"/>
        <v/>
      </c>
    </row>
    <row r="549">
      <c r="A549" s="17"/>
      <c r="B549" s="18" t="str">
        <f>IFERROR(__xludf.DUMMYFUNCTION("""COMPUTED_VALUE"""),"[0210221697] NUR VERI FADLI")</f>
        <v>[0210221697] NUR VERI FADLI</v>
      </c>
      <c r="C549" s="18">
        <f>IFERROR(__xludf.DUMMYFUNCTION("""COMPUTED_VALUE"""),0.0)</f>
        <v>0</v>
      </c>
      <c r="D549" s="35"/>
      <c r="E549" s="18" t="str">
        <f>IFERROR(__xludf.DUMMYFUNCTION("""COMPUTED_VALUE"""),"CV. SENTOSA ABADI")</f>
        <v>CV. SENTOSA ABADI</v>
      </c>
      <c r="F549" s="18" t="str">
        <f>IFERROR(__xludf.DUMMYFUNCTION("""COMPUTED_VALUE"""),"FALSE")</f>
        <v>FALSE</v>
      </c>
      <c r="G549" s="18" t="str">
        <f>IFERROR(__xludf.DUMMYFUNCTION("""COMPUTED_VALUE"""),"FALSE")</f>
        <v>FALSE</v>
      </c>
      <c r="H549" s="18"/>
      <c r="I549" s="18"/>
      <c r="J549" s="36"/>
      <c r="K549" s="37" t="str">
        <f t="shared" si="1"/>
        <v/>
      </c>
    </row>
    <row r="550">
      <c r="A550" s="17"/>
      <c r="B550" s="18" t="str">
        <f>IFERROR(__xludf.DUMMYFUNCTION("""COMPUTED_VALUE"""),"[0303230112] GERALDY EICMAN LAKIU")</f>
        <v>[0303230112] GERALDY EICMAN LAKIU</v>
      </c>
      <c r="C550" s="18">
        <f>IFERROR(__xludf.DUMMYFUNCTION("""COMPUTED_VALUE"""),0.0)</f>
        <v>0</v>
      </c>
      <c r="D550" s="35"/>
      <c r="E550" s="18" t="str">
        <f>IFERROR(__xludf.DUMMYFUNCTION("""COMPUTED_VALUE"""),"CV. SENTOSA ABADI")</f>
        <v>CV. SENTOSA ABADI</v>
      </c>
      <c r="F550" s="18" t="str">
        <f>IFERROR(__xludf.DUMMYFUNCTION("""COMPUTED_VALUE"""),"FALSE")</f>
        <v>FALSE</v>
      </c>
      <c r="G550" s="18" t="str">
        <f>IFERROR(__xludf.DUMMYFUNCTION("""COMPUTED_VALUE"""),"FALSE")</f>
        <v>FALSE</v>
      </c>
      <c r="H550" s="18"/>
      <c r="I550" s="18"/>
      <c r="J550" s="36"/>
      <c r="K550" s="37" t="str">
        <f t="shared" si="1"/>
        <v/>
      </c>
    </row>
    <row r="551">
      <c r="A551" s="17"/>
      <c r="B551" s="18" t="str">
        <f>IFERROR(__xludf.DUMMYFUNCTION("""COMPUTED_VALUE"""),"[0309220106] JAINAL TURUSI")</f>
        <v>[0309220106] JAINAL TURUSI</v>
      </c>
      <c r="C551" s="18">
        <f>IFERROR(__xludf.DUMMYFUNCTION("""COMPUTED_VALUE"""),0.0)</f>
        <v>0</v>
      </c>
      <c r="D551" s="35"/>
      <c r="E551" s="18" t="str">
        <f>IFERROR(__xludf.DUMMYFUNCTION("""COMPUTED_VALUE"""),"CV. SENTOSA ABADI")</f>
        <v>CV. SENTOSA ABADI</v>
      </c>
      <c r="F551" s="18" t="str">
        <f>IFERROR(__xludf.DUMMYFUNCTION("""COMPUTED_VALUE"""),"FALSE")</f>
        <v>FALSE</v>
      </c>
      <c r="G551" s="18" t="str">
        <f>IFERROR(__xludf.DUMMYFUNCTION("""COMPUTED_VALUE"""),"FALSE")</f>
        <v>FALSE</v>
      </c>
      <c r="H551" s="18"/>
      <c r="I551" s="18"/>
      <c r="J551" s="36"/>
      <c r="K551" s="37" t="str">
        <f t="shared" si="1"/>
        <v/>
      </c>
    </row>
    <row r="552">
      <c r="A552" s="17"/>
      <c r="B552" s="18" t="str">
        <f>IFERROR(__xludf.DUMMYFUNCTION("""COMPUTED_VALUE"""),"adri panyopu")</f>
        <v>adri panyopu</v>
      </c>
      <c r="C552" s="18">
        <f>IFERROR(__xludf.DUMMYFUNCTION("""COMPUTED_VALUE"""),0.0)</f>
        <v>0</v>
      </c>
      <c r="D552" s="35"/>
      <c r="E552" s="18" t="str">
        <f>IFERROR(__xludf.DUMMYFUNCTION("""COMPUTED_VALUE"""),"CV. SENTOSA ABADI")</f>
        <v>CV. SENTOSA ABADI</v>
      </c>
      <c r="F552" s="18" t="str">
        <f>IFERROR(__xludf.DUMMYFUNCTION("""COMPUTED_VALUE"""),"FALSE")</f>
        <v>FALSE</v>
      </c>
      <c r="G552" s="18" t="str">
        <f>IFERROR(__xludf.DUMMYFUNCTION("""COMPUTED_VALUE"""),"FALSE")</f>
        <v>FALSE</v>
      </c>
      <c r="H552" s="18"/>
      <c r="I552" s="18"/>
      <c r="J552" s="36"/>
      <c r="K552" s="37" t="str">
        <f t="shared" si="1"/>
        <v/>
      </c>
    </row>
    <row r="553">
      <c r="A553" s="17"/>
      <c r="B553" s="18" t="str">
        <f>IFERROR(__xludf.DUMMYFUNCTION("""COMPUTED_VALUE"""),"aldin")</f>
        <v>aldin</v>
      </c>
      <c r="C553" s="18">
        <f>IFERROR(__xludf.DUMMYFUNCTION("""COMPUTED_VALUE"""),0.0)</f>
        <v>0</v>
      </c>
      <c r="D553" s="35"/>
      <c r="E553" s="18" t="str">
        <f>IFERROR(__xludf.DUMMYFUNCTION("""COMPUTED_VALUE"""),"CV. SENTOSA ABADI")</f>
        <v>CV. SENTOSA ABADI</v>
      </c>
      <c r="F553" s="18" t="str">
        <f>IFERROR(__xludf.DUMMYFUNCTION("""COMPUTED_VALUE"""),"FALSE")</f>
        <v>FALSE</v>
      </c>
      <c r="G553" s="18" t="str">
        <f>IFERROR(__xludf.DUMMYFUNCTION("""COMPUTED_VALUE"""),"FALSE")</f>
        <v>FALSE</v>
      </c>
      <c r="H553" s="18"/>
      <c r="I553" s="18"/>
      <c r="J553" s="36"/>
      <c r="K553" s="37" t="str">
        <f t="shared" si="1"/>
        <v/>
      </c>
    </row>
    <row r="554">
      <c r="A554" s="17"/>
      <c r="B554" s="18" t="str">
        <f>IFERROR(__xludf.DUMMYFUNCTION("""COMPUTED_VALUE"""),"jeski. S")</f>
        <v>jeski. S</v>
      </c>
      <c r="C554" s="18">
        <f>IFERROR(__xludf.DUMMYFUNCTION("""COMPUTED_VALUE"""),0.0)</f>
        <v>0</v>
      </c>
      <c r="D554" s="35"/>
      <c r="E554" s="18" t="str">
        <f>IFERROR(__xludf.DUMMYFUNCTION("""COMPUTED_VALUE"""),"CV. SENTOSA ABADI")</f>
        <v>CV. SENTOSA ABADI</v>
      </c>
      <c r="F554" s="18" t="str">
        <f>IFERROR(__xludf.DUMMYFUNCTION("""COMPUTED_VALUE"""),"FALSE")</f>
        <v>FALSE</v>
      </c>
      <c r="G554" s="18" t="str">
        <f>IFERROR(__xludf.DUMMYFUNCTION("""COMPUTED_VALUE"""),"FALSE")</f>
        <v>FALSE</v>
      </c>
      <c r="H554" s="18"/>
      <c r="I554" s="18"/>
      <c r="J554" s="36"/>
      <c r="K554" s="37" t="str">
        <f t="shared" si="1"/>
        <v/>
      </c>
    </row>
    <row r="555">
      <c r="A555" s="17"/>
      <c r="B555" s="18" t="str">
        <f>IFERROR(__xludf.DUMMYFUNCTION("""COMPUTED_VALUE"""),"jeski. m")</f>
        <v>jeski. m</v>
      </c>
      <c r="C555" s="18">
        <f>IFERROR(__xludf.DUMMYFUNCTION("""COMPUTED_VALUE"""),0.0)</f>
        <v>0</v>
      </c>
      <c r="D555" s="35"/>
      <c r="E555" s="18" t="str">
        <f>IFERROR(__xludf.DUMMYFUNCTION("""COMPUTED_VALUE"""),"CV. SENTOSA ABADI")</f>
        <v>CV. SENTOSA ABADI</v>
      </c>
      <c r="F555" s="18" t="str">
        <f>IFERROR(__xludf.DUMMYFUNCTION("""COMPUTED_VALUE"""),"FALSE")</f>
        <v>FALSE</v>
      </c>
      <c r="G555" s="18" t="str">
        <f>IFERROR(__xludf.DUMMYFUNCTION("""COMPUTED_VALUE"""),"FALSE")</f>
        <v>FALSE</v>
      </c>
      <c r="H555" s="18"/>
      <c r="I555" s="18"/>
      <c r="J555" s="36"/>
      <c r="K555" s="37" t="str">
        <f t="shared" si="1"/>
        <v/>
      </c>
    </row>
    <row r="556">
      <c r="A556" s="17"/>
      <c r="B556" s="18" t="str">
        <f>IFERROR(__xludf.DUMMYFUNCTION("""COMPUTED_VALUE"""),"krisman")</f>
        <v>krisman</v>
      </c>
      <c r="C556" s="18">
        <f>IFERROR(__xludf.DUMMYFUNCTION("""COMPUTED_VALUE"""),0.0)</f>
        <v>0</v>
      </c>
      <c r="D556" s="35"/>
      <c r="E556" s="18" t="str">
        <f>IFERROR(__xludf.DUMMYFUNCTION("""COMPUTED_VALUE"""),"CV. SENTOSA ABADI")</f>
        <v>CV. SENTOSA ABADI</v>
      </c>
      <c r="F556" s="18" t="str">
        <f>IFERROR(__xludf.DUMMYFUNCTION("""COMPUTED_VALUE"""),"FALSE")</f>
        <v>FALSE</v>
      </c>
      <c r="G556" s="18" t="str">
        <f>IFERROR(__xludf.DUMMYFUNCTION("""COMPUTED_VALUE"""),"FALSE")</f>
        <v>FALSE</v>
      </c>
      <c r="H556" s="18"/>
      <c r="I556" s="18"/>
      <c r="J556" s="36"/>
      <c r="K556" s="37" t="str">
        <f t="shared" si="1"/>
        <v/>
      </c>
    </row>
    <row r="557">
      <c r="A557" s="17"/>
      <c r="B557" s="18" t="str">
        <f>IFERROR(__xludf.DUMMYFUNCTION("""COMPUTED_VALUE"""),"sani")</f>
        <v>sani</v>
      </c>
      <c r="C557" s="18">
        <f>IFERROR(__xludf.DUMMYFUNCTION("""COMPUTED_VALUE"""),0.0)</f>
        <v>0</v>
      </c>
      <c r="D557" s="35"/>
      <c r="E557" s="18" t="str">
        <f>IFERROR(__xludf.DUMMYFUNCTION("""COMPUTED_VALUE"""),"CV. SENTOSA ABADI")</f>
        <v>CV. SENTOSA ABADI</v>
      </c>
      <c r="F557" s="18" t="str">
        <f>IFERROR(__xludf.DUMMYFUNCTION("""COMPUTED_VALUE"""),"FALSE")</f>
        <v>FALSE</v>
      </c>
      <c r="G557" s="18" t="str">
        <f>IFERROR(__xludf.DUMMYFUNCTION("""COMPUTED_VALUE"""),"FALSE")</f>
        <v>FALSE</v>
      </c>
      <c r="H557" s="18"/>
      <c r="I557" s="18"/>
      <c r="J557" s="36"/>
      <c r="K557" s="37" t="str">
        <f t="shared" si="1"/>
        <v/>
      </c>
    </row>
    <row r="558">
      <c r="A558" s="17"/>
      <c r="B558" s="18"/>
      <c r="C558" s="18"/>
      <c r="D558" s="35"/>
      <c r="E558" s="18"/>
      <c r="F558" s="18"/>
      <c r="G558" s="18"/>
      <c r="H558" s="18"/>
      <c r="I558" s="18"/>
      <c r="J558" s="36"/>
      <c r="K558" s="37" t="str">
        <f t="shared" si="1"/>
        <v/>
      </c>
    </row>
    <row r="559">
      <c r="A559" s="17"/>
      <c r="B559" s="18"/>
      <c r="C559" s="18"/>
      <c r="D559" s="35"/>
      <c r="E559" s="18"/>
      <c r="F559" s="18"/>
      <c r="G559" s="18"/>
      <c r="H559" s="18"/>
      <c r="I559" s="18"/>
      <c r="J559" s="36"/>
      <c r="K559" s="37" t="str">
        <f t="shared" si="1"/>
        <v/>
      </c>
    </row>
    <row r="560">
      <c r="A560" s="17"/>
      <c r="B560" s="18"/>
      <c r="C560" s="18"/>
      <c r="D560" s="35"/>
      <c r="E560" s="18"/>
      <c r="F560" s="18"/>
      <c r="G560" s="18"/>
      <c r="H560" s="18"/>
      <c r="I560" s="18"/>
      <c r="J560" s="36"/>
      <c r="K560" s="37" t="str">
        <f t="shared" si="1"/>
        <v/>
      </c>
    </row>
    <row r="561">
      <c r="A561" s="17"/>
      <c r="B561" s="18"/>
      <c r="C561" s="18"/>
      <c r="D561" s="35"/>
      <c r="E561" s="18"/>
      <c r="F561" s="18"/>
      <c r="G561" s="18"/>
      <c r="H561" s="18"/>
      <c r="I561" s="18"/>
      <c r="J561" s="36"/>
      <c r="K561" s="37" t="str">
        <f t="shared" si="1"/>
        <v/>
      </c>
    </row>
    <row r="562">
      <c r="A562" s="17"/>
      <c r="B562" s="18"/>
      <c r="C562" s="18"/>
      <c r="D562" s="35"/>
      <c r="E562" s="18"/>
      <c r="F562" s="18"/>
      <c r="G562" s="18"/>
      <c r="H562" s="18"/>
      <c r="I562" s="18"/>
      <c r="J562" s="36"/>
      <c r="K562" s="37" t="str">
        <f t="shared" si="1"/>
        <v/>
      </c>
    </row>
    <row r="563">
      <c r="A563" s="17"/>
      <c r="B563" s="18"/>
      <c r="C563" s="18"/>
      <c r="D563" s="35"/>
      <c r="E563" s="18"/>
      <c r="F563" s="18"/>
      <c r="G563" s="18"/>
      <c r="H563" s="18"/>
      <c r="I563" s="18"/>
      <c r="J563" s="36"/>
      <c r="K563" s="37" t="str">
        <f t="shared" si="1"/>
        <v/>
      </c>
    </row>
    <row r="564">
      <c r="A564" s="17"/>
      <c r="B564" s="18"/>
      <c r="C564" s="18"/>
      <c r="D564" s="35"/>
      <c r="E564" s="18"/>
      <c r="F564" s="18"/>
      <c r="G564" s="18"/>
      <c r="H564" s="18"/>
      <c r="I564" s="18"/>
      <c r="J564" s="36"/>
      <c r="K564" s="37" t="str">
        <f t="shared" si="1"/>
        <v/>
      </c>
    </row>
    <row r="565">
      <c r="A565" s="17"/>
      <c r="B565" s="18"/>
      <c r="C565" s="18"/>
      <c r="D565" s="35"/>
      <c r="E565" s="18"/>
      <c r="F565" s="18"/>
      <c r="G565" s="18"/>
      <c r="H565" s="18"/>
      <c r="I565" s="18"/>
      <c r="J565" s="36"/>
      <c r="K565" s="37" t="str">
        <f t="shared" si="1"/>
        <v/>
      </c>
    </row>
    <row r="566">
      <c r="A566" s="17"/>
      <c r="B566" s="18"/>
      <c r="C566" s="18"/>
      <c r="D566" s="35"/>
      <c r="E566" s="18"/>
      <c r="F566" s="18"/>
      <c r="G566" s="18"/>
      <c r="H566" s="18"/>
      <c r="I566" s="18"/>
      <c r="J566" s="36"/>
      <c r="K566" s="37" t="str">
        <f t="shared" si="1"/>
        <v/>
      </c>
    </row>
    <row r="567">
      <c r="A567" s="17"/>
      <c r="B567" s="18"/>
      <c r="C567" s="18"/>
      <c r="D567" s="35"/>
      <c r="E567" s="18"/>
      <c r="F567" s="18"/>
      <c r="G567" s="18"/>
      <c r="H567" s="18"/>
      <c r="I567" s="18"/>
      <c r="J567" s="36"/>
      <c r="K567" s="37" t="str">
        <f t="shared" si="1"/>
        <v/>
      </c>
    </row>
    <row r="568">
      <c r="A568" s="17"/>
      <c r="B568" s="18"/>
      <c r="C568" s="18"/>
      <c r="D568" s="35"/>
      <c r="E568" s="18"/>
      <c r="F568" s="18"/>
      <c r="G568" s="18"/>
      <c r="H568" s="18"/>
      <c r="I568" s="18"/>
      <c r="J568" s="36"/>
      <c r="K568" s="37" t="str">
        <f t="shared" si="1"/>
        <v/>
      </c>
    </row>
    <row r="569">
      <c r="A569" s="17"/>
      <c r="B569" s="18"/>
      <c r="C569" s="18"/>
      <c r="D569" s="35"/>
      <c r="E569" s="18"/>
      <c r="F569" s="18"/>
      <c r="G569" s="18"/>
      <c r="H569" s="18"/>
      <c r="I569" s="18"/>
      <c r="J569" s="36"/>
      <c r="K569" s="37" t="str">
        <f t="shared" si="1"/>
        <v/>
      </c>
    </row>
    <row r="570">
      <c r="A570" s="17"/>
      <c r="B570" s="18"/>
      <c r="C570" s="18"/>
      <c r="D570" s="35"/>
      <c r="E570" s="18"/>
      <c r="F570" s="18"/>
      <c r="G570" s="18"/>
      <c r="H570" s="18"/>
      <c r="I570" s="18"/>
      <c r="J570" s="36"/>
      <c r="K570" s="37" t="str">
        <f t="shared" si="1"/>
        <v/>
      </c>
    </row>
    <row r="571">
      <c r="A571" s="17"/>
      <c r="B571" s="18"/>
      <c r="C571" s="18"/>
      <c r="D571" s="35"/>
      <c r="E571" s="18"/>
      <c r="F571" s="18"/>
      <c r="G571" s="18"/>
      <c r="H571" s="18"/>
      <c r="I571" s="18"/>
      <c r="J571" s="36"/>
      <c r="K571" s="37" t="str">
        <f t="shared" si="1"/>
        <v/>
      </c>
    </row>
    <row r="572">
      <c r="A572" s="17"/>
      <c r="B572" s="18"/>
      <c r="C572" s="18"/>
      <c r="D572" s="35"/>
      <c r="E572" s="18"/>
      <c r="F572" s="18"/>
      <c r="G572" s="18"/>
      <c r="H572" s="18"/>
      <c r="I572" s="18"/>
      <c r="J572" s="36"/>
      <c r="K572" s="37" t="str">
        <f t="shared" si="1"/>
        <v/>
      </c>
    </row>
    <row r="573">
      <c r="A573" s="17"/>
      <c r="B573" s="18"/>
      <c r="C573" s="18"/>
      <c r="D573" s="35"/>
      <c r="E573" s="18"/>
      <c r="F573" s="18"/>
      <c r="G573" s="18"/>
      <c r="H573" s="18"/>
      <c r="I573" s="18"/>
      <c r="J573" s="36"/>
      <c r="K573" s="37" t="str">
        <f t="shared" si="1"/>
        <v/>
      </c>
    </row>
    <row r="574">
      <c r="A574" s="17"/>
      <c r="B574" s="18"/>
      <c r="C574" s="18"/>
      <c r="D574" s="35"/>
      <c r="E574" s="18"/>
      <c r="F574" s="18"/>
      <c r="G574" s="18"/>
      <c r="H574" s="18"/>
      <c r="I574" s="18"/>
      <c r="J574" s="36"/>
      <c r="K574" s="37" t="str">
        <f t="shared" si="1"/>
        <v/>
      </c>
    </row>
    <row r="575">
      <c r="A575" s="17"/>
      <c r="B575" s="18"/>
      <c r="C575" s="18"/>
      <c r="D575" s="35"/>
      <c r="E575" s="18"/>
      <c r="F575" s="18"/>
      <c r="G575" s="18"/>
      <c r="H575" s="18"/>
      <c r="I575" s="18"/>
      <c r="J575" s="36"/>
      <c r="K575" s="37" t="str">
        <f t="shared" si="1"/>
        <v/>
      </c>
    </row>
    <row r="576">
      <c r="A576" s="17"/>
      <c r="B576" s="18"/>
      <c r="C576" s="18"/>
      <c r="D576" s="35"/>
      <c r="E576" s="18"/>
      <c r="F576" s="18"/>
      <c r="G576" s="18"/>
      <c r="H576" s="18"/>
      <c r="I576" s="18"/>
      <c r="J576" s="36"/>
      <c r="K576" s="37" t="str">
        <f t="shared" si="1"/>
        <v/>
      </c>
    </row>
    <row r="577">
      <c r="A577" s="17"/>
      <c r="B577" s="18"/>
      <c r="C577" s="18"/>
      <c r="D577" s="35"/>
      <c r="E577" s="18"/>
      <c r="F577" s="18"/>
      <c r="G577" s="18"/>
      <c r="H577" s="18"/>
      <c r="I577" s="18"/>
      <c r="J577" s="36"/>
      <c r="K577" s="37" t="str">
        <f t="shared" si="1"/>
        <v/>
      </c>
    </row>
    <row r="578">
      <c r="A578" s="17"/>
      <c r="B578" s="18"/>
      <c r="C578" s="18"/>
      <c r="D578" s="35"/>
      <c r="E578" s="18"/>
      <c r="F578" s="18"/>
      <c r="G578" s="18"/>
      <c r="H578" s="18"/>
      <c r="I578" s="18"/>
      <c r="J578" s="36"/>
      <c r="K578" s="37" t="str">
        <f t="shared" si="1"/>
        <v/>
      </c>
    </row>
    <row r="579">
      <c r="A579" s="17"/>
      <c r="B579" s="18"/>
      <c r="C579" s="18"/>
      <c r="D579" s="35"/>
      <c r="E579" s="18"/>
      <c r="F579" s="18"/>
      <c r="G579" s="18"/>
      <c r="H579" s="18"/>
      <c r="I579" s="18"/>
      <c r="J579" s="36"/>
      <c r="K579" s="37" t="str">
        <f t="shared" si="1"/>
        <v/>
      </c>
    </row>
    <row r="580">
      <c r="A580" s="17"/>
      <c r="B580" s="18"/>
      <c r="C580" s="18"/>
      <c r="D580" s="35"/>
      <c r="E580" s="18"/>
      <c r="F580" s="18"/>
      <c r="G580" s="18"/>
      <c r="H580" s="18"/>
      <c r="I580" s="18"/>
      <c r="J580" s="36"/>
      <c r="K580" s="37" t="str">
        <f t="shared" si="1"/>
        <v/>
      </c>
    </row>
    <row r="581">
      <c r="A581" s="17"/>
      <c r="B581" s="18"/>
      <c r="C581" s="18"/>
      <c r="D581" s="35"/>
      <c r="E581" s="18"/>
      <c r="F581" s="18"/>
      <c r="G581" s="18"/>
      <c r="H581" s="18"/>
      <c r="I581" s="18"/>
      <c r="J581" s="36"/>
      <c r="K581" s="37" t="str">
        <f t="shared" si="1"/>
        <v/>
      </c>
    </row>
    <row r="582">
      <c r="A582" s="17"/>
      <c r="B582" s="18"/>
      <c r="C582" s="18"/>
      <c r="D582" s="35"/>
      <c r="E582" s="18"/>
      <c r="F582" s="18"/>
      <c r="G582" s="18"/>
      <c r="H582" s="18"/>
      <c r="I582" s="18"/>
      <c r="J582" s="36"/>
      <c r="K582" s="37" t="str">
        <f t="shared" si="1"/>
        <v/>
      </c>
    </row>
    <row r="583">
      <c r="A583" s="17"/>
      <c r="B583" s="18"/>
      <c r="C583" s="18"/>
      <c r="D583" s="35"/>
      <c r="E583" s="18"/>
      <c r="F583" s="18"/>
      <c r="G583" s="18"/>
      <c r="H583" s="18"/>
      <c r="I583" s="18"/>
      <c r="J583" s="36"/>
      <c r="K583" s="37" t="str">
        <f t="shared" si="1"/>
        <v/>
      </c>
    </row>
    <row r="584">
      <c r="A584" s="17"/>
      <c r="B584" s="18"/>
      <c r="C584" s="18"/>
      <c r="D584" s="35"/>
      <c r="E584" s="18"/>
      <c r="F584" s="18"/>
      <c r="G584" s="18"/>
      <c r="H584" s="18"/>
      <c r="I584" s="18"/>
      <c r="J584" s="36"/>
      <c r="K584" s="37" t="str">
        <f t="shared" si="1"/>
        <v/>
      </c>
    </row>
    <row r="585">
      <c r="A585" s="17"/>
      <c r="B585" s="18"/>
      <c r="C585" s="18"/>
      <c r="D585" s="35"/>
      <c r="E585" s="18"/>
      <c r="F585" s="18"/>
      <c r="G585" s="18"/>
      <c r="H585" s="18"/>
      <c r="I585" s="18"/>
      <c r="J585" s="36"/>
      <c r="K585" s="37" t="str">
        <f t="shared" si="1"/>
        <v/>
      </c>
    </row>
    <row r="586">
      <c r="A586" s="17"/>
      <c r="B586" s="18"/>
      <c r="C586" s="18"/>
      <c r="D586" s="35"/>
      <c r="E586" s="18"/>
      <c r="F586" s="18"/>
      <c r="G586" s="18"/>
      <c r="H586" s="18"/>
      <c r="I586" s="18"/>
      <c r="J586" s="36"/>
      <c r="K586" s="37" t="str">
        <f t="shared" si="1"/>
        <v/>
      </c>
    </row>
    <row r="587">
      <c r="A587" s="17"/>
      <c r="B587" s="18"/>
      <c r="C587" s="18"/>
      <c r="D587" s="35"/>
      <c r="E587" s="18"/>
      <c r="F587" s="18"/>
      <c r="G587" s="18"/>
      <c r="H587" s="18"/>
      <c r="I587" s="18"/>
      <c r="J587" s="36"/>
      <c r="K587" s="37" t="str">
        <f t="shared" si="1"/>
        <v/>
      </c>
    </row>
    <row r="588">
      <c r="A588" s="17"/>
      <c r="B588" s="18"/>
      <c r="C588" s="18"/>
      <c r="D588" s="35"/>
      <c r="E588" s="18"/>
      <c r="F588" s="18"/>
      <c r="G588" s="18"/>
      <c r="H588" s="18"/>
      <c r="I588" s="18"/>
      <c r="J588" s="36"/>
      <c r="K588" s="37" t="str">
        <f t="shared" si="1"/>
        <v/>
      </c>
    </row>
    <row r="589">
      <c r="A589" s="17"/>
      <c r="B589" s="18"/>
      <c r="C589" s="18"/>
      <c r="D589" s="35"/>
      <c r="E589" s="18"/>
      <c r="F589" s="18"/>
      <c r="G589" s="18"/>
      <c r="H589" s="18"/>
      <c r="I589" s="18"/>
      <c r="J589" s="36"/>
      <c r="K589" s="37" t="str">
        <f t="shared" si="1"/>
        <v/>
      </c>
    </row>
    <row r="590">
      <c r="A590" s="17"/>
      <c r="B590" s="18"/>
      <c r="C590" s="18"/>
      <c r="D590" s="35"/>
      <c r="E590" s="18"/>
      <c r="F590" s="18"/>
      <c r="G590" s="18"/>
      <c r="H590" s="18"/>
      <c r="I590" s="18"/>
      <c r="J590" s="36"/>
      <c r="K590" s="37" t="str">
        <f t="shared" si="1"/>
        <v/>
      </c>
    </row>
    <row r="591">
      <c r="A591" s="17"/>
      <c r="B591" s="18"/>
      <c r="C591" s="18"/>
      <c r="D591" s="35"/>
      <c r="E591" s="18"/>
      <c r="F591" s="18"/>
      <c r="G591" s="18"/>
      <c r="H591" s="18"/>
      <c r="I591" s="18"/>
      <c r="J591" s="36"/>
      <c r="K591" s="37" t="str">
        <f t="shared" si="1"/>
        <v/>
      </c>
    </row>
    <row r="592">
      <c r="A592" s="17"/>
      <c r="B592" s="18"/>
      <c r="C592" s="18"/>
      <c r="D592" s="35"/>
      <c r="E592" s="18"/>
      <c r="F592" s="18"/>
      <c r="G592" s="18"/>
      <c r="H592" s="18"/>
      <c r="I592" s="18"/>
      <c r="J592" s="36"/>
      <c r="K592" s="37" t="str">
        <f t="shared" si="1"/>
        <v/>
      </c>
    </row>
    <row r="593">
      <c r="A593" s="17"/>
      <c r="B593" s="18"/>
      <c r="C593" s="18"/>
      <c r="D593" s="35"/>
      <c r="E593" s="18"/>
      <c r="F593" s="18"/>
      <c r="G593" s="18"/>
      <c r="H593" s="18"/>
      <c r="I593" s="18"/>
      <c r="J593" s="36"/>
      <c r="K593" s="37" t="str">
        <f t="shared" si="1"/>
        <v/>
      </c>
    </row>
    <row r="594">
      <c r="A594" s="17"/>
      <c r="B594" s="18"/>
      <c r="C594" s="18"/>
      <c r="D594" s="35"/>
      <c r="E594" s="18"/>
      <c r="F594" s="18"/>
      <c r="G594" s="18"/>
      <c r="H594" s="18"/>
      <c r="I594" s="18"/>
      <c r="J594" s="36"/>
      <c r="K594" s="37" t="str">
        <f t="shared" si="1"/>
        <v/>
      </c>
    </row>
    <row r="595">
      <c r="A595" s="17"/>
      <c r="B595" s="18"/>
      <c r="C595" s="18"/>
      <c r="D595" s="35"/>
      <c r="E595" s="18"/>
      <c r="F595" s="18"/>
      <c r="G595" s="18"/>
      <c r="H595" s="18"/>
      <c r="I595" s="18"/>
      <c r="J595" s="36"/>
      <c r="K595" s="37" t="str">
        <f t="shared" si="1"/>
        <v/>
      </c>
    </row>
    <row r="596">
      <c r="A596" s="17"/>
      <c r="B596" s="18"/>
      <c r="C596" s="18"/>
      <c r="D596" s="35"/>
      <c r="E596" s="18"/>
      <c r="F596" s="18"/>
      <c r="G596" s="18"/>
      <c r="H596" s="18"/>
      <c r="I596" s="18"/>
      <c r="J596" s="36"/>
      <c r="K596" s="37" t="str">
        <f t="shared" si="1"/>
        <v/>
      </c>
    </row>
    <row r="597">
      <c r="A597" s="17"/>
      <c r="B597" s="18"/>
      <c r="C597" s="18"/>
      <c r="D597" s="35"/>
      <c r="E597" s="18"/>
      <c r="F597" s="18"/>
      <c r="G597" s="18"/>
      <c r="H597" s="18"/>
      <c r="I597" s="18"/>
      <c r="J597" s="36"/>
      <c r="K597" s="37" t="str">
        <f t="shared" ref="K597:K1000" si="2">IFERROR(IF(I597="","",CONCAT(CONCAT(CONCAT("[",G597),"] "),H597)),"")</f>
        <v/>
      </c>
    </row>
    <row r="598">
      <c r="A598" s="17"/>
      <c r="B598" s="18"/>
      <c r="C598" s="18"/>
      <c r="D598" s="35"/>
      <c r="E598" s="18"/>
      <c r="F598" s="18"/>
      <c r="G598" s="18"/>
      <c r="H598" s="18"/>
      <c r="I598" s="18"/>
      <c r="J598" s="36"/>
      <c r="K598" s="37" t="str">
        <f t="shared" si="2"/>
        <v/>
      </c>
    </row>
    <row r="599">
      <c r="A599" s="17"/>
      <c r="B599" s="18"/>
      <c r="C599" s="18"/>
      <c r="D599" s="35"/>
      <c r="E599" s="18"/>
      <c r="F599" s="18"/>
      <c r="G599" s="18"/>
      <c r="H599" s="18"/>
      <c r="I599" s="18"/>
      <c r="J599" s="36"/>
      <c r="K599" s="37" t="str">
        <f t="shared" si="2"/>
        <v/>
      </c>
    </row>
    <row r="600">
      <c r="A600" s="17"/>
      <c r="B600" s="18"/>
      <c r="C600" s="18"/>
      <c r="D600" s="35"/>
      <c r="E600" s="18"/>
      <c r="F600" s="18"/>
      <c r="G600" s="18"/>
      <c r="H600" s="18"/>
      <c r="I600" s="18"/>
      <c r="J600" s="36"/>
      <c r="K600" s="37" t="str">
        <f t="shared" si="2"/>
        <v/>
      </c>
    </row>
    <row r="601">
      <c r="A601" s="17"/>
      <c r="B601" s="18"/>
      <c r="C601" s="18"/>
      <c r="D601" s="35"/>
      <c r="E601" s="18"/>
      <c r="F601" s="18"/>
      <c r="G601" s="18"/>
      <c r="H601" s="18"/>
      <c r="I601" s="18"/>
      <c r="J601" s="36"/>
      <c r="K601" s="37" t="str">
        <f t="shared" si="2"/>
        <v/>
      </c>
    </row>
    <row r="602">
      <c r="A602" s="17"/>
      <c r="B602" s="18"/>
      <c r="C602" s="18"/>
      <c r="D602" s="35"/>
      <c r="E602" s="18"/>
      <c r="F602" s="18"/>
      <c r="G602" s="18"/>
      <c r="H602" s="18"/>
      <c r="I602" s="18"/>
      <c r="J602" s="36"/>
      <c r="K602" s="37" t="str">
        <f t="shared" si="2"/>
        <v/>
      </c>
    </row>
    <row r="603">
      <c r="A603" s="17"/>
      <c r="B603" s="18"/>
      <c r="C603" s="18"/>
      <c r="D603" s="35"/>
      <c r="E603" s="18"/>
      <c r="F603" s="18"/>
      <c r="G603" s="18"/>
      <c r="H603" s="18"/>
      <c r="I603" s="18"/>
      <c r="J603" s="36"/>
      <c r="K603" s="37" t="str">
        <f t="shared" si="2"/>
        <v/>
      </c>
    </row>
    <row r="604">
      <c r="A604" s="17"/>
      <c r="B604" s="18"/>
      <c r="C604" s="18"/>
      <c r="D604" s="35"/>
      <c r="E604" s="18"/>
      <c r="F604" s="18"/>
      <c r="G604" s="18"/>
      <c r="H604" s="18"/>
      <c r="I604" s="18"/>
      <c r="J604" s="36"/>
      <c r="K604" s="37" t="str">
        <f t="shared" si="2"/>
        <v/>
      </c>
    </row>
    <row r="605">
      <c r="A605" s="17"/>
      <c r="B605" s="18"/>
      <c r="C605" s="18"/>
      <c r="D605" s="35"/>
      <c r="E605" s="18"/>
      <c r="F605" s="18"/>
      <c r="G605" s="18"/>
      <c r="H605" s="18"/>
      <c r="I605" s="18"/>
      <c r="J605" s="36"/>
      <c r="K605" s="37" t="str">
        <f t="shared" si="2"/>
        <v/>
      </c>
    </row>
    <row r="606">
      <c r="A606" s="17"/>
      <c r="B606" s="18"/>
      <c r="C606" s="18"/>
      <c r="D606" s="35"/>
      <c r="E606" s="18"/>
      <c r="F606" s="18"/>
      <c r="G606" s="18"/>
      <c r="H606" s="18"/>
      <c r="I606" s="18"/>
      <c r="J606" s="36"/>
      <c r="K606" s="37" t="str">
        <f t="shared" si="2"/>
        <v/>
      </c>
    </row>
    <row r="607">
      <c r="A607" s="17"/>
      <c r="B607" s="18"/>
      <c r="C607" s="18"/>
      <c r="D607" s="35"/>
      <c r="E607" s="18"/>
      <c r="F607" s="18"/>
      <c r="G607" s="18"/>
      <c r="H607" s="18"/>
      <c r="I607" s="18"/>
      <c r="J607" s="36"/>
      <c r="K607" s="37" t="str">
        <f t="shared" si="2"/>
        <v/>
      </c>
    </row>
    <row r="608">
      <c r="A608" s="17"/>
      <c r="B608" s="18"/>
      <c r="C608" s="18"/>
      <c r="D608" s="35"/>
      <c r="E608" s="18"/>
      <c r="F608" s="18"/>
      <c r="G608" s="18"/>
      <c r="H608" s="18"/>
      <c r="I608" s="18"/>
      <c r="J608" s="36"/>
      <c r="K608" s="37" t="str">
        <f t="shared" si="2"/>
        <v/>
      </c>
    </row>
    <row r="609">
      <c r="A609" s="17"/>
      <c r="B609" s="18"/>
      <c r="C609" s="18"/>
      <c r="D609" s="35"/>
      <c r="E609" s="18"/>
      <c r="F609" s="18"/>
      <c r="G609" s="18"/>
      <c r="H609" s="18"/>
      <c r="I609" s="18"/>
      <c r="J609" s="36"/>
      <c r="K609" s="37" t="str">
        <f t="shared" si="2"/>
        <v/>
      </c>
    </row>
    <row r="610">
      <c r="A610" s="17"/>
      <c r="B610" s="18"/>
      <c r="C610" s="18"/>
      <c r="D610" s="35"/>
      <c r="E610" s="18"/>
      <c r="F610" s="18"/>
      <c r="G610" s="18"/>
      <c r="H610" s="18"/>
      <c r="I610" s="18"/>
      <c r="J610" s="36"/>
      <c r="K610" s="37" t="str">
        <f t="shared" si="2"/>
        <v/>
      </c>
    </row>
    <row r="611">
      <c r="A611" s="17"/>
      <c r="B611" s="18"/>
      <c r="C611" s="18"/>
      <c r="D611" s="35"/>
      <c r="E611" s="18"/>
      <c r="F611" s="18"/>
      <c r="G611" s="18"/>
      <c r="H611" s="18"/>
      <c r="I611" s="18"/>
      <c r="J611" s="36"/>
      <c r="K611" s="37" t="str">
        <f t="shared" si="2"/>
        <v/>
      </c>
    </row>
    <row r="612">
      <c r="A612" s="17"/>
      <c r="B612" s="18"/>
      <c r="C612" s="18"/>
      <c r="D612" s="35"/>
      <c r="E612" s="18"/>
      <c r="F612" s="18"/>
      <c r="G612" s="18"/>
      <c r="H612" s="18"/>
      <c r="I612" s="18"/>
      <c r="J612" s="36"/>
      <c r="K612" s="37" t="str">
        <f t="shared" si="2"/>
        <v/>
      </c>
    </row>
    <row r="613">
      <c r="A613" s="17"/>
      <c r="B613" s="18"/>
      <c r="C613" s="18"/>
      <c r="D613" s="35"/>
      <c r="E613" s="18"/>
      <c r="F613" s="18"/>
      <c r="G613" s="18"/>
      <c r="H613" s="18"/>
      <c r="I613" s="18"/>
      <c r="J613" s="36"/>
      <c r="K613" s="37" t="str">
        <f t="shared" si="2"/>
        <v/>
      </c>
    </row>
    <row r="614">
      <c r="A614" s="17"/>
      <c r="B614" s="18"/>
      <c r="C614" s="18"/>
      <c r="D614" s="35"/>
      <c r="E614" s="18"/>
      <c r="F614" s="18"/>
      <c r="G614" s="18"/>
      <c r="H614" s="18"/>
      <c r="I614" s="18"/>
      <c r="J614" s="36"/>
      <c r="K614" s="37" t="str">
        <f t="shared" si="2"/>
        <v/>
      </c>
    </row>
    <row r="615">
      <c r="A615" s="17"/>
      <c r="B615" s="18"/>
      <c r="C615" s="18"/>
      <c r="D615" s="35"/>
      <c r="E615" s="18"/>
      <c r="F615" s="18"/>
      <c r="G615" s="18"/>
      <c r="H615" s="18"/>
      <c r="I615" s="18"/>
      <c r="J615" s="36"/>
      <c r="K615" s="37" t="str">
        <f t="shared" si="2"/>
        <v/>
      </c>
    </row>
    <row r="616">
      <c r="A616" s="17"/>
      <c r="B616" s="18"/>
      <c r="C616" s="18"/>
      <c r="D616" s="35"/>
      <c r="E616" s="18"/>
      <c r="F616" s="18"/>
      <c r="G616" s="18"/>
      <c r="H616" s="18"/>
      <c r="I616" s="18"/>
      <c r="J616" s="36"/>
      <c r="K616" s="37" t="str">
        <f t="shared" si="2"/>
        <v/>
      </c>
    </row>
    <row r="617">
      <c r="A617" s="17"/>
      <c r="B617" s="18"/>
      <c r="C617" s="18"/>
      <c r="D617" s="35"/>
      <c r="E617" s="18"/>
      <c r="F617" s="18"/>
      <c r="G617" s="18"/>
      <c r="H617" s="18"/>
      <c r="I617" s="18"/>
      <c r="J617" s="36"/>
      <c r="K617" s="37" t="str">
        <f t="shared" si="2"/>
        <v/>
      </c>
    </row>
    <row r="618">
      <c r="A618" s="17"/>
      <c r="B618" s="18"/>
      <c r="C618" s="18"/>
      <c r="D618" s="35"/>
      <c r="E618" s="18"/>
      <c r="F618" s="18"/>
      <c r="G618" s="18"/>
      <c r="H618" s="18"/>
      <c r="I618" s="18"/>
      <c r="J618" s="36"/>
      <c r="K618" s="37" t="str">
        <f t="shared" si="2"/>
        <v/>
      </c>
    </row>
    <row r="619">
      <c r="A619" s="17"/>
      <c r="B619" s="18"/>
      <c r="C619" s="18"/>
      <c r="D619" s="35"/>
      <c r="E619" s="18"/>
      <c r="F619" s="18"/>
      <c r="G619" s="18"/>
      <c r="H619" s="18"/>
      <c r="I619" s="18"/>
      <c r="J619" s="36"/>
      <c r="K619" s="37" t="str">
        <f t="shared" si="2"/>
        <v/>
      </c>
    </row>
    <row r="620">
      <c r="A620" s="17"/>
      <c r="B620" s="18"/>
      <c r="C620" s="18"/>
      <c r="D620" s="35"/>
      <c r="E620" s="18"/>
      <c r="F620" s="18"/>
      <c r="G620" s="18"/>
      <c r="H620" s="18"/>
      <c r="I620" s="18"/>
      <c r="J620" s="36"/>
      <c r="K620" s="37" t="str">
        <f t="shared" si="2"/>
        <v/>
      </c>
    </row>
    <row r="621">
      <c r="A621" s="17"/>
      <c r="B621" s="18"/>
      <c r="C621" s="18"/>
      <c r="D621" s="35"/>
      <c r="E621" s="18"/>
      <c r="F621" s="18"/>
      <c r="G621" s="18"/>
      <c r="H621" s="18"/>
      <c r="I621" s="18"/>
      <c r="J621" s="36"/>
      <c r="K621" s="37" t="str">
        <f t="shared" si="2"/>
        <v/>
      </c>
    </row>
    <row r="622">
      <c r="A622" s="17"/>
      <c r="B622" s="18"/>
      <c r="C622" s="18"/>
      <c r="D622" s="35"/>
      <c r="E622" s="18"/>
      <c r="F622" s="18"/>
      <c r="G622" s="18"/>
      <c r="H622" s="18"/>
      <c r="I622" s="18"/>
      <c r="J622" s="36"/>
      <c r="K622" s="37" t="str">
        <f t="shared" si="2"/>
        <v/>
      </c>
    </row>
    <row r="623">
      <c r="A623" s="17"/>
      <c r="B623" s="18"/>
      <c r="C623" s="18"/>
      <c r="D623" s="35"/>
      <c r="E623" s="18"/>
      <c r="F623" s="18"/>
      <c r="G623" s="18"/>
      <c r="H623" s="18"/>
      <c r="I623" s="18"/>
      <c r="J623" s="36"/>
      <c r="K623" s="37" t="str">
        <f t="shared" si="2"/>
        <v/>
      </c>
    </row>
    <row r="624">
      <c r="A624" s="17"/>
      <c r="B624" s="18"/>
      <c r="C624" s="18"/>
      <c r="D624" s="35"/>
      <c r="E624" s="18"/>
      <c r="F624" s="18"/>
      <c r="G624" s="18"/>
      <c r="H624" s="18"/>
      <c r="I624" s="18"/>
      <c r="J624" s="36"/>
      <c r="K624" s="37" t="str">
        <f t="shared" si="2"/>
        <v/>
      </c>
    </row>
    <row r="625">
      <c r="A625" s="17"/>
      <c r="B625" s="18"/>
      <c r="C625" s="18"/>
      <c r="D625" s="35"/>
      <c r="E625" s="18"/>
      <c r="F625" s="18"/>
      <c r="G625" s="18"/>
      <c r="H625" s="18"/>
      <c r="I625" s="18"/>
      <c r="J625" s="36"/>
      <c r="K625" s="37" t="str">
        <f t="shared" si="2"/>
        <v/>
      </c>
    </row>
    <row r="626">
      <c r="A626" s="17"/>
      <c r="B626" s="18"/>
      <c r="C626" s="18"/>
      <c r="D626" s="35"/>
      <c r="E626" s="18"/>
      <c r="F626" s="18"/>
      <c r="G626" s="18"/>
      <c r="H626" s="18"/>
      <c r="I626" s="18"/>
      <c r="J626" s="36"/>
      <c r="K626" s="37" t="str">
        <f t="shared" si="2"/>
        <v/>
      </c>
    </row>
    <row r="627">
      <c r="A627" s="17"/>
      <c r="B627" s="18"/>
      <c r="C627" s="18"/>
      <c r="D627" s="35"/>
      <c r="E627" s="18"/>
      <c r="F627" s="18"/>
      <c r="G627" s="18"/>
      <c r="H627" s="18"/>
      <c r="I627" s="18"/>
      <c r="J627" s="36"/>
      <c r="K627" s="37" t="str">
        <f t="shared" si="2"/>
        <v/>
      </c>
    </row>
    <row r="628">
      <c r="A628" s="17"/>
      <c r="B628" s="18"/>
      <c r="C628" s="18"/>
      <c r="D628" s="35"/>
      <c r="E628" s="18"/>
      <c r="F628" s="18"/>
      <c r="G628" s="18"/>
      <c r="H628" s="18"/>
      <c r="I628" s="18"/>
      <c r="J628" s="36"/>
      <c r="K628" s="37" t="str">
        <f t="shared" si="2"/>
        <v/>
      </c>
    </row>
    <row r="629">
      <c r="A629" s="17"/>
      <c r="B629" s="18"/>
      <c r="C629" s="18"/>
      <c r="D629" s="35"/>
      <c r="E629" s="18"/>
      <c r="F629" s="18"/>
      <c r="G629" s="18"/>
      <c r="H629" s="18"/>
      <c r="I629" s="18"/>
      <c r="J629" s="36"/>
      <c r="K629" s="37" t="str">
        <f t="shared" si="2"/>
        <v/>
      </c>
    </row>
    <row r="630">
      <c r="A630" s="17"/>
      <c r="B630" s="18"/>
      <c r="C630" s="18"/>
      <c r="D630" s="35"/>
      <c r="E630" s="18"/>
      <c r="F630" s="18"/>
      <c r="G630" s="18"/>
      <c r="H630" s="18"/>
      <c r="I630" s="18"/>
      <c r="J630" s="36"/>
      <c r="K630" s="37" t="str">
        <f t="shared" si="2"/>
        <v/>
      </c>
    </row>
    <row r="631">
      <c r="A631" s="17"/>
      <c r="B631" s="18"/>
      <c r="C631" s="18"/>
      <c r="D631" s="35"/>
      <c r="E631" s="18"/>
      <c r="F631" s="18"/>
      <c r="G631" s="18"/>
      <c r="H631" s="18"/>
      <c r="I631" s="18"/>
      <c r="J631" s="36"/>
      <c r="K631" s="37" t="str">
        <f t="shared" si="2"/>
        <v/>
      </c>
    </row>
    <row r="632">
      <c r="A632" s="17"/>
      <c r="B632" s="18"/>
      <c r="C632" s="18"/>
      <c r="D632" s="35"/>
      <c r="E632" s="18"/>
      <c r="F632" s="18"/>
      <c r="G632" s="18"/>
      <c r="H632" s="18"/>
      <c r="I632" s="18"/>
      <c r="J632" s="36"/>
      <c r="K632" s="37" t="str">
        <f t="shared" si="2"/>
        <v/>
      </c>
    </row>
    <row r="633">
      <c r="A633" s="17"/>
      <c r="B633" s="18"/>
      <c r="C633" s="18"/>
      <c r="D633" s="35"/>
      <c r="E633" s="18"/>
      <c r="F633" s="18"/>
      <c r="G633" s="18"/>
      <c r="H633" s="18"/>
      <c r="I633" s="18"/>
      <c r="J633" s="36"/>
      <c r="K633" s="37" t="str">
        <f t="shared" si="2"/>
        <v/>
      </c>
    </row>
    <row r="634">
      <c r="A634" s="17"/>
      <c r="B634" s="18"/>
      <c r="C634" s="18"/>
      <c r="D634" s="35"/>
      <c r="E634" s="18"/>
      <c r="F634" s="18"/>
      <c r="G634" s="18"/>
      <c r="H634" s="18"/>
      <c r="I634" s="18"/>
      <c r="J634" s="36"/>
      <c r="K634" s="37" t="str">
        <f t="shared" si="2"/>
        <v/>
      </c>
    </row>
    <row r="635">
      <c r="A635" s="17"/>
      <c r="B635" s="18"/>
      <c r="C635" s="18"/>
      <c r="D635" s="35"/>
      <c r="E635" s="18"/>
      <c r="F635" s="18"/>
      <c r="G635" s="18"/>
      <c r="H635" s="18"/>
      <c r="I635" s="18"/>
      <c r="J635" s="36"/>
      <c r="K635" s="37" t="str">
        <f t="shared" si="2"/>
        <v/>
      </c>
    </row>
    <row r="636">
      <c r="A636" s="17"/>
      <c r="B636" s="18"/>
      <c r="C636" s="18"/>
      <c r="D636" s="35"/>
      <c r="E636" s="18"/>
      <c r="F636" s="18"/>
      <c r="G636" s="18"/>
      <c r="H636" s="18"/>
      <c r="I636" s="18"/>
      <c r="J636" s="36"/>
      <c r="K636" s="37" t="str">
        <f t="shared" si="2"/>
        <v/>
      </c>
    </row>
    <row r="637">
      <c r="A637" s="17"/>
      <c r="B637" s="18"/>
      <c r="C637" s="18"/>
      <c r="D637" s="35"/>
      <c r="E637" s="18"/>
      <c r="F637" s="18"/>
      <c r="G637" s="18"/>
      <c r="H637" s="18"/>
      <c r="I637" s="18"/>
      <c r="J637" s="36"/>
      <c r="K637" s="37" t="str">
        <f t="shared" si="2"/>
        <v/>
      </c>
    </row>
    <row r="638">
      <c r="A638" s="17"/>
      <c r="B638" s="18"/>
      <c r="C638" s="18"/>
      <c r="D638" s="35"/>
      <c r="E638" s="18"/>
      <c r="F638" s="18"/>
      <c r="G638" s="18"/>
      <c r="H638" s="18"/>
      <c r="I638" s="18"/>
      <c r="J638" s="36"/>
      <c r="K638" s="37" t="str">
        <f t="shared" si="2"/>
        <v/>
      </c>
    </row>
    <row r="639">
      <c r="A639" s="17"/>
      <c r="B639" s="18"/>
      <c r="C639" s="18"/>
      <c r="D639" s="35"/>
      <c r="E639" s="18"/>
      <c r="F639" s="18"/>
      <c r="G639" s="18"/>
      <c r="H639" s="18"/>
      <c r="I639" s="18"/>
      <c r="J639" s="36"/>
      <c r="K639" s="37" t="str">
        <f t="shared" si="2"/>
        <v/>
      </c>
    </row>
    <row r="640">
      <c r="A640" s="17"/>
      <c r="B640" s="18"/>
      <c r="C640" s="18"/>
      <c r="D640" s="35"/>
      <c r="E640" s="18"/>
      <c r="F640" s="18"/>
      <c r="G640" s="18"/>
      <c r="H640" s="18"/>
      <c r="I640" s="18"/>
      <c r="J640" s="36"/>
      <c r="K640" s="37" t="str">
        <f t="shared" si="2"/>
        <v/>
      </c>
    </row>
    <row r="641">
      <c r="A641" s="17"/>
      <c r="B641" s="18"/>
      <c r="C641" s="18"/>
      <c r="D641" s="35"/>
      <c r="E641" s="18"/>
      <c r="F641" s="18"/>
      <c r="G641" s="18"/>
      <c r="H641" s="18"/>
      <c r="I641" s="18"/>
      <c r="J641" s="36"/>
      <c r="K641" s="37" t="str">
        <f t="shared" si="2"/>
        <v/>
      </c>
    </row>
    <row r="642">
      <c r="A642" s="17"/>
      <c r="B642" s="18"/>
      <c r="C642" s="18"/>
      <c r="D642" s="35"/>
      <c r="E642" s="18"/>
      <c r="F642" s="18"/>
      <c r="G642" s="18"/>
      <c r="H642" s="18"/>
      <c r="I642" s="18"/>
      <c r="J642" s="36"/>
      <c r="K642" s="37" t="str">
        <f t="shared" si="2"/>
        <v/>
      </c>
    </row>
    <row r="643">
      <c r="A643" s="17"/>
      <c r="B643" s="18"/>
      <c r="C643" s="18"/>
      <c r="D643" s="35"/>
      <c r="E643" s="18"/>
      <c r="F643" s="18"/>
      <c r="G643" s="18"/>
      <c r="H643" s="18"/>
      <c r="I643" s="18"/>
      <c r="J643" s="36"/>
      <c r="K643" s="37" t="str">
        <f t="shared" si="2"/>
        <v/>
      </c>
    </row>
    <row r="644">
      <c r="A644" s="17"/>
      <c r="B644" s="18"/>
      <c r="C644" s="18"/>
      <c r="D644" s="35"/>
      <c r="E644" s="18"/>
      <c r="F644" s="18"/>
      <c r="G644" s="18"/>
      <c r="H644" s="18"/>
      <c r="I644" s="18"/>
      <c r="J644" s="36"/>
      <c r="K644" s="37" t="str">
        <f t="shared" si="2"/>
        <v/>
      </c>
    </row>
    <row r="645">
      <c r="A645" s="17"/>
      <c r="B645" s="18"/>
      <c r="C645" s="18"/>
      <c r="D645" s="35"/>
      <c r="E645" s="18"/>
      <c r="F645" s="18"/>
      <c r="G645" s="18"/>
      <c r="H645" s="18"/>
      <c r="I645" s="18"/>
      <c r="J645" s="36"/>
      <c r="K645" s="37" t="str">
        <f t="shared" si="2"/>
        <v/>
      </c>
    </row>
    <row r="646">
      <c r="A646" s="17"/>
      <c r="B646" s="18"/>
      <c r="C646" s="18"/>
      <c r="D646" s="35"/>
      <c r="E646" s="18"/>
      <c r="F646" s="18"/>
      <c r="G646" s="18"/>
      <c r="H646" s="18"/>
      <c r="I646" s="18"/>
      <c r="J646" s="36"/>
      <c r="K646" s="37" t="str">
        <f t="shared" si="2"/>
        <v/>
      </c>
    </row>
    <row r="647">
      <c r="A647" s="17"/>
      <c r="B647" s="18"/>
      <c r="C647" s="18"/>
      <c r="D647" s="35"/>
      <c r="E647" s="18"/>
      <c r="F647" s="18"/>
      <c r="G647" s="18"/>
      <c r="H647" s="18"/>
      <c r="I647" s="18"/>
      <c r="J647" s="36"/>
      <c r="K647" s="37" t="str">
        <f t="shared" si="2"/>
        <v/>
      </c>
    </row>
    <row r="648">
      <c r="A648" s="17"/>
      <c r="B648" s="18"/>
      <c r="C648" s="18"/>
      <c r="D648" s="35"/>
      <c r="E648" s="18"/>
      <c r="F648" s="18"/>
      <c r="G648" s="18"/>
      <c r="H648" s="18"/>
      <c r="I648" s="18"/>
      <c r="J648" s="36"/>
      <c r="K648" s="37" t="str">
        <f t="shared" si="2"/>
        <v/>
      </c>
    </row>
    <row r="649">
      <c r="A649" s="17"/>
      <c r="B649" s="18"/>
      <c r="C649" s="18"/>
      <c r="D649" s="35"/>
      <c r="E649" s="18"/>
      <c r="F649" s="18"/>
      <c r="G649" s="18"/>
      <c r="H649" s="18"/>
      <c r="I649" s="18"/>
      <c r="J649" s="36"/>
      <c r="K649" s="37" t="str">
        <f t="shared" si="2"/>
        <v/>
      </c>
    </row>
    <row r="650">
      <c r="A650" s="17"/>
      <c r="B650" s="18"/>
      <c r="C650" s="18"/>
      <c r="D650" s="35"/>
      <c r="E650" s="18"/>
      <c r="F650" s="18"/>
      <c r="G650" s="18"/>
      <c r="H650" s="18"/>
      <c r="I650" s="18"/>
      <c r="J650" s="36"/>
      <c r="K650" s="37" t="str">
        <f t="shared" si="2"/>
        <v/>
      </c>
    </row>
    <row r="651">
      <c r="A651" s="17"/>
      <c r="B651" s="18"/>
      <c r="C651" s="18"/>
      <c r="D651" s="35"/>
      <c r="E651" s="18"/>
      <c r="F651" s="18"/>
      <c r="G651" s="18"/>
      <c r="H651" s="18"/>
      <c r="I651" s="18"/>
      <c r="J651" s="36"/>
      <c r="K651" s="37" t="str">
        <f t="shared" si="2"/>
        <v/>
      </c>
    </row>
    <row r="652">
      <c r="A652" s="17"/>
      <c r="B652" s="18"/>
      <c r="C652" s="18"/>
      <c r="D652" s="35"/>
      <c r="E652" s="18"/>
      <c r="F652" s="18"/>
      <c r="G652" s="18"/>
      <c r="H652" s="18"/>
      <c r="I652" s="18"/>
      <c r="J652" s="36"/>
      <c r="K652" s="37" t="str">
        <f t="shared" si="2"/>
        <v/>
      </c>
    </row>
    <row r="653">
      <c r="A653" s="17"/>
      <c r="B653" s="18"/>
      <c r="C653" s="18"/>
      <c r="D653" s="35"/>
      <c r="E653" s="18"/>
      <c r="F653" s="18"/>
      <c r="G653" s="18"/>
      <c r="H653" s="18"/>
      <c r="I653" s="18"/>
      <c r="J653" s="36"/>
      <c r="K653" s="37" t="str">
        <f t="shared" si="2"/>
        <v/>
      </c>
    </row>
    <row r="654">
      <c r="A654" s="17"/>
      <c r="B654" s="18"/>
      <c r="C654" s="18"/>
      <c r="D654" s="35"/>
      <c r="E654" s="18"/>
      <c r="F654" s="18"/>
      <c r="G654" s="18"/>
      <c r="H654" s="18"/>
      <c r="I654" s="18"/>
      <c r="J654" s="36"/>
      <c r="K654" s="37" t="str">
        <f t="shared" si="2"/>
        <v/>
      </c>
    </row>
    <row r="655">
      <c r="A655" s="17"/>
      <c r="B655" s="18"/>
      <c r="C655" s="18"/>
      <c r="D655" s="35"/>
      <c r="E655" s="18"/>
      <c r="F655" s="18"/>
      <c r="G655" s="18"/>
      <c r="H655" s="18"/>
      <c r="I655" s="18"/>
      <c r="J655" s="36"/>
      <c r="K655" s="37" t="str">
        <f t="shared" si="2"/>
        <v/>
      </c>
    </row>
    <row r="656">
      <c r="A656" s="17"/>
      <c r="B656" s="18"/>
      <c r="C656" s="18"/>
      <c r="D656" s="35"/>
      <c r="E656" s="18"/>
      <c r="F656" s="18"/>
      <c r="G656" s="18"/>
      <c r="H656" s="18"/>
      <c r="I656" s="18"/>
      <c r="J656" s="36"/>
      <c r="K656" s="37" t="str">
        <f t="shared" si="2"/>
        <v/>
      </c>
    </row>
    <row r="657">
      <c r="A657" s="17"/>
      <c r="B657" s="18"/>
      <c r="C657" s="18"/>
      <c r="D657" s="35"/>
      <c r="E657" s="18"/>
      <c r="F657" s="18"/>
      <c r="G657" s="18"/>
      <c r="H657" s="18"/>
      <c r="I657" s="18"/>
      <c r="J657" s="36"/>
      <c r="K657" s="37" t="str">
        <f t="shared" si="2"/>
        <v/>
      </c>
    </row>
    <row r="658">
      <c r="A658" s="17"/>
      <c r="B658" s="18"/>
      <c r="C658" s="18"/>
      <c r="D658" s="35"/>
      <c r="E658" s="18"/>
      <c r="F658" s="18"/>
      <c r="G658" s="18"/>
      <c r="H658" s="18"/>
      <c r="I658" s="18"/>
      <c r="J658" s="36"/>
      <c r="K658" s="37" t="str">
        <f t="shared" si="2"/>
        <v/>
      </c>
    </row>
    <row r="659">
      <c r="A659" s="17"/>
      <c r="B659" s="18"/>
      <c r="C659" s="18"/>
      <c r="D659" s="35"/>
      <c r="E659" s="18"/>
      <c r="F659" s="18"/>
      <c r="G659" s="18"/>
      <c r="H659" s="18"/>
      <c r="I659" s="18"/>
      <c r="J659" s="36"/>
      <c r="K659" s="37" t="str">
        <f t="shared" si="2"/>
        <v/>
      </c>
    </row>
    <row r="660">
      <c r="A660" s="17"/>
      <c r="B660" s="18"/>
      <c r="C660" s="18"/>
      <c r="D660" s="35"/>
      <c r="E660" s="18"/>
      <c r="F660" s="18"/>
      <c r="G660" s="18"/>
      <c r="H660" s="18"/>
      <c r="I660" s="18"/>
      <c r="J660" s="36"/>
      <c r="K660" s="37" t="str">
        <f t="shared" si="2"/>
        <v/>
      </c>
    </row>
    <row r="661">
      <c r="A661" s="17"/>
      <c r="B661" s="18"/>
      <c r="C661" s="18"/>
      <c r="D661" s="35"/>
      <c r="E661" s="18"/>
      <c r="F661" s="18"/>
      <c r="G661" s="18"/>
      <c r="H661" s="18"/>
      <c r="I661" s="18"/>
      <c r="J661" s="36"/>
      <c r="K661" s="37" t="str">
        <f t="shared" si="2"/>
        <v/>
      </c>
    </row>
    <row r="662">
      <c r="A662" s="17"/>
      <c r="B662" s="18"/>
      <c r="C662" s="18"/>
      <c r="D662" s="35"/>
      <c r="E662" s="18"/>
      <c r="F662" s="18"/>
      <c r="G662" s="18"/>
      <c r="H662" s="18"/>
      <c r="I662" s="18"/>
      <c r="J662" s="36"/>
      <c r="K662" s="37" t="str">
        <f t="shared" si="2"/>
        <v/>
      </c>
    </row>
    <row r="663">
      <c r="A663" s="17"/>
      <c r="B663" s="18"/>
      <c r="C663" s="18"/>
      <c r="D663" s="35"/>
      <c r="E663" s="18"/>
      <c r="F663" s="18"/>
      <c r="G663" s="18"/>
      <c r="H663" s="18"/>
      <c r="I663" s="18"/>
      <c r="J663" s="36"/>
      <c r="K663" s="37" t="str">
        <f t="shared" si="2"/>
        <v/>
      </c>
    </row>
    <row r="664">
      <c r="A664" s="17"/>
      <c r="B664" s="18"/>
      <c r="C664" s="18"/>
      <c r="D664" s="35"/>
      <c r="E664" s="18"/>
      <c r="F664" s="18"/>
      <c r="G664" s="18"/>
      <c r="H664" s="18"/>
      <c r="I664" s="18"/>
      <c r="J664" s="36"/>
      <c r="K664" s="37" t="str">
        <f t="shared" si="2"/>
        <v/>
      </c>
    </row>
    <row r="665">
      <c r="A665" s="17"/>
      <c r="B665" s="18"/>
      <c r="C665" s="18"/>
      <c r="D665" s="35"/>
      <c r="E665" s="18"/>
      <c r="F665" s="18"/>
      <c r="G665" s="18"/>
      <c r="H665" s="18"/>
      <c r="I665" s="18"/>
      <c r="J665" s="36"/>
      <c r="K665" s="37" t="str">
        <f t="shared" si="2"/>
        <v/>
      </c>
    </row>
    <row r="666">
      <c r="A666" s="17"/>
      <c r="B666" s="18"/>
      <c r="C666" s="18"/>
      <c r="D666" s="35"/>
      <c r="E666" s="18"/>
      <c r="F666" s="18"/>
      <c r="G666" s="18"/>
      <c r="H666" s="18"/>
      <c r="I666" s="18"/>
      <c r="J666" s="36"/>
      <c r="K666" s="37" t="str">
        <f t="shared" si="2"/>
        <v/>
      </c>
    </row>
    <row r="667">
      <c r="A667" s="17"/>
      <c r="B667" s="18"/>
      <c r="C667" s="18"/>
      <c r="D667" s="35"/>
      <c r="E667" s="18"/>
      <c r="F667" s="18"/>
      <c r="G667" s="18"/>
      <c r="H667" s="18"/>
      <c r="I667" s="18"/>
      <c r="J667" s="36"/>
      <c r="K667" s="37" t="str">
        <f t="shared" si="2"/>
        <v/>
      </c>
    </row>
    <row r="668">
      <c r="A668" s="17"/>
      <c r="B668" s="18"/>
      <c r="C668" s="18"/>
      <c r="D668" s="35"/>
      <c r="E668" s="18"/>
      <c r="F668" s="18"/>
      <c r="G668" s="18"/>
      <c r="H668" s="18"/>
      <c r="I668" s="18"/>
      <c r="J668" s="36"/>
      <c r="K668" s="37" t="str">
        <f t="shared" si="2"/>
        <v/>
      </c>
    </row>
    <row r="669">
      <c r="A669" s="17"/>
      <c r="B669" s="18"/>
      <c r="C669" s="18"/>
      <c r="D669" s="35"/>
      <c r="E669" s="18"/>
      <c r="F669" s="18"/>
      <c r="G669" s="18"/>
      <c r="H669" s="18"/>
      <c r="I669" s="18"/>
      <c r="J669" s="36"/>
      <c r="K669" s="37" t="str">
        <f t="shared" si="2"/>
        <v/>
      </c>
    </row>
    <row r="670">
      <c r="A670" s="17"/>
      <c r="B670" s="18"/>
      <c r="C670" s="18"/>
      <c r="D670" s="35"/>
      <c r="E670" s="18"/>
      <c r="F670" s="18"/>
      <c r="G670" s="18"/>
      <c r="H670" s="18"/>
      <c r="I670" s="18"/>
      <c r="J670" s="36"/>
      <c r="K670" s="37" t="str">
        <f t="shared" si="2"/>
        <v/>
      </c>
    </row>
    <row r="671">
      <c r="A671" s="17"/>
      <c r="B671" s="18"/>
      <c r="C671" s="18"/>
      <c r="D671" s="35"/>
      <c r="E671" s="18"/>
      <c r="F671" s="18"/>
      <c r="G671" s="18"/>
      <c r="H671" s="18"/>
      <c r="I671" s="18"/>
      <c r="J671" s="36"/>
      <c r="K671" s="37" t="str">
        <f t="shared" si="2"/>
        <v/>
      </c>
    </row>
    <row r="672">
      <c r="A672" s="17"/>
      <c r="B672" s="18"/>
      <c r="C672" s="18"/>
      <c r="D672" s="35"/>
      <c r="E672" s="18"/>
      <c r="F672" s="18"/>
      <c r="G672" s="18"/>
      <c r="H672" s="18"/>
      <c r="I672" s="18"/>
      <c r="J672" s="36"/>
      <c r="K672" s="37" t="str">
        <f t="shared" si="2"/>
        <v/>
      </c>
    </row>
    <row r="673">
      <c r="A673" s="17"/>
      <c r="B673" s="18"/>
      <c r="C673" s="18"/>
      <c r="D673" s="35"/>
      <c r="E673" s="18"/>
      <c r="F673" s="18"/>
      <c r="G673" s="18"/>
      <c r="H673" s="18"/>
      <c r="I673" s="18"/>
      <c r="J673" s="36"/>
      <c r="K673" s="37" t="str">
        <f t="shared" si="2"/>
        <v/>
      </c>
    </row>
    <row r="674">
      <c r="A674" s="17"/>
      <c r="B674" s="18"/>
      <c r="C674" s="18"/>
      <c r="D674" s="35"/>
      <c r="E674" s="18"/>
      <c r="F674" s="18"/>
      <c r="G674" s="18"/>
      <c r="H674" s="18"/>
      <c r="I674" s="18"/>
      <c r="J674" s="36"/>
      <c r="K674" s="37" t="str">
        <f t="shared" si="2"/>
        <v/>
      </c>
    </row>
    <row r="675">
      <c r="A675" s="17"/>
      <c r="B675" s="18"/>
      <c r="C675" s="18"/>
      <c r="D675" s="35"/>
      <c r="E675" s="18"/>
      <c r="F675" s="18"/>
      <c r="G675" s="18"/>
      <c r="H675" s="18"/>
      <c r="I675" s="18"/>
      <c r="J675" s="36"/>
      <c r="K675" s="37" t="str">
        <f t="shared" si="2"/>
        <v/>
      </c>
    </row>
    <row r="676">
      <c r="A676" s="17"/>
      <c r="B676" s="18"/>
      <c r="C676" s="18"/>
      <c r="D676" s="35"/>
      <c r="E676" s="18"/>
      <c r="F676" s="18"/>
      <c r="G676" s="18"/>
      <c r="H676" s="18"/>
      <c r="I676" s="18"/>
      <c r="J676" s="36"/>
      <c r="K676" s="37" t="str">
        <f t="shared" si="2"/>
        <v/>
      </c>
    </row>
    <row r="677">
      <c r="A677" s="17"/>
      <c r="B677" s="18"/>
      <c r="C677" s="18"/>
      <c r="D677" s="35"/>
      <c r="E677" s="18"/>
      <c r="F677" s="18"/>
      <c r="G677" s="18"/>
      <c r="H677" s="18"/>
      <c r="I677" s="18"/>
      <c r="J677" s="36"/>
      <c r="K677" s="37" t="str">
        <f t="shared" si="2"/>
        <v/>
      </c>
    </row>
    <row r="678">
      <c r="A678" s="17"/>
      <c r="B678" s="18"/>
      <c r="C678" s="18"/>
      <c r="D678" s="35"/>
      <c r="E678" s="18"/>
      <c r="F678" s="18"/>
      <c r="G678" s="18"/>
      <c r="H678" s="18"/>
      <c r="I678" s="18"/>
      <c r="J678" s="36"/>
      <c r="K678" s="37" t="str">
        <f t="shared" si="2"/>
        <v/>
      </c>
    </row>
    <row r="679">
      <c r="A679" s="17"/>
      <c r="B679" s="18"/>
      <c r="C679" s="18"/>
      <c r="D679" s="35"/>
      <c r="E679" s="18"/>
      <c r="F679" s="18"/>
      <c r="G679" s="18"/>
      <c r="H679" s="18"/>
      <c r="I679" s="18"/>
      <c r="J679" s="36"/>
      <c r="K679" s="37" t="str">
        <f t="shared" si="2"/>
        <v/>
      </c>
    </row>
    <row r="680">
      <c r="A680" s="17"/>
      <c r="B680" s="18"/>
      <c r="C680" s="18"/>
      <c r="D680" s="35"/>
      <c r="E680" s="18"/>
      <c r="F680" s="18"/>
      <c r="G680" s="18"/>
      <c r="H680" s="18"/>
      <c r="I680" s="18"/>
      <c r="J680" s="36"/>
      <c r="K680" s="37" t="str">
        <f t="shared" si="2"/>
        <v/>
      </c>
    </row>
    <row r="681">
      <c r="A681" s="17"/>
      <c r="B681" s="18"/>
      <c r="C681" s="18"/>
      <c r="D681" s="35"/>
      <c r="E681" s="18"/>
      <c r="F681" s="18"/>
      <c r="G681" s="18"/>
      <c r="H681" s="18"/>
      <c r="I681" s="18"/>
      <c r="J681" s="36"/>
      <c r="K681" s="37" t="str">
        <f t="shared" si="2"/>
        <v/>
      </c>
    </row>
    <row r="682">
      <c r="A682" s="17"/>
      <c r="B682" s="18"/>
      <c r="C682" s="18"/>
      <c r="D682" s="35"/>
      <c r="E682" s="18"/>
      <c r="F682" s="18"/>
      <c r="G682" s="18"/>
      <c r="H682" s="18"/>
      <c r="I682" s="18"/>
      <c r="J682" s="36"/>
      <c r="K682" s="37" t="str">
        <f t="shared" si="2"/>
        <v/>
      </c>
    </row>
    <row r="683">
      <c r="A683" s="17"/>
      <c r="B683" s="18"/>
      <c r="C683" s="18"/>
      <c r="D683" s="35"/>
      <c r="E683" s="18"/>
      <c r="F683" s="18"/>
      <c r="G683" s="18"/>
      <c r="H683" s="18"/>
      <c r="I683" s="18"/>
      <c r="J683" s="36"/>
      <c r="K683" s="37" t="str">
        <f t="shared" si="2"/>
        <v/>
      </c>
    </row>
    <row r="684">
      <c r="A684" s="17"/>
      <c r="B684" s="18"/>
      <c r="C684" s="18"/>
      <c r="D684" s="35"/>
      <c r="E684" s="18"/>
      <c r="F684" s="18"/>
      <c r="G684" s="18"/>
      <c r="H684" s="18"/>
      <c r="I684" s="18"/>
      <c r="J684" s="36"/>
      <c r="K684" s="37" t="str">
        <f t="shared" si="2"/>
        <v/>
      </c>
    </row>
    <row r="685">
      <c r="A685" s="17"/>
      <c r="B685" s="18"/>
      <c r="C685" s="18"/>
      <c r="D685" s="35"/>
      <c r="E685" s="18"/>
      <c r="F685" s="18"/>
      <c r="G685" s="18"/>
      <c r="H685" s="18"/>
      <c r="I685" s="18"/>
      <c r="J685" s="36"/>
      <c r="K685" s="37" t="str">
        <f t="shared" si="2"/>
        <v/>
      </c>
    </row>
    <row r="686">
      <c r="A686" s="17"/>
      <c r="B686" s="18"/>
      <c r="C686" s="18"/>
      <c r="D686" s="35"/>
      <c r="E686" s="18"/>
      <c r="F686" s="18"/>
      <c r="G686" s="18"/>
      <c r="H686" s="18"/>
      <c r="I686" s="18"/>
      <c r="J686" s="36"/>
      <c r="K686" s="37" t="str">
        <f t="shared" si="2"/>
        <v/>
      </c>
    </row>
    <row r="687">
      <c r="A687" s="17"/>
      <c r="B687" s="18"/>
      <c r="C687" s="18"/>
      <c r="D687" s="35"/>
      <c r="E687" s="18"/>
      <c r="F687" s="18"/>
      <c r="G687" s="18"/>
      <c r="H687" s="18"/>
      <c r="I687" s="18"/>
      <c r="J687" s="36"/>
      <c r="K687" s="37" t="str">
        <f t="shared" si="2"/>
        <v/>
      </c>
    </row>
    <row r="688">
      <c r="A688" s="17"/>
      <c r="B688" s="18"/>
      <c r="C688" s="18"/>
      <c r="D688" s="35"/>
      <c r="E688" s="18"/>
      <c r="F688" s="18"/>
      <c r="G688" s="18"/>
      <c r="H688" s="18"/>
      <c r="I688" s="18"/>
      <c r="J688" s="36"/>
      <c r="K688" s="37" t="str">
        <f t="shared" si="2"/>
        <v/>
      </c>
    </row>
    <row r="689">
      <c r="A689" s="17"/>
      <c r="B689" s="18"/>
      <c r="C689" s="18"/>
      <c r="D689" s="35"/>
      <c r="E689" s="18"/>
      <c r="F689" s="18"/>
      <c r="G689" s="18"/>
      <c r="H689" s="18"/>
      <c r="I689" s="18"/>
      <c r="J689" s="36"/>
      <c r="K689" s="37" t="str">
        <f t="shared" si="2"/>
        <v/>
      </c>
    </row>
    <row r="690">
      <c r="A690" s="17"/>
      <c r="B690" s="18"/>
      <c r="C690" s="18"/>
      <c r="D690" s="35"/>
      <c r="E690" s="18"/>
      <c r="F690" s="18"/>
      <c r="G690" s="18"/>
      <c r="H690" s="18"/>
      <c r="I690" s="18"/>
      <c r="J690" s="36"/>
      <c r="K690" s="37" t="str">
        <f t="shared" si="2"/>
        <v/>
      </c>
    </row>
    <row r="691">
      <c r="A691" s="17"/>
      <c r="B691" s="18"/>
      <c r="C691" s="18"/>
      <c r="D691" s="35"/>
      <c r="E691" s="18"/>
      <c r="F691" s="18"/>
      <c r="G691" s="18"/>
      <c r="H691" s="18"/>
      <c r="I691" s="18"/>
      <c r="J691" s="36"/>
      <c r="K691" s="37" t="str">
        <f t="shared" si="2"/>
        <v/>
      </c>
    </row>
    <row r="692">
      <c r="A692" s="17"/>
      <c r="B692" s="18"/>
      <c r="C692" s="18"/>
      <c r="D692" s="35"/>
      <c r="E692" s="18"/>
      <c r="F692" s="18"/>
      <c r="G692" s="18"/>
      <c r="H692" s="18"/>
      <c r="I692" s="18"/>
      <c r="J692" s="36"/>
      <c r="K692" s="37" t="str">
        <f t="shared" si="2"/>
        <v/>
      </c>
    </row>
    <row r="693">
      <c r="A693" s="17"/>
      <c r="B693" s="18"/>
      <c r="C693" s="18"/>
      <c r="D693" s="35"/>
      <c r="E693" s="18"/>
      <c r="F693" s="18"/>
      <c r="G693" s="18"/>
      <c r="H693" s="18"/>
      <c r="I693" s="18"/>
      <c r="J693" s="36"/>
      <c r="K693" s="37" t="str">
        <f t="shared" si="2"/>
        <v/>
      </c>
    </row>
    <row r="694">
      <c r="A694" s="17"/>
      <c r="B694" s="18"/>
      <c r="C694" s="18"/>
      <c r="D694" s="35"/>
      <c r="E694" s="18"/>
      <c r="F694" s="18"/>
      <c r="G694" s="18"/>
      <c r="H694" s="18"/>
      <c r="I694" s="18"/>
      <c r="J694" s="36"/>
      <c r="K694" s="37" t="str">
        <f t="shared" si="2"/>
        <v/>
      </c>
    </row>
    <row r="695">
      <c r="A695" s="17"/>
      <c r="B695" s="18"/>
      <c r="C695" s="18"/>
      <c r="D695" s="35"/>
      <c r="E695" s="18"/>
      <c r="F695" s="18"/>
      <c r="G695" s="18"/>
      <c r="H695" s="18"/>
      <c r="I695" s="18"/>
      <c r="J695" s="36"/>
      <c r="K695" s="37" t="str">
        <f t="shared" si="2"/>
        <v/>
      </c>
    </row>
    <row r="696">
      <c r="A696" s="17"/>
      <c r="B696" s="18"/>
      <c r="C696" s="18"/>
      <c r="D696" s="35"/>
      <c r="E696" s="18"/>
      <c r="F696" s="18"/>
      <c r="G696" s="18"/>
      <c r="H696" s="18"/>
      <c r="I696" s="18"/>
      <c r="J696" s="36"/>
      <c r="K696" s="37" t="str">
        <f t="shared" si="2"/>
        <v/>
      </c>
    </row>
    <row r="697">
      <c r="A697" s="17"/>
      <c r="B697" s="18"/>
      <c r="C697" s="18"/>
      <c r="D697" s="35"/>
      <c r="E697" s="18"/>
      <c r="F697" s="18"/>
      <c r="G697" s="18"/>
      <c r="H697" s="18"/>
      <c r="I697" s="18"/>
      <c r="J697" s="36"/>
      <c r="K697" s="37" t="str">
        <f t="shared" si="2"/>
        <v/>
      </c>
    </row>
    <row r="698">
      <c r="A698" s="17"/>
      <c r="B698" s="18"/>
      <c r="C698" s="18"/>
      <c r="D698" s="35"/>
      <c r="E698" s="18"/>
      <c r="F698" s="18"/>
      <c r="G698" s="18"/>
      <c r="H698" s="18"/>
      <c r="I698" s="18"/>
      <c r="J698" s="36"/>
      <c r="K698" s="37" t="str">
        <f t="shared" si="2"/>
        <v/>
      </c>
    </row>
    <row r="699">
      <c r="A699" s="17"/>
      <c r="B699" s="18"/>
      <c r="C699" s="18"/>
      <c r="D699" s="35"/>
      <c r="E699" s="18"/>
      <c r="F699" s="18"/>
      <c r="G699" s="18"/>
      <c r="H699" s="18"/>
      <c r="I699" s="18"/>
      <c r="J699" s="36"/>
      <c r="K699" s="37" t="str">
        <f t="shared" si="2"/>
        <v/>
      </c>
    </row>
    <row r="700">
      <c r="A700" s="17"/>
      <c r="B700" s="18"/>
      <c r="C700" s="18"/>
      <c r="D700" s="35"/>
      <c r="E700" s="18"/>
      <c r="F700" s="18"/>
      <c r="G700" s="18"/>
      <c r="H700" s="18"/>
      <c r="I700" s="18"/>
      <c r="J700" s="36"/>
      <c r="K700" s="37" t="str">
        <f t="shared" si="2"/>
        <v/>
      </c>
    </row>
    <row r="701">
      <c r="A701" s="17"/>
      <c r="B701" s="18"/>
      <c r="C701" s="18"/>
      <c r="D701" s="35"/>
      <c r="E701" s="18"/>
      <c r="F701" s="18"/>
      <c r="G701" s="18"/>
      <c r="H701" s="18"/>
      <c r="I701" s="18"/>
      <c r="J701" s="36"/>
      <c r="K701" s="37" t="str">
        <f t="shared" si="2"/>
        <v/>
      </c>
    </row>
    <row r="702">
      <c r="A702" s="17"/>
      <c r="B702" s="18"/>
      <c r="C702" s="18"/>
      <c r="D702" s="35"/>
      <c r="E702" s="18"/>
      <c r="F702" s="18"/>
      <c r="G702" s="18"/>
      <c r="H702" s="18"/>
      <c r="I702" s="18"/>
      <c r="J702" s="36"/>
      <c r="K702" s="37" t="str">
        <f t="shared" si="2"/>
        <v/>
      </c>
    </row>
    <row r="703">
      <c r="A703" s="17"/>
      <c r="B703" s="18"/>
      <c r="C703" s="18"/>
      <c r="D703" s="35"/>
      <c r="E703" s="18"/>
      <c r="F703" s="18"/>
      <c r="G703" s="18"/>
      <c r="H703" s="18"/>
      <c r="I703" s="18"/>
      <c r="J703" s="36"/>
      <c r="K703" s="37" t="str">
        <f t="shared" si="2"/>
        <v/>
      </c>
    </row>
    <row r="704">
      <c r="A704" s="17"/>
      <c r="B704" s="18"/>
      <c r="C704" s="18"/>
      <c r="D704" s="35"/>
      <c r="E704" s="18"/>
      <c r="F704" s="18"/>
      <c r="G704" s="18"/>
      <c r="H704" s="18"/>
      <c r="I704" s="18"/>
      <c r="J704" s="36"/>
      <c r="K704" s="37" t="str">
        <f t="shared" si="2"/>
        <v/>
      </c>
    </row>
    <row r="705">
      <c r="A705" s="17"/>
      <c r="B705" s="18"/>
      <c r="C705" s="18"/>
      <c r="D705" s="35"/>
      <c r="E705" s="18"/>
      <c r="F705" s="18"/>
      <c r="G705" s="18"/>
      <c r="H705" s="18"/>
      <c r="I705" s="18"/>
      <c r="J705" s="36"/>
      <c r="K705" s="37" t="str">
        <f t="shared" si="2"/>
        <v/>
      </c>
    </row>
    <row r="706">
      <c r="A706" s="17"/>
      <c r="B706" s="18"/>
      <c r="C706" s="18"/>
      <c r="D706" s="35"/>
      <c r="E706" s="18"/>
      <c r="F706" s="18"/>
      <c r="G706" s="18"/>
      <c r="H706" s="18"/>
      <c r="I706" s="18"/>
      <c r="J706" s="36"/>
      <c r="K706" s="37" t="str">
        <f t="shared" si="2"/>
        <v/>
      </c>
    </row>
    <row r="707">
      <c r="A707" s="17"/>
      <c r="B707" s="18"/>
      <c r="C707" s="18"/>
      <c r="D707" s="35"/>
      <c r="E707" s="18"/>
      <c r="F707" s="18"/>
      <c r="G707" s="18"/>
      <c r="H707" s="18"/>
      <c r="I707" s="18"/>
      <c r="J707" s="36"/>
      <c r="K707" s="37" t="str">
        <f t="shared" si="2"/>
        <v/>
      </c>
    </row>
    <row r="708">
      <c r="A708" s="17"/>
      <c r="B708" s="18"/>
      <c r="C708" s="18"/>
      <c r="D708" s="35"/>
      <c r="E708" s="18"/>
      <c r="F708" s="18"/>
      <c r="G708" s="18"/>
      <c r="H708" s="18"/>
      <c r="I708" s="18"/>
      <c r="J708" s="36"/>
      <c r="K708" s="37" t="str">
        <f t="shared" si="2"/>
        <v/>
      </c>
    </row>
    <row r="709">
      <c r="A709" s="17"/>
      <c r="B709" s="18"/>
      <c r="C709" s="18"/>
      <c r="D709" s="35"/>
      <c r="E709" s="18"/>
      <c r="F709" s="18"/>
      <c r="G709" s="18"/>
      <c r="H709" s="18"/>
      <c r="I709" s="18"/>
      <c r="J709" s="36"/>
      <c r="K709" s="37" t="str">
        <f t="shared" si="2"/>
        <v/>
      </c>
    </row>
    <row r="710">
      <c r="A710" s="17"/>
      <c r="B710" s="18"/>
      <c r="C710" s="18"/>
      <c r="D710" s="35"/>
      <c r="E710" s="18"/>
      <c r="F710" s="18"/>
      <c r="G710" s="18"/>
      <c r="H710" s="18"/>
      <c r="I710" s="18"/>
      <c r="J710" s="36"/>
      <c r="K710" s="37" t="str">
        <f t="shared" si="2"/>
        <v/>
      </c>
    </row>
    <row r="711">
      <c r="A711" s="17"/>
      <c r="B711" s="18"/>
      <c r="C711" s="18"/>
      <c r="D711" s="35"/>
      <c r="E711" s="18"/>
      <c r="F711" s="18"/>
      <c r="G711" s="18"/>
      <c r="H711" s="18"/>
      <c r="I711" s="18"/>
      <c r="J711" s="36"/>
      <c r="K711" s="37" t="str">
        <f t="shared" si="2"/>
        <v/>
      </c>
    </row>
    <row r="712">
      <c r="A712" s="17"/>
      <c r="B712" s="18"/>
      <c r="C712" s="18"/>
      <c r="D712" s="35"/>
      <c r="E712" s="18"/>
      <c r="F712" s="18"/>
      <c r="G712" s="18"/>
      <c r="H712" s="18"/>
      <c r="I712" s="18"/>
      <c r="J712" s="36"/>
      <c r="K712" s="37" t="str">
        <f t="shared" si="2"/>
        <v/>
      </c>
    </row>
    <row r="713">
      <c r="A713" s="17"/>
      <c r="B713" s="18"/>
      <c r="C713" s="18"/>
      <c r="D713" s="35"/>
      <c r="E713" s="18"/>
      <c r="F713" s="18"/>
      <c r="G713" s="18"/>
      <c r="H713" s="18"/>
      <c r="I713" s="18"/>
      <c r="J713" s="36"/>
      <c r="K713" s="37" t="str">
        <f t="shared" si="2"/>
        <v/>
      </c>
    </row>
    <row r="714">
      <c r="A714" s="17"/>
      <c r="B714" s="18"/>
      <c r="C714" s="18"/>
      <c r="D714" s="35"/>
      <c r="E714" s="18"/>
      <c r="F714" s="18"/>
      <c r="G714" s="18"/>
      <c r="H714" s="18"/>
      <c r="I714" s="18"/>
      <c r="J714" s="36"/>
      <c r="K714" s="37" t="str">
        <f t="shared" si="2"/>
        <v/>
      </c>
    </row>
    <row r="715">
      <c r="A715" s="17"/>
      <c r="B715" s="18"/>
      <c r="C715" s="18"/>
      <c r="D715" s="35"/>
      <c r="E715" s="18"/>
      <c r="F715" s="18"/>
      <c r="G715" s="18"/>
      <c r="H715" s="18"/>
      <c r="I715" s="18"/>
      <c r="J715" s="36"/>
      <c r="K715" s="37" t="str">
        <f t="shared" si="2"/>
        <v/>
      </c>
    </row>
    <row r="716">
      <c r="A716" s="17"/>
      <c r="B716" s="18"/>
      <c r="C716" s="18"/>
      <c r="D716" s="35"/>
      <c r="E716" s="18"/>
      <c r="F716" s="18"/>
      <c r="G716" s="18"/>
      <c r="H716" s="18"/>
      <c r="I716" s="18"/>
      <c r="J716" s="36"/>
      <c r="K716" s="37" t="str">
        <f t="shared" si="2"/>
        <v/>
      </c>
    </row>
    <row r="717">
      <c r="A717" s="17"/>
      <c r="B717" s="18"/>
      <c r="C717" s="18"/>
      <c r="D717" s="35"/>
      <c r="E717" s="18"/>
      <c r="F717" s="18"/>
      <c r="G717" s="18"/>
      <c r="H717" s="18"/>
      <c r="I717" s="18"/>
      <c r="J717" s="36"/>
      <c r="K717" s="37" t="str">
        <f t="shared" si="2"/>
        <v/>
      </c>
    </row>
    <row r="718">
      <c r="A718" s="17"/>
      <c r="B718" s="18"/>
      <c r="C718" s="18"/>
      <c r="D718" s="35"/>
      <c r="E718" s="18"/>
      <c r="F718" s="18"/>
      <c r="G718" s="18"/>
      <c r="H718" s="18"/>
      <c r="I718" s="18"/>
      <c r="J718" s="36"/>
      <c r="K718" s="37" t="str">
        <f t="shared" si="2"/>
        <v/>
      </c>
    </row>
    <row r="719">
      <c r="A719" s="17"/>
      <c r="B719" s="18"/>
      <c r="C719" s="18"/>
      <c r="D719" s="35"/>
      <c r="E719" s="18"/>
      <c r="F719" s="18"/>
      <c r="G719" s="18"/>
      <c r="H719" s="18"/>
      <c r="I719" s="18"/>
      <c r="J719" s="36"/>
      <c r="K719" s="37" t="str">
        <f t="shared" si="2"/>
        <v/>
      </c>
    </row>
    <row r="720">
      <c r="A720" s="17"/>
      <c r="B720" s="18"/>
      <c r="C720" s="18"/>
      <c r="D720" s="35"/>
      <c r="E720" s="18"/>
      <c r="F720" s="18"/>
      <c r="G720" s="18"/>
      <c r="H720" s="18"/>
      <c r="I720" s="18"/>
      <c r="J720" s="36"/>
      <c r="K720" s="37" t="str">
        <f t="shared" si="2"/>
        <v/>
      </c>
    </row>
    <row r="721">
      <c r="A721" s="17"/>
      <c r="B721" s="18"/>
      <c r="C721" s="18"/>
      <c r="D721" s="35"/>
      <c r="E721" s="18"/>
      <c r="F721" s="18"/>
      <c r="G721" s="18"/>
      <c r="H721" s="18"/>
      <c r="I721" s="18"/>
      <c r="J721" s="36"/>
      <c r="K721" s="37" t="str">
        <f t="shared" si="2"/>
        <v/>
      </c>
    </row>
    <row r="722">
      <c r="A722" s="17"/>
      <c r="B722" s="18"/>
      <c r="C722" s="18"/>
      <c r="D722" s="35"/>
      <c r="E722" s="18"/>
      <c r="F722" s="18"/>
      <c r="G722" s="18"/>
      <c r="H722" s="18"/>
      <c r="I722" s="18"/>
      <c r="J722" s="36"/>
      <c r="K722" s="37" t="str">
        <f t="shared" si="2"/>
        <v/>
      </c>
    </row>
    <row r="723">
      <c r="A723" s="17"/>
      <c r="B723" s="18"/>
      <c r="C723" s="18"/>
      <c r="D723" s="35"/>
      <c r="E723" s="18"/>
      <c r="F723" s="18"/>
      <c r="G723" s="18"/>
      <c r="H723" s="18"/>
      <c r="I723" s="18"/>
      <c r="J723" s="36"/>
      <c r="K723" s="37" t="str">
        <f t="shared" si="2"/>
        <v/>
      </c>
    </row>
    <row r="724">
      <c r="A724" s="17"/>
      <c r="B724" s="18"/>
      <c r="C724" s="18"/>
      <c r="D724" s="35"/>
      <c r="E724" s="18"/>
      <c r="F724" s="18"/>
      <c r="G724" s="18"/>
      <c r="H724" s="18"/>
      <c r="I724" s="18"/>
      <c r="J724" s="36"/>
      <c r="K724" s="37" t="str">
        <f t="shared" si="2"/>
        <v/>
      </c>
    </row>
    <row r="725">
      <c r="A725" s="17"/>
      <c r="B725" s="18"/>
      <c r="C725" s="18"/>
      <c r="D725" s="35"/>
      <c r="E725" s="18"/>
      <c r="F725" s="18"/>
      <c r="G725" s="18"/>
      <c r="H725" s="18"/>
      <c r="I725" s="18"/>
      <c r="J725" s="36"/>
      <c r="K725" s="37" t="str">
        <f t="shared" si="2"/>
        <v/>
      </c>
    </row>
    <row r="726">
      <c r="A726" s="17"/>
      <c r="B726" s="18"/>
      <c r="C726" s="18"/>
      <c r="D726" s="35"/>
      <c r="E726" s="18"/>
      <c r="F726" s="18"/>
      <c r="G726" s="18"/>
      <c r="H726" s="18"/>
      <c r="I726" s="18"/>
      <c r="J726" s="36"/>
      <c r="K726" s="37" t="str">
        <f t="shared" si="2"/>
        <v/>
      </c>
    </row>
    <row r="727">
      <c r="A727" s="17"/>
      <c r="B727" s="18"/>
      <c r="C727" s="18"/>
      <c r="D727" s="35"/>
      <c r="E727" s="18"/>
      <c r="F727" s="18"/>
      <c r="G727" s="18"/>
      <c r="H727" s="18"/>
      <c r="I727" s="18"/>
      <c r="J727" s="36"/>
      <c r="K727" s="37" t="str">
        <f t="shared" si="2"/>
        <v/>
      </c>
    </row>
    <row r="728">
      <c r="A728" s="17"/>
      <c r="B728" s="18"/>
      <c r="C728" s="18"/>
      <c r="D728" s="35"/>
      <c r="E728" s="18"/>
      <c r="F728" s="18"/>
      <c r="G728" s="18"/>
      <c r="H728" s="18"/>
      <c r="I728" s="18"/>
      <c r="J728" s="36"/>
      <c r="K728" s="37" t="str">
        <f t="shared" si="2"/>
        <v/>
      </c>
    </row>
    <row r="729">
      <c r="A729" s="17"/>
      <c r="B729" s="18"/>
      <c r="C729" s="18"/>
      <c r="D729" s="35"/>
      <c r="E729" s="18"/>
      <c r="F729" s="18"/>
      <c r="G729" s="18"/>
      <c r="H729" s="18"/>
      <c r="I729" s="18"/>
      <c r="J729" s="36"/>
      <c r="K729" s="37" t="str">
        <f t="shared" si="2"/>
        <v/>
      </c>
    </row>
    <row r="730">
      <c r="A730" s="17"/>
      <c r="B730" s="18"/>
      <c r="C730" s="18"/>
      <c r="D730" s="35"/>
      <c r="E730" s="18"/>
      <c r="F730" s="18"/>
      <c r="G730" s="18"/>
      <c r="H730" s="18"/>
      <c r="I730" s="18"/>
      <c r="J730" s="36"/>
      <c r="K730" s="37" t="str">
        <f t="shared" si="2"/>
        <v/>
      </c>
    </row>
    <row r="731">
      <c r="A731" s="17"/>
      <c r="B731" s="18"/>
      <c r="C731" s="18"/>
      <c r="D731" s="35"/>
      <c r="E731" s="18"/>
      <c r="F731" s="18"/>
      <c r="G731" s="18"/>
      <c r="H731" s="18"/>
      <c r="I731" s="18"/>
      <c r="J731" s="36"/>
      <c r="K731" s="37" t="str">
        <f t="shared" si="2"/>
        <v/>
      </c>
    </row>
    <row r="732">
      <c r="A732" s="17"/>
      <c r="B732" s="18"/>
      <c r="C732" s="18"/>
      <c r="D732" s="35"/>
      <c r="E732" s="18"/>
      <c r="F732" s="18"/>
      <c r="G732" s="18"/>
      <c r="H732" s="18"/>
      <c r="I732" s="18"/>
      <c r="J732" s="36"/>
      <c r="K732" s="37" t="str">
        <f t="shared" si="2"/>
        <v/>
      </c>
    </row>
    <row r="733">
      <c r="A733" s="17"/>
      <c r="B733" s="18"/>
      <c r="C733" s="18"/>
      <c r="D733" s="35"/>
      <c r="E733" s="18"/>
      <c r="F733" s="18"/>
      <c r="G733" s="18"/>
      <c r="H733" s="18"/>
      <c r="I733" s="18"/>
      <c r="J733" s="36"/>
      <c r="K733" s="37" t="str">
        <f t="shared" si="2"/>
        <v/>
      </c>
    </row>
    <row r="734">
      <c r="A734" s="17"/>
      <c r="B734" s="18"/>
      <c r="C734" s="18"/>
      <c r="D734" s="35"/>
      <c r="E734" s="18"/>
      <c r="F734" s="18"/>
      <c r="G734" s="18"/>
      <c r="H734" s="18"/>
      <c r="I734" s="18"/>
      <c r="J734" s="36"/>
      <c r="K734" s="37" t="str">
        <f t="shared" si="2"/>
        <v/>
      </c>
    </row>
    <row r="735">
      <c r="A735" s="17"/>
      <c r="B735" s="18"/>
      <c r="C735" s="18"/>
      <c r="D735" s="35"/>
      <c r="E735" s="18"/>
      <c r="F735" s="18"/>
      <c r="G735" s="18"/>
      <c r="H735" s="18"/>
      <c r="I735" s="18"/>
      <c r="J735" s="36"/>
      <c r="K735" s="37" t="str">
        <f t="shared" si="2"/>
        <v/>
      </c>
    </row>
    <row r="736">
      <c r="A736" s="17"/>
      <c r="B736" s="18"/>
      <c r="C736" s="18"/>
      <c r="D736" s="35"/>
      <c r="E736" s="18"/>
      <c r="F736" s="18"/>
      <c r="G736" s="18"/>
      <c r="H736" s="18"/>
      <c r="I736" s="18"/>
      <c r="J736" s="36"/>
      <c r="K736" s="37" t="str">
        <f t="shared" si="2"/>
        <v/>
      </c>
    </row>
    <row r="737">
      <c r="A737" s="17"/>
      <c r="B737" s="18"/>
      <c r="C737" s="18"/>
      <c r="D737" s="35"/>
      <c r="E737" s="18"/>
      <c r="F737" s="18"/>
      <c r="G737" s="18"/>
      <c r="H737" s="18"/>
      <c r="I737" s="18"/>
      <c r="J737" s="36"/>
      <c r="K737" s="37" t="str">
        <f t="shared" si="2"/>
        <v/>
      </c>
    </row>
    <row r="738">
      <c r="A738" s="17"/>
      <c r="B738" s="18"/>
      <c r="C738" s="18"/>
      <c r="D738" s="35"/>
      <c r="E738" s="18"/>
      <c r="F738" s="18"/>
      <c r="G738" s="18"/>
      <c r="H738" s="18"/>
      <c r="I738" s="18"/>
      <c r="J738" s="36"/>
      <c r="K738" s="37" t="str">
        <f t="shared" si="2"/>
        <v/>
      </c>
    </row>
    <row r="739">
      <c r="A739" s="17"/>
      <c r="B739" s="18"/>
      <c r="C739" s="18"/>
      <c r="D739" s="35"/>
      <c r="E739" s="18"/>
      <c r="F739" s="18"/>
      <c r="G739" s="18"/>
      <c r="H739" s="18"/>
      <c r="I739" s="18"/>
      <c r="J739" s="36"/>
      <c r="K739" s="37" t="str">
        <f t="shared" si="2"/>
        <v/>
      </c>
    </row>
    <row r="740">
      <c r="A740" s="17"/>
      <c r="B740" s="18"/>
      <c r="C740" s="18"/>
      <c r="D740" s="35"/>
      <c r="E740" s="18"/>
      <c r="F740" s="18"/>
      <c r="G740" s="18"/>
      <c r="H740" s="18"/>
      <c r="I740" s="18"/>
      <c r="J740" s="36"/>
      <c r="K740" s="37" t="str">
        <f t="shared" si="2"/>
        <v/>
      </c>
    </row>
    <row r="741">
      <c r="A741" s="17"/>
      <c r="B741" s="18"/>
      <c r="C741" s="18"/>
      <c r="D741" s="35"/>
      <c r="E741" s="18"/>
      <c r="F741" s="18"/>
      <c r="G741" s="18"/>
      <c r="H741" s="18"/>
      <c r="I741" s="18"/>
      <c r="J741" s="36"/>
      <c r="K741" s="37" t="str">
        <f t="shared" si="2"/>
        <v/>
      </c>
    </row>
    <row r="742">
      <c r="A742" s="17"/>
      <c r="B742" s="18"/>
      <c r="C742" s="18"/>
      <c r="D742" s="35"/>
      <c r="E742" s="18"/>
      <c r="F742" s="18"/>
      <c r="G742" s="18"/>
      <c r="H742" s="18"/>
      <c r="I742" s="18"/>
      <c r="J742" s="36"/>
      <c r="K742" s="37" t="str">
        <f t="shared" si="2"/>
        <v/>
      </c>
    </row>
    <row r="743">
      <c r="A743" s="17"/>
      <c r="B743" s="18"/>
      <c r="C743" s="18"/>
      <c r="D743" s="35"/>
      <c r="E743" s="18"/>
      <c r="F743" s="18"/>
      <c r="G743" s="18"/>
      <c r="H743" s="18"/>
      <c r="I743" s="18"/>
      <c r="J743" s="36"/>
      <c r="K743" s="37" t="str">
        <f t="shared" si="2"/>
        <v/>
      </c>
    </row>
    <row r="744">
      <c r="A744" s="17"/>
      <c r="B744" s="18"/>
      <c r="C744" s="18"/>
      <c r="D744" s="35"/>
      <c r="E744" s="18"/>
      <c r="F744" s="18"/>
      <c r="G744" s="18"/>
      <c r="H744" s="18"/>
      <c r="I744" s="18"/>
      <c r="J744" s="36"/>
      <c r="K744" s="37" t="str">
        <f t="shared" si="2"/>
        <v/>
      </c>
    </row>
    <row r="745">
      <c r="A745" s="17"/>
      <c r="B745" s="18"/>
      <c r="C745" s="18"/>
      <c r="D745" s="35"/>
      <c r="E745" s="18"/>
      <c r="F745" s="18"/>
      <c r="G745" s="18"/>
      <c r="H745" s="18"/>
      <c r="I745" s="18"/>
      <c r="J745" s="36"/>
      <c r="K745" s="37" t="str">
        <f t="shared" si="2"/>
        <v/>
      </c>
    </row>
    <row r="746">
      <c r="A746" s="17"/>
      <c r="B746" s="18"/>
      <c r="C746" s="18"/>
      <c r="D746" s="35"/>
      <c r="E746" s="18"/>
      <c r="F746" s="18"/>
      <c r="G746" s="18"/>
      <c r="H746" s="18"/>
      <c r="I746" s="18"/>
      <c r="J746" s="36"/>
      <c r="K746" s="37" t="str">
        <f t="shared" si="2"/>
        <v/>
      </c>
    </row>
    <row r="747">
      <c r="A747" s="17"/>
      <c r="B747" s="18"/>
      <c r="C747" s="18"/>
      <c r="D747" s="35"/>
      <c r="E747" s="18"/>
      <c r="F747" s="18"/>
      <c r="G747" s="18"/>
      <c r="H747" s="18"/>
      <c r="I747" s="18"/>
      <c r="J747" s="36"/>
      <c r="K747" s="37" t="str">
        <f t="shared" si="2"/>
        <v/>
      </c>
    </row>
    <row r="748">
      <c r="A748" s="17"/>
      <c r="B748" s="18"/>
      <c r="C748" s="18"/>
      <c r="D748" s="35"/>
      <c r="E748" s="18"/>
      <c r="F748" s="18"/>
      <c r="G748" s="18"/>
      <c r="H748" s="18"/>
      <c r="I748" s="18"/>
      <c r="J748" s="36"/>
      <c r="K748" s="37" t="str">
        <f t="shared" si="2"/>
        <v/>
      </c>
    </row>
    <row r="749">
      <c r="A749" s="17"/>
      <c r="B749" s="18"/>
      <c r="C749" s="18"/>
      <c r="D749" s="35"/>
      <c r="E749" s="18"/>
      <c r="F749" s="18"/>
      <c r="G749" s="18"/>
      <c r="H749" s="18"/>
      <c r="I749" s="18"/>
      <c r="J749" s="36"/>
      <c r="K749" s="37" t="str">
        <f t="shared" si="2"/>
        <v/>
      </c>
    </row>
    <row r="750">
      <c r="A750" s="17"/>
      <c r="B750" s="18"/>
      <c r="C750" s="18"/>
      <c r="D750" s="35"/>
      <c r="E750" s="18"/>
      <c r="F750" s="18"/>
      <c r="G750" s="18"/>
      <c r="H750" s="18"/>
      <c r="I750" s="18"/>
      <c r="J750" s="36"/>
      <c r="K750" s="37" t="str">
        <f t="shared" si="2"/>
        <v/>
      </c>
    </row>
    <row r="751">
      <c r="A751" s="17"/>
      <c r="B751" s="18"/>
      <c r="C751" s="18"/>
      <c r="D751" s="35"/>
      <c r="E751" s="18"/>
      <c r="F751" s="18"/>
      <c r="G751" s="18"/>
      <c r="H751" s="18"/>
      <c r="I751" s="18"/>
      <c r="J751" s="36"/>
      <c r="K751" s="37" t="str">
        <f t="shared" si="2"/>
        <v/>
      </c>
    </row>
    <row r="752">
      <c r="A752" s="17"/>
      <c r="B752" s="18"/>
      <c r="C752" s="18"/>
      <c r="D752" s="35"/>
      <c r="E752" s="18"/>
      <c r="F752" s="18"/>
      <c r="G752" s="18"/>
      <c r="H752" s="18"/>
      <c r="I752" s="18"/>
      <c r="J752" s="36"/>
      <c r="K752" s="37" t="str">
        <f t="shared" si="2"/>
        <v/>
      </c>
    </row>
    <row r="753">
      <c r="A753" s="17"/>
      <c r="B753" s="18"/>
      <c r="C753" s="18"/>
      <c r="D753" s="35"/>
      <c r="E753" s="18"/>
      <c r="F753" s="18"/>
      <c r="G753" s="18"/>
      <c r="H753" s="18"/>
      <c r="I753" s="18"/>
      <c r="J753" s="36"/>
      <c r="K753" s="37" t="str">
        <f t="shared" si="2"/>
        <v/>
      </c>
    </row>
    <row r="754">
      <c r="A754" s="17"/>
      <c r="B754" s="18"/>
      <c r="C754" s="18"/>
      <c r="D754" s="35"/>
      <c r="E754" s="18"/>
      <c r="F754" s="18"/>
      <c r="G754" s="18"/>
      <c r="H754" s="18"/>
      <c r="I754" s="18"/>
      <c r="J754" s="36"/>
      <c r="K754" s="37" t="str">
        <f t="shared" si="2"/>
        <v/>
      </c>
    </row>
    <row r="755">
      <c r="A755" s="17"/>
      <c r="B755" s="18"/>
      <c r="C755" s="18"/>
      <c r="D755" s="35"/>
      <c r="E755" s="18"/>
      <c r="F755" s="18"/>
      <c r="G755" s="18"/>
      <c r="H755" s="18"/>
      <c r="I755" s="18"/>
      <c r="J755" s="36"/>
      <c r="K755" s="37" t="str">
        <f t="shared" si="2"/>
        <v/>
      </c>
    </row>
    <row r="756">
      <c r="A756" s="17"/>
      <c r="B756" s="18"/>
      <c r="C756" s="18"/>
      <c r="D756" s="35"/>
      <c r="E756" s="18"/>
      <c r="F756" s="18"/>
      <c r="G756" s="18"/>
      <c r="H756" s="18"/>
      <c r="I756" s="18"/>
      <c r="J756" s="36"/>
      <c r="K756" s="37" t="str">
        <f t="shared" si="2"/>
        <v/>
      </c>
    </row>
    <row r="757">
      <c r="A757" s="17"/>
      <c r="B757" s="18"/>
      <c r="C757" s="18"/>
      <c r="D757" s="35"/>
      <c r="E757" s="18"/>
      <c r="F757" s="18"/>
      <c r="G757" s="18"/>
      <c r="H757" s="18"/>
      <c r="I757" s="18"/>
      <c r="J757" s="36"/>
      <c r="K757" s="37" t="str">
        <f t="shared" si="2"/>
        <v/>
      </c>
    </row>
    <row r="758">
      <c r="A758" s="17"/>
      <c r="B758" s="18"/>
      <c r="C758" s="18"/>
      <c r="D758" s="35"/>
      <c r="E758" s="18"/>
      <c r="F758" s="18"/>
      <c r="G758" s="18"/>
      <c r="H758" s="18"/>
      <c r="I758" s="18"/>
      <c r="J758" s="36"/>
      <c r="K758" s="37" t="str">
        <f t="shared" si="2"/>
        <v/>
      </c>
    </row>
    <row r="759">
      <c r="A759" s="17"/>
      <c r="B759" s="18"/>
      <c r="C759" s="18"/>
      <c r="D759" s="35"/>
      <c r="E759" s="18"/>
      <c r="F759" s="18"/>
      <c r="G759" s="18"/>
      <c r="H759" s="18"/>
      <c r="I759" s="18"/>
      <c r="J759" s="36"/>
      <c r="K759" s="37" t="str">
        <f t="shared" si="2"/>
        <v/>
      </c>
    </row>
    <row r="760">
      <c r="A760" s="17"/>
      <c r="B760" s="18"/>
      <c r="C760" s="18"/>
      <c r="D760" s="35"/>
      <c r="E760" s="18"/>
      <c r="F760" s="18"/>
      <c r="G760" s="18"/>
      <c r="H760" s="18"/>
      <c r="I760" s="18"/>
      <c r="J760" s="36"/>
      <c r="K760" s="37" t="str">
        <f t="shared" si="2"/>
        <v/>
      </c>
    </row>
    <row r="761">
      <c r="A761" s="17"/>
      <c r="B761" s="18"/>
      <c r="C761" s="18"/>
      <c r="D761" s="35"/>
      <c r="E761" s="18"/>
      <c r="F761" s="18"/>
      <c r="G761" s="18"/>
      <c r="H761" s="18"/>
      <c r="I761" s="18"/>
      <c r="J761" s="36"/>
      <c r="K761" s="37" t="str">
        <f t="shared" si="2"/>
        <v/>
      </c>
    </row>
    <row r="762">
      <c r="A762" s="17"/>
      <c r="B762" s="18"/>
      <c r="C762" s="18"/>
      <c r="D762" s="35"/>
      <c r="E762" s="18"/>
      <c r="F762" s="18"/>
      <c r="G762" s="18"/>
      <c r="H762" s="18"/>
      <c r="I762" s="18"/>
      <c r="J762" s="36"/>
      <c r="K762" s="37" t="str">
        <f t="shared" si="2"/>
        <v/>
      </c>
    </row>
    <row r="763">
      <c r="A763" s="17"/>
      <c r="B763" s="18"/>
      <c r="C763" s="18"/>
      <c r="D763" s="35"/>
      <c r="E763" s="18"/>
      <c r="F763" s="18"/>
      <c r="G763" s="18"/>
      <c r="H763" s="18"/>
      <c r="I763" s="18"/>
      <c r="J763" s="36"/>
      <c r="K763" s="37" t="str">
        <f t="shared" si="2"/>
        <v/>
      </c>
    </row>
    <row r="764">
      <c r="A764" s="17"/>
      <c r="B764" s="18"/>
      <c r="C764" s="18"/>
      <c r="D764" s="35"/>
      <c r="E764" s="18"/>
      <c r="F764" s="18"/>
      <c r="G764" s="18"/>
      <c r="H764" s="18"/>
      <c r="I764" s="18"/>
      <c r="J764" s="36"/>
      <c r="K764" s="37" t="str">
        <f t="shared" si="2"/>
        <v/>
      </c>
    </row>
    <row r="765">
      <c r="A765" s="17"/>
      <c r="B765" s="18"/>
      <c r="C765" s="18"/>
      <c r="D765" s="35"/>
      <c r="E765" s="18"/>
      <c r="F765" s="18"/>
      <c r="G765" s="18"/>
      <c r="H765" s="18"/>
      <c r="I765" s="18"/>
      <c r="J765" s="36"/>
      <c r="K765" s="37" t="str">
        <f t="shared" si="2"/>
        <v/>
      </c>
    </row>
    <row r="766">
      <c r="A766" s="17"/>
      <c r="B766" s="18"/>
      <c r="C766" s="18"/>
      <c r="D766" s="35"/>
      <c r="E766" s="18"/>
      <c r="F766" s="18"/>
      <c r="G766" s="18"/>
      <c r="H766" s="18"/>
      <c r="I766" s="18"/>
      <c r="J766" s="36"/>
      <c r="K766" s="37" t="str">
        <f t="shared" si="2"/>
        <v/>
      </c>
    </row>
    <row r="767">
      <c r="A767" s="17"/>
      <c r="B767" s="18"/>
      <c r="C767" s="18"/>
      <c r="D767" s="35"/>
      <c r="E767" s="18"/>
      <c r="F767" s="18"/>
      <c r="G767" s="18"/>
      <c r="H767" s="18"/>
      <c r="I767" s="18"/>
      <c r="J767" s="36"/>
      <c r="K767" s="37" t="str">
        <f t="shared" si="2"/>
        <v/>
      </c>
    </row>
    <row r="768">
      <c r="A768" s="17"/>
      <c r="B768" s="18"/>
      <c r="C768" s="18"/>
      <c r="D768" s="35"/>
      <c r="E768" s="18"/>
      <c r="F768" s="18"/>
      <c r="G768" s="18"/>
      <c r="H768" s="18"/>
      <c r="I768" s="18"/>
      <c r="J768" s="36"/>
      <c r="K768" s="37" t="str">
        <f t="shared" si="2"/>
        <v/>
      </c>
    </row>
    <row r="769">
      <c r="A769" s="17"/>
      <c r="B769" s="18"/>
      <c r="C769" s="18"/>
      <c r="D769" s="35"/>
      <c r="E769" s="18"/>
      <c r="F769" s="18"/>
      <c r="G769" s="18"/>
      <c r="H769" s="18"/>
      <c r="I769" s="18"/>
      <c r="J769" s="36"/>
      <c r="K769" s="37" t="str">
        <f t="shared" si="2"/>
        <v/>
      </c>
    </row>
    <row r="770">
      <c r="A770" s="17"/>
      <c r="B770" s="18"/>
      <c r="C770" s="18"/>
      <c r="D770" s="35"/>
      <c r="E770" s="18"/>
      <c r="F770" s="18"/>
      <c r="G770" s="18"/>
      <c r="H770" s="18"/>
      <c r="I770" s="18"/>
      <c r="J770" s="36"/>
      <c r="K770" s="37" t="str">
        <f t="shared" si="2"/>
        <v/>
      </c>
    </row>
    <row r="771">
      <c r="A771" s="17"/>
      <c r="B771" s="18"/>
      <c r="C771" s="18"/>
      <c r="D771" s="35"/>
      <c r="E771" s="18"/>
      <c r="F771" s="18"/>
      <c r="G771" s="18"/>
      <c r="H771" s="18"/>
      <c r="I771" s="18"/>
      <c r="J771" s="36"/>
      <c r="K771" s="37" t="str">
        <f t="shared" si="2"/>
        <v/>
      </c>
    </row>
    <row r="772">
      <c r="A772" s="17"/>
      <c r="B772" s="18"/>
      <c r="C772" s="18"/>
      <c r="D772" s="35"/>
      <c r="E772" s="18"/>
      <c r="F772" s="18"/>
      <c r="G772" s="18"/>
      <c r="H772" s="18"/>
      <c r="I772" s="18"/>
      <c r="J772" s="36"/>
      <c r="K772" s="37" t="str">
        <f t="shared" si="2"/>
        <v/>
      </c>
    </row>
    <row r="773">
      <c r="A773" s="17"/>
      <c r="B773" s="18"/>
      <c r="C773" s="18"/>
      <c r="D773" s="35"/>
      <c r="E773" s="18"/>
      <c r="F773" s="18"/>
      <c r="G773" s="18"/>
      <c r="H773" s="18"/>
      <c r="I773" s="18"/>
      <c r="J773" s="36"/>
      <c r="K773" s="37" t="str">
        <f t="shared" si="2"/>
        <v/>
      </c>
    </row>
    <row r="774">
      <c r="A774" s="17"/>
      <c r="B774" s="18"/>
      <c r="C774" s="18"/>
      <c r="D774" s="35"/>
      <c r="E774" s="18"/>
      <c r="F774" s="18"/>
      <c r="G774" s="18"/>
      <c r="H774" s="18"/>
      <c r="I774" s="18"/>
      <c r="J774" s="36"/>
      <c r="K774" s="37" t="str">
        <f t="shared" si="2"/>
        <v/>
      </c>
    </row>
    <row r="775">
      <c r="A775" s="17"/>
      <c r="B775" s="18"/>
      <c r="C775" s="18"/>
      <c r="D775" s="35"/>
      <c r="E775" s="18"/>
      <c r="F775" s="18"/>
      <c r="G775" s="18"/>
      <c r="H775" s="18"/>
      <c r="I775" s="18"/>
      <c r="J775" s="36"/>
      <c r="K775" s="37" t="str">
        <f t="shared" si="2"/>
        <v/>
      </c>
    </row>
    <row r="776">
      <c r="A776" s="17"/>
      <c r="B776" s="18"/>
      <c r="C776" s="18"/>
      <c r="D776" s="35"/>
      <c r="E776" s="18"/>
      <c r="F776" s="18"/>
      <c r="G776" s="18"/>
      <c r="H776" s="18"/>
      <c r="I776" s="18"/>
      <c r="J776" s="36"/>
      <c r="K776" s="37" t="str">
        <f t="shared" si="2"/>
        <v/>
      </c>
    </row>
    <row r="777">
      <c r="A777" s="17"/>
      <c r="B777" s="18"/>
      <c r="C777" s="18"/>
      <c r="D777" s="35"/>
      <c r="E777" s="18"/>
      <c r="F777" s="18"/>
      <c r="G777" s="18"/>
      <c r="H777" s="18"/>
      <c r="I777" s="18"/>
      <c r="J777" s="36"/>
      <c r="K777" s="37" t="str">
        <f t="shared" si="2"/>
        <v/>
      </c>
    </row>
    <row r="778">
      <c r="A778" s="17"/>
      <c r="B778" s="18"/>
      <c r="C778" s="18"/>
      <c r="D778" s="35"/>
      <c r="E778" s="18"/>
      <c r="F778" s="18"/>
      <c r="G778" s="18"/>
      <c r="H778" s="18"/>
      <c r="I778" s="18"/>
      <c r="J778" s="36"/>
      <c r="K778" s="37" t="str">
        <f t="shared" si="2"/>
        <v/>
      </c>
    </row>
    <row r="779">
      <c r="A779" s="17"/>
      <c r="B779" s="18"/>
      <c r="C779" s="18"/>
      <c r="D779" s="35"/>
      <c r="E779" s="18"/>
      <c r="F779" s="18"/>
      <c r="G779" s="18"/>
      <c r="H779" s="18"/>
      <c r="I779" s="18"/>
      <c r="J779" s="36"/>
      <c r="K779" s="37" t="str">
        <f t="shared" si="2"/>
        <v/>
      </c>
    </row>
    <row r="780">
      <c r="A780" s="17"/>
      <c r="B780" s="18"/>
      <c r="C780" s="18"/>
      <c r="D780" s="35"/>
      <c r="E780" s="18"/>
      <c r="F780" s="18"/>
      <c r="G780" s="18"/>
      <c r="H780" s="18"/>
      <c r="I780" s="18"/>
      <c r="J780" s="36"/>
      <c r="K780" s="37" t="str">
        <f t="shared" si="2"/>
        <v/>
      </c>
    </row>
    <row r="781">
      <c r="A781" s="17"/>
      <c r="B781" s="18"/>
      <c r="C781" s="18"/>
      <c r="D781" s="35"/>
      <c r="E781" s="18"/>
      <c r="F781" s="18"/>
      <c r="G781" s="18"/>
      <c r="H781" s="18"/>
      <c r="I781" s="18"/>
      <c r="J781" s="36"/>
      <c r="K781" s="37" t="str">
        <f t="shared" si="2"/>
        <v/>
      </c>
    </row>
    <row r="782">
      <c r="A782" s="17"/>
      <c r="B782" s="18"/>
      <c r="C782" s="18"/>
      <c r="D782" s="35"/>
      <c r="E782" s="18"/>
      <c r="F782" s="18"/>
      <c r="G782" s="18"/>
      <c r="H782" s="18"/>
      <c r="I782" s="18"/>
      <c r="J782" s="36"/>
      <c r="K782" s="37" t="str">
        <f t="shared" si="2"/>
        <v/>
      </c>
    </row>
    <row r="783">
      <c r="A783" s="17"/>
      <c r="B783" s="18"/>
      <c r="C783" s="18"/>
      <c r="D783" s="35"/>
      <c r="E783" s="18"/>
      <c r="F783" s="18"/>
      <c r="G783" s="18"/>
      <c r="H783" s="18"/>
      <c r="I783" s="18"/>
      <c r="J783" s="36"/>
      <c r="K783" s="37" t="str">
        <f t="shared" si="2"/>
        <v/>
      </c>
    </row>
    <row r="784">
      <c r="A784" s="17"/>
      <c r="B784" s="18"/>
      <c r="C784" s="18"/>
      <c r="D784" s="35"/>
      <c r="E784" s="18"/>
      <c r="F784" s="18"/>
      <c r="G784" s="18"/>
      <c r="H784" s="18"/>
      <c r="I784" s="18"/>
      <c r="J784" s="36"/>
      <c r="K784" s="37" t="str">
        <f t="shared" si="2"/>
        <v/>
      </c>
    </row>
    <row r="785">
      <c r="A785" s="17"/>
      <c r="B785" s="18"/>
      <c r="C785" s="18"/>
      <c r="D785" s="35"/>
      <c r="E785" s="18"/>
      <c r="F785" s="18"/>
      <c r="G785" s="18"/>
      <c r="H785" s="18"/>
      <c r="I785" s="18"/>
      <c r="J785" s="36"/>
      <c r="K785" s="37" t="str">
        <f t="shared" si="2"/>
        <v/>
      </c>
    </row>
    <row r="786">
      <c r="A786" s="17"/>
      <c r="B786" s="18"/>
      <c r="C786" s="18"/>
      <c r="D786" s="35"/>
      <c r="E786" s="18"/>
      <c r="F786" s="18"/>
      <c r="G786" s="18"/>
      <c r="H786" s="18"/>
      <c r="I786" s="18"/>
      <c r="J786" s="36"/>
      <c r="K786" s="37" t="str">
        <f t="shared" si="2"/>
        <v/>
      </c>
    </row>
    <row r="787">
      <c r="A787" s="17"/>
      <c r="B787" s="18"/>
      <c r="C787" s="18"/>
      <c r="D787" s="35"/>
      <c r="E787" s="18"/>
      <c r="F787" s="18"/>
      <c r="G787" s="18"/>
      <c r="H787" s="18"/>
      <c r="I787" s="18"/>
      <c r="J787" s="36"/>
      <c r="K787" s="37" t="str">
        <f t="shared" si="2"/>
        <v/>
      </c>
    </row>
    <row r="788">
      <c r="A788" s="17"/>
      <c r="B788" s="18"/>
      <c r="C788" s="18"/>
      <c r="D788" s="35"/>
      <c r="E788" s="18"/>
      <c r="F788" s="18"/>
      <c r="G788" s="18"/>
      <c r="H788" s="18"/>
      <c r="I788" s="18"/>
      <c r="J788" s="36"/>
      <c r="K788" s="37" t="str">
        <f t="shared" si="2"/>
        <v/>
      </c>
    </row>
    <row r="789">
      <c r="A789" s="17"/>
      <c r="B789" s="18"/>
      <c r="C789" s="18"/>
      <c r="D789" s="35"/>
      <c r="E789" s="18"/>
      <c r="F789" s="18"/>
      <c r="G789" s="18"/>
      <c r="H789" s="18"/>
      <c r="I789" s="18"/>
      <c r="J789" s="36"/>
      <c r="K789" s="37" t="str">
        <f t="shared" si="2"/>
        <v/>
      </c>
    </row>
    <row r="790">
      <c r="A790" s="17"/>
      <c r="B790" s="18"/>
      <c r="C790" s="18"/>
      <c r="D790" s="35"/>
      <c r="E790" s="18"/>
      <c r="F790" s="18"/>
      <c r="G790" s="18"/>
      <c r="H790" s="18"/>
      <c r="I790" s="18"/>
      <c r="J790" s="36"/>
      <c r="K790" s="37" t="str">
        <f t="shared" si="2"/>
        <v/>
      </c>
    </row>
    <row r="791">
      <c r="A791" s="17"/>
      <c r="B791" s="18"/>
      <c r="C791" s="18"/>
      <c r="D791" s="35"/>
      <c r="E791" s="18"/>
      <c r="F791" s="18"/>
      <c r="G791" s="18"/>
      <c r="H791" s="18"/>
      <c r="I791" s="18"/>
      <c r="J791" s="36"/>
      <c r="K791" s="37" t="str">
        <f t="shared" si="2"/>
        <v/>
      </c>
    </row>
    <row r="792">
      <c r="A792" s="17"/>
      <c r="B792" s="18"/>
      <c r="C792" s="18"/>
      <c r="D792" s="35"/>
      <c r="E792" s="18"/>
      <c r="F792" s="18"/>
      <c r="G792" s="18"/>
      <c r="H792" s="18"/>
      <c r="I792" s="18"/>
      <c r="J792" s="36"/>
      <c r="K792" s="37" t="str">
        <f t="shared" si="2"/>
        <v/>
      </c>
    </row>
    <row r="793">
      <c r="A793" s="17"/>
      <c r="B793" s="18"/>
      <c r="C793" s="18"/>
      <c r="D793" s="35"/>
      <c r="E793" s="18"/>
      <c r="F793" s="18"/>
      <c r="G793" s="18"/>
      <c r="H793" s="18"/>
      <c r="I793" s="18"/>
      <c r="J793" s="36"/>
      <c r="K793" s="37" t="str">
        <f t="shared" si="2"/>
        <v/>
      </c>
    </row>
    <row r="794">
      <c r="A794" s="17"/>
      <c r="B794" s="18"/>
      <c r="C794" s="18"/>
      <c r="D794" s="35"/>
      <c r="E794" s="18"/>
      <c r="F794" s="18"/>
      <c r="G794" s="18"/>
      <c r="H794" s="18"/>
      <c r="I794" s="18"/>
      <c r="J794" s="36"/>
      <c r="K794" s="37" t="str">
        <f t="shared" si="2"/>
        <v/>
      </c>
    </row>
    <row r="795">
      <c r="A795" s="17"/>
      <c r="B795" s="18"/>
      <c r="C795" s="18"/>
      <c r="D795" s="35"/>
      <c r="E795" s="18"/>
      <c r="F795" s="18"/>
      <c r="G795" s="18"/>
      <c r="H795" s="18"/>
      <c r="I795" s="18"/>
      <c r="J795" s="36"/>
      <c r="K795" s="37" t="str">
        <f t="shared" si="2"/>
        <v/>
      </c>
    </row>
    <row r="796">
      <c r="A796" s="17"/>
      <c r="B796" s="18"/>
      <c r="C796" s="18"/>
      <c r="D796" s="35"/>
      <c r="E796" s="18"/>
      <c r="F796" s="18"/>
      <c r="G796" s="18"/>
      <c r="H796" s="18"/>
      <c r="I796" s="18"/>
      <c r="J796" s="36"/>
      <c r="K796" s="37" t="str">
        <f t="shared" si="2"/>
        <v/>
      </c>
    </row>
    <row r="797">
      <c r="A797" s="17"/>
      <c r="B797" s="18"/>
      <c r="C797" s="18"/>
      <c r="D797" s="35"/>
      <c r="E797" s="18"/>
      <c r="F797" s="18"/>
      <c r="G797" s="18"/>
      <c r="H797" s="18"/>
      <c r="I797" s="18"/>
      <c r="J797" s="36"/>
      <c r="K797" s="37" t="str">
        <f t="shared" si="2"/>
        <v/>
      </c>
    </row>
    <row r="798">
      <c r="A798" s="17"/>
      <c r="B798" s="18"/>
      <c r="C798" s="18"/>
      <c r="D798" s="35"/>
      <c r="E798" s="18"/>
      <c r="F798" s="18"/>
      <c r="G798" s="18"/>
      <c r="H798" s="18"/>
      <c r="I798" s="18"/>
      <c r="J798" s="36"/>
      <c r="K798" s="37" t="str">
        <f t="shared" si="2"/>
        <v/>
      </c>
    </row>
    <row r="799">
      <c r="A799" s="17"/>
      <c r="B799" s="18"/>
      <c r="C799" s="18"/>
      <c r="D799" s="35"/>
      <c r="E799" s="18"/>
      <c r="F799" s="18"/>
      <c r="G799" s="18"/>
      <c r="H799" s="18"/>
      <c r="I799" s="18"/>
      <c r="J799" s="36"/>
      <c r="K799" s="37" t="str">
        <f t="shared" si="2"/>
        <v/>
      </c>
    </row>
    <row r="800">
      <c r="A800" s="17"/>
      <c r="B800" s="18"/>
      <c r="C800" s="18"/>
      <c r="D800" s="35"/>
      <c r="E800" s="18"/>
      <c r="F800" s="18"/>
      <c r="G800" s="18"/>
      <c r="H800" s="18"/>
      <c r="I800" s="18"/>
      <c r="J800" s="36"/>
      <c r="K800" s="37" t="str">
        <f t="shared" si="2"/>
        <v/>
      </c>
    </row>
    <row r="801">
      <c r="A801" s="17"/>
      <c r="B801" s="18"/>
      <c r="C801" s="18"/>
      <c r="D801" s="35"/>
      <c r="E801" s="18"/>
      <c r="F801" s="18"/>
      <c r="G801" s="18"/>
      <c r="H801" s="18"/>
      <c r="I801" s="18"/>
      <c r="J801" s="36"/>
      <c r="K801" s="37" t="str">
        <f t="shared" si="2"/>
        <v/>
      </c>
    </row>
    <row r="802">
      <c r="A802" s="17"/>
      <c r="B802" s="18"/>
      <c r="C802" s="18"/>
      <c r="D802" s="35"/>
      <c r="E802" s="18"/>
      <c r="F802" s="18"/>
      <c r="G802" s="18"/>
      <c r="H802" s="18"/>
      <c r="I802" s="18"/>
      <c r="J802" s="36"/>
      <c r="K802" s="37" t="str">
        <f t="shared" si="2"/>
        <v/>
      </c>
    </row>
    <row r="803">
      <c r="A803" s="17"/>
      <c r="B803" s="18"/>
      <c r="C803" s="18"/>
      <c r="D803" s="35"/>
      <c r="E803" s="18"/>
      <c r="F803" s="18"/>
      <c r="G803" s="18"/>
      <c r="H803" s="18"/>
      <c r="I803" s="18"/>
      <c r="J803" s="36"/>
      <c r="K803" s="37" t="str">
        <f t="shared" si="2"/>
        <v/>
      </c>
    </row>
    <row r="804">
      <c r="A804" s="17"/>
      <c r="B804" s="18"/>
      <c r="C804" s="18"/>
      <c r="D804" s="35"/>
      <c r="E804" s="18"/>
      <c r="F804" s="18"/>
      <c r="G804" s="18"/>
      <c r="H804" s="18"/>
      <c r="I804" s="18"/>
      <c r="J804" s="36"/>
      <c r="K804" s="37" t="str">
        <f t="shared" si="2"/>
        <v/>
      </c>
    </row>
    <row r="805">
      <c r="A805" s="17"/>
      <c r="B805" s="18"/>
      <c r="C805" s="18"/>
      <c r="D805" s="35"/>
      <c r="E805" s="18"/>
      <c r="F805" s="18"/>
      <c r="G805" s="18"/>
      <c r="H805" s="18"/>
      <c r="I805" s="18"/>
      <c r="J805" s="36"/>
      <c r="K805" s="37" t="str">
        <f t="shared" si="2"/>
        <v/>
      </c>
    </row>
    <row r="806">
      <c r="A806" s="17"/>
      <c r="B806" s="18"/>
      <c r="C806" s="18"/>
      <c r="D806" s="35"/>
      <c r="E806" s="18"/>
      <c r="F806" s="18"/>
      <c r="G806" s="18"/>
      <c r="H806" s="18"/>
      <c r="I806" s="18"/>
      <c r="J806" s="36"/>
      <c r="K806" s="37" t="str">
        <f t="shared" si="2"/>
        <v/>
      </c>
    </row>
    <row r="807">
      <c r="A807" s="17"/>
      <c r="B807" s="18"/>
      <c r="C807" s="18"/>
      <c r="D807" s="35"/>
      <c r="E807" s="18"/>
      <c r="F807" s="18"/>
      <c r="G807" s="18"/>
      <c r="H807" s="18"/>
      <c r="I807" s="18"/>
      <c r="J807" s="36"/>
      <c r="K807" s="37" t="str">
        <f t="shared" si="2"/>
        <v/>
      </c>
    </row>
    <row r="808">
      <c r="A808" s="17"/>
      <c r="B808" s="18"/>
      <c r="C808" s="18"/>
      <c r="D808" s="35"/>
      <c r="E808" s="18"/>
      <c r="F808" s="18"/>
      <c r="G808" s="18"/>
      <c r="H808" s="18"/>
      <c r="I808" s="18"/>
      <c r="J808" s="36"/>
      <c r="K808" s="37" t="str">
        <f t="shared" si="2"/>
        <v/>
      </c>
    </row>
    <row r="809">
      <c r="A809" s="17"/>
      <c r="B809" s="18"/>
      <c r="C809" s="18"/>
      <c r="D809" s="35"/>
      <c r="E809" s="18"/>
      <c r="F809" s="18"/>
      <c r="G809" s="18"/>
      <c r="H809" s="18"/>
      <c r="I809" s="18"/>
      <c r="J809" s="36"/>
      <c r="K809" s="37" t="str">
        <f t="shared" si="2"/>
        <v/>
      </c>
    </row>
    <row r="810">
      <c r="A810" s="17"/>
      <c r="B810" s="18"/>
      <c r="C810" s="18"/>
      <c r="D810" s="35"/>
      <c r="E810" s="18"/>
      <c r="F810" s="18"/>
      <c r="G810" s="18"/>
      <c r="H810" s="18"/>
      <c r="I810" s="18"/>
      <c r="J810" s="36"/>
      <c r="K810" s="37" t="str">
        <f t="shared" si="2"/>
        <v/>
      </c>
    </row>
    <row r="811">
      <c r="A811" s="17"/>
      <c r="B811" s="18"/>
      <c r="C811" s="18"/>
      <c r="D811" s="35"/>
      <c r="E811" s="18"/>
      <c r="F811" s="18"/>
      <c r="G811" s="18"/>
      <c r="H811" s="18"/>
      <c r="I811" s="18"/>
      <c r="J811" s="36"/>
      <c r="K811" s="37" t="str">
        <f t="shared" si="2"/>
        <v/>
      </c>
    </row>
    <row r="812">
      <c r="A812" s="17"/>
      <c r="B812" s="18"/>
      <c r="C812" s="18"/>
      <c r="D812" s="35"/>
      <c r="E812" s="18"/>
      <c r="F812" s="18"/>
      <c r="G812" s="18"/>
      <c r="H812" s="18"/>
      <c r="I812" s="18"/>
      <c r="J812" s="36"/>
      <c r="K812" s="37" t="str">
        <f t="shared" si="2"/>
        <v/>
      </c>
    </row>
    <row r="813">
      <c r="A813" s="17"/>
      <c r="B813" s="18"/>
      <c r="C813" s="18"/>
      <c r="D813" s="35"/>
      <c r="E813" s="18"/>
      <c r="F813" s="18"/>
      <c r="G813" s="18"/>
      <c r="H813" s="18"/>
      <c r="I813" s="18"/>
      <c r="J813" s="36"/>
      <c r="K813" s="37" t="str">
        <f t="shared" si="2"/>
        <v/>
      </c>
    </row>
    <row r="814">
      <c r="A814" s="17"/>
      <c r="B814" s="18"/>
      <c r="C814" s="18"/>
      <c r="D814" s="35"/>
      <c r="E814" s="18"/>
      <c r="F814" s="18"/>
      <c r="G814" s="18"/>
      <c r="H814" s="18"/>
      <c r="I814" s="18"/>
      <c r="J814" s="36"/>
      <c r="K814" s="37" t="str">
        <f t="shared" si="2"/>
        <v/>
      </c>
    </row>
    <row r="815">
      <c r="A815" s="17"/>
      <c r="B815" s="18"/>
      <c r="C815" s="18"/>
      <c r="D815" s="35"/>
      <c r="E815" s="18"/>
      <c r="F815" s="18"/>
      <c r="G815" s="18"/>
      <c r="H815" s="18"/>
      <c r="I815" s="18"/>
      <c r="J815" s="36"/>
      <c r="K815" s="37" t="str">
        <f t="shared" si="2"/>
        <v/>
      </c>
    </row>
    <row r="816">
      <c r="A816" s="17"/>
      <c r="B816" s="18"/>
      <c r="C816" s="18"/>
      <c r="D816" s="35"/>
      <c r="E816" s="18"/>
      <c r="F816" s="18"/>
      <c r="G816" s="18"/>
      <c r="H816" s="18"/>
      <c r="I816" s="18"/>
      <c r="J816" s="36"/>
      <c r="K816" s="37" t="str">
        <f t="shared" si="2"/>
        <v/>
      </c>
    </row>
    <row r="817">
      <c r="A817" s="17"/>
      <c r="B817" s="18"/>
      <c r="C817" s="18"/>
      <c r="D817" s="35"/>
      <c r="E817" s="18"/>
      <c r="F817" s="18"/>
      <c r="G817" s="18"/>
      <c r="H817" s="18"/>
      <c r="I817" s="18"/>
      <c r="J817" s="36"/>
      <c r="K817" s="37" t="str">
        <f t="shared" si="2"/>
        <v/>
      </c>
    </row>
    <row r="818">
      <c r="A818" s="17"/>
      <c r="B818" s="18"/>
      <c r="C818" s="18"/>
      <c r="D818" s="35"/>
      <c r="E818" s="18"/>
      <c r="F818" s="18"/>
      <c r="G818" s="18"/>
      <c r="H818" s="18"/>
      <c r="I818" s="18"/>
      <c r="J818" s="36"/>
      <c r="K818" s="37" t="str">
        <f t="shared" si="2"/>
        <v/>
      </c>
    </row>
    <row r="819">
      <c r="A819" s="17"/>
      <c r="B819" s="18"/>
      <c r="C819" s="18"/>
      <c r="D819" s="35"/>
      <c r="E819" s="18"/>
      <c r="F819" s="18"/>
      <c r="G819" s="18"/>
      <c r="H819" s="18"/>
      <c r="I819" s="18"/>
      <c r="J819" s="36"/>
      <c r="K819" s="37" t="str">
        <f t="shared" si="2"/>
        <v/>
      </c>
    </row>
    <row r="820">
      <c r="A820" s="17"/>
      <c r="B820" s="18"/>
      <c r="C820" s="18"/>
      <c r="D820" s="35"/>
      <c r="E820" s="18"/>
      <c r="F820" s="18"/>
      <c r="G820" s="18"/>
      <c r="H820" s="18"/>
      <c r="I820" s="18"/>
      <c r="J820" s="36"/>
      <c r="K820" s="37" t="str">
        <f t="shared" si="2"/>
        <v/>
      </c>
    </row>
    <row r="821">
      <c r="A821" s="17"/>
      <c r="B821" s="18"/>
      <c r="C821" s="18"/>
      <c r="D821" s="35"/>
      <c r="E821" s="18"/>
      <c r="F821" s="18"/>
      <c r="G821" s="18"/>
      <c r="H821" s="18"/>
      <c r="I821" s="18"/>
      <c r="J821" s="36"/>
      <c r="K821" s="37" t="str">
        <f t="shared" si="2"/>
        <v/>
      </c>
    </row>
    <row r="822">
      <c r="A822" s="17"/>
      <c r="B822" s="18"/>
      <c r="C822" s="18"/>
      <c r="D822" s="35"/>
      <c r="E822" s="18"/>
      <c r="F822" s="18"/>
      <c r="G822" s="18"/>
      <c r="H822" s="18"/>
      <c r="I822" s="18"/>
      <c r="J822" s="36"/>
      <c r="K822" s="37" t="str">
        <f t="shared" si="2"/>
        <v/>
      </c>
    </row>
    <row r="823">
      <c r="A823" s="17"/>
      <c r="B823" s="18"/>
      <c r="C823" s="18"/>
      <c r="D823" s="35"/>
      <c r="E823" s="18"/>
      <c r="F823" s="18"/>
      <c r="G823" s="18"/>
      <c r="H823" s="18"/>
      <c r="I823" s="18"/>
      <c r="J823" s="36"/>
      <c r="K823" s="37" t="str">
        <f t="shared" si="2"/>
        <v/>
      </c>
    </row>
    <row r="824">
      <c r="A824" s="17"/>
      <c r="B824" s="18"/>
      <c r="C824" s="18"/>
      <c r="D824" s="35"/>
      <c r="E824" s="18"/>
      <c r="F824" s="18"/>
      <c r="G824" s="18"/>
      <c r="H824" s="18"/>
      <c r="I824" s="18"/>
      <c r="J824" s="36"/>
      <c r="K824" s="37" t="str">
        <f t="shared" si="2"/>
        <v/>
      </c>
    </row>
    <row r="825">
      <c r="A825" s="17"/>
      <c r="B825" s="18"/>
      <c r="C825" s="18"/>
      <c r="D825" s="35"/>
      <c r="E825" s="18"/>
      <c r="F825" s="18"/>
      <c r="G825" s="18"/>
      <c r="H825" s="18"/>
      <c r="I825" s="18"/>
      <c r="J825" s="36"/>
      <c r="K825" s="37" t="str">
        <f t="shared" si="2"/>
        <v/>
      </c>
    </row>
    <row r="826">
      <c r="A826" s="17"/>
      <c r="B826" s="18"/>
      <c r="C826" s="18"/>
      <c r="D826" s="35"/>
      <c r="E826" s="18"/>
      <c r="F826" s="18"/>
      <c r="G826" s="18"/>
      <c r="H826" s="18"/>
      <c r="I826" s="18"/>
      <c r="J826" s="36"/>
      <c r="K826" s="37" t="str">
        <f t="shared" si="2"/>
        <v/>
      </c>
    </row>
    <row r="827">
      <c r="A827" s="17"/>
      <c r="B827" s="18"/>
      <c r="C827" s="18"/>
      <c r="D827" s="35"/>
      <c r="E827" s="18"/>
      <c r="F827" s="18"/>
      <c r="G827" s="18"/>
      <c r="H827" s="18"/>
      <c r="I827" s="18"/>
      <c r="J827" s="36"/>
      <c r="K827" s="37" t="str">
        <f t="shared" si="2"/>
        <v/>
      </c>
    </row>
    <row r="828">
      <c r="A828" s="17"/>
      <c r="B828" s="18"/>
      <c r="C828" s="18"/>
      <c r="D828" s="35"/>
      <c r="E828" s="18"/>
      <c r="F828" s="18"/>
      <c r="G828" s="18"/>
      <c r="H828" s="18"/>
      <c r="I828" s="18"/>
      <c r="J828" s="36"/>
      <c r="K828" s="37" t="str">
        <f t="shared" si="2"/>
        <v/>
      </c>
    </row>
    <row r="829">
      <c r="A829" s="17"/>
      <c r="B829" s="18"/>
      <c r="C829" s="18"/>
      <c r="D829" s="35"/>
      <c r="E829" s="18"/>
      <c r="F829" s="18"/>
      <c r="G829" s="18"/>
      <c r="H829" s="18"/>
      <c r="I829" s="18"/>
      <c r="J829" s="36"/>
      <c r="K829" s="37" t="str">
        <f t="shared" si="2"/>
        <v/>
      </c>
    </row>
    <row r="830">
      <c r="A830" s="17"/>
      <c r="B830" s="18"/>
      <c r="C830" s="18"/>
      <c r="D830" s="35"/>
      <c r="E830" s="18"/>
      <c r="F830" s="18"/>
      <c r="G830" s="18"/>
      <c r="H830" s="18"/>
      <c r="I830" s="18"/>
      <c r="J830" s="36"/>
      <c r="K830" s="37" t="str">
        <f t="shared" si="2"/>
        <v/>
      </c>
    </row>
    <row r="831">
      <c r="A831" s="17"/>
      <c r="B831" s="18"/>
      <c r="C831" s="18"/>
      <c r="D831" s="35"/>
      <c r="E831" s="18"/>
      <c r="F831" s="18"/>
      <c r="G831" s="18"/>
      <c r="H831" s="18"/>
      <c r="I831" s="18"/>
      <c r="J831" s="36"/>
      <c r="K831" s="37" t="str">
        <f t="shared" si="2"/>
        <v/>
      </c>
    </row>
    <row r="832">
      <c r="A832" s="17"/>
      <c r="B832" s="18"/>
      <c r="C832" s="18"/>
      <c r="D832" s="35"/>
      <c r="E832" s="18"/>
      <c r="F832" s="18"/>
      <c r="G832" s="18"/>
      <c r="H832" s="18"/>
      <c r="I832" s="18"/>
      <c r="J832" s="36"/>
      <c r="K832" s="37" t="str">
        <f t="shared" si="2"/>
        <v/>
      </c>
    </row>
    <row r="833">
      <c r="A833" s="17"/>
      <c r="B833" s="18"/>
      <c r="C833" s="18"/>
      <c r="D833" s="35"/>
      <c r="E833" s="18"/>
      <c r="F833" s="18"/>
      <c r="G833" s="18"/>
      <c r="H833" s="18"/>
      <c r="I833" s="18"/>
      <c r="J833" s="36"/>
      <c r="K833" s="37" t="str">
        <f t="shared" si="2"/>
        <v/>
      </c>
    </row>
    <row r="834">
      <c r="A834" s="17"/>
      <c r="B834" s="18"/>
      <c r="C834" s="18"/>
      <c r="D834" s="35"/>
      <c r="E834" s="18"/>
      <c r="F834" s="18"/>
      <c r="G834" s="18"/>
      <c r="H834" s="18"/>
      <c r="I834" s="18"/>
      <c r="J834" s="36"/>
      <c r="K834" s="37" t="str">
        <f t="shared" si="2"/>
        <v/>
      </c>
    </row>
    <row r="835">
      <c r="A835" s="17"/>
      <c r="B835" s="18"/>
      <c r="C835" s="18"/>
      <c r="D835" s="35"/>
      <c r="E835" s="18"/>
      <c r="F835" s="18"/>
      <c r="G835" s="18"/>
      <c r="H835" s="18"/>
      <c r="I835" s="18"/>
      <c r="J835" s="36"/>
      <c r="K835" s="37" t="str">
        <f t="shared" si="2"/>
        <v/>
      </c>
    </row>
    <row r="836">
      <c r="A836" s="17"/>
      <c r="B836" s="18"/>
      <c r="C836" s="18"/>
      <c r="D836" s="35"/>
      <c r="E836" s="18"/>
      <c r="F836" s="18"/>
      <c r="G836" s="18"/>
      <c r="H836" s="18"/>
      <c r="I836" s="18"/>
      <c r="J836" s="36"/>
      <c r="K836" s="37" t="str">
        <f t="shared" si="2"/>
        <v/>
      </c>
    </row>
    <row r="837">
      <c r="A837" s="17"/>
      <c r="B837" s="18"/>
      <c r="C837" s="18"/>
      <c r="D837" s="35"/>
      <c r="E837" s="18"/>
      <c r="F837" s="18"/>
      <c r="G837" s="18"/>
      <c r="H837" s="18"/>
      <c r="I837" s="18"/>
      <c r="J837" s="36"/>
      <c r="K837" s="37" t="str">
        <f t="shared" si="2"/>
        <v/>
      </c>
    </row>
    <row r="838">
      <c r="A838" s="17"/>
      <c r="B838" s="18"/>
      <c r="C838" s="18"/>
      <c r="D838" s="35"/>
      <c r="E838" s="18"/>
      <c r="F838" s="18"/>
      <c r="G838" s="18"/>
      <c r="H838" s="18"/>
      <c r="I838" s="18"/>
      <c r="J838" s="36"/>
      <c r="K838" s="37" t="str">
        <f t="shared" si="2"/>
        <v/>
      </c>
    </row>
    <row r="839">
      <c r="A839" s="17"/>
      <c r="B839" s="18"/>
      <c r="C839" s="18"/>
      <c r="D839" s="35"/>
      <c r="E839" s="18"/>
      <c r="F839" s="18"/>
      <c r="G839" s="18"/>
      <c r="H839" s="18"/>
      <c r="I839" s="18"/>
      <c r="J839" s="36"/>
      <c r="K839" s="37" t="str">
        <f t="shared" si="2"/>
        <v/>
      </c>
    </row>
    <row r="840">
      <c r="A840" s="17"/>
      <c r="B840" s="18"/>
      <c r="C840" s="18"/>
      <c r="D840" s="35"/>
      <c r="E840" s="18"/>
      <c r="F840" s="18"/>
      <c r="G840" s="18"/>
      <c r="H840" s="18"/>
      <c r="I840" s="18"/>
      <c r="J840" s="36"/>
      <c r="K840" s="37" t="str">
        <f t="shared" si="2"/>
        <v/>
      </c>
    </row>
    <row r="841">
      <c r="A841" s="17"/>
      <c r="B841" s="18"/>
      <c r="C841" s="18"/>
      <c r="D841" s="35"/>
      <c r="E841" s="18"/>
      <c r="F841" s="18"/>
      <c r="G841" s="18"/>
      <c r="H841" s="18"/>
      <c r="I841" s="18"/>
      <c r="J841" s="36"/>
      <c r="K841" s="37" t="str">
        <f t="shared" si="2"/>
        <v/>
      </c>
    </row>
    <row r="842">
      <c r="A842" s="17"/>
      <c r="B842" s="18"/>
      <c r="C842" s="18"/>
      <c r="D842" s="35"/>
      <c r="E842" s="18"/>
      <c r="F842" s="18"/>
      <c r="G842" s="18"/>
      <c r="H842" s="18"/>
      <c r="I842" s="18"/>
      <c r="J842" s="36"/>
      <c r="K842" s="37" t="str">
        <f t="shared" si="2"/>
        <v/>
      </c>
    </row>
    <row r="843">
      <c r="A843" s="17"/>
      <c r="B843" s="18"/>
      <c r="C843" s="18"/>
      <c r="D843" s="35"/>
      <c r="E843" s="18"/>
      <c r="F843" s="18"/>
      <c r="G843" s="18"/>
      <c r="H843" s="18"/>
      <c r="I843" s="18"/>
      <c r="J843" s="36"/>
      <c r="K843" s="37" t="str">
        <f t="shared" si="2"/>
        <v/>
      </c>
    </row>
    <row r="844">
      <c r="A844" s="17"/>
      <c r="B844" s="18"/>
      <c r="C844" s="18"/>
      <c r="D844" s="35"/>
      <c r="E844" s="18"/>
      <c r="F844" s="18"/>
      <c r="G844" s="18"/>
      <c r="H844" s="18"/>
      <c r="I844" s="18"/>
      <c r="J844" s="36"/>
      <c r="K844" s="37" t="str">
        <f t="shared" si="2"/>
        <v/>
      </c>
    </row>
    <row r="845">
      <c r="A845" s="17"/>
      <c r="B845" s="18"/>
      <c r="C845" s="18"/>
      <c r="D845" s="35"/>
      <c r="E845" s="18"/>
      <c r="F845" s="18"/>
      <c r="G845" s="18"/>
      <c r="H845" s="18"/>
      <c r="I845" s="18"/>
      <c r="J845" s="36"/>
      <c r="K845" s="37" t="str">
        <f t="shared" si="2"/>
        <v/>
      </c>
    </row>
    <row r="846">
      <c r="A846" s="17"/>
      <c r="B846" s="18"/>
      <c r="C846" s="18"/>
      <c r="D846" s="35"/>
      <c r="E846" s="18"/>
      <c r="F846" s="18"/>
      <c r="G846" s="18"/>
      <c r="H846" s="18"/>
      <c r="I846" s="18"/>
      <c r="J846" s="36"/>
      <c r="K846" s="37" t="str">
        <f t="shared" si="2"/>
        <v/>
      </c>
    </row>
    <row r="847">
      <c r="A847" s="17"/>
      <c r="B847" s="18"/>
      <c r="C847" s="18"/>
      <c r="D847" s="35"/>
      <c r="E847" s="18"/>
      <c r="F847" s="18"/>
      <c r="G847" s="18"/>
      <c r="H847" s="18"/>
      <c r="I847" s="18"/>
      <c r="J847" s="36"/>
      <c r="K847" s="37" t="str">
        <f t="shared" si="2"/>
        <v/>
      </c>
    </row>
    <row r="848">
      <c r="A848" s="17"/>
      <c r="B848" s="18"/>
      <c r="C848" s="18"/>
      <c r="D848" s="35"/>
      <c r="E848" s="18"/>
      <c r="F848" s="18"/>
      <c r="G848" s="18"/>
      <c r="H848" s="18"/>
      <c r="I848" s="18"/>
      <c r="J848" s="36"/>
      <c r="K848" s="37" t="str">
        <f t="shared" si="2"/>
        <v/>
      </c>
    </row>
    <row r="849">
      <c r="A849" s="17"/>
      <c r="B849" s="18"/>
      <c r="C849" s="18"/>
      <c r="D849" s="35"/>
      <c r="E849" s="18"/>
      <c r="F849" s="18"/>
      <c r="G849" s="18"/>
      <c r="H849" s="18"/>
      <c r="I849" s="18"/>
      <c r="J849" s="36"/>
      <c r="K849" s="37" t="str">
        <f t="shared" si="2"/>
        <v/>
      </c>
    </row>
    <row r="850">
      <c r="A850" s="17"/>
      <c r="B850" s="18"/>
      <c r="C850" s="18"/>
      <c r="D850" s="35"/>
      <c r="E850" s="18"/>
      <c r="F850" s="18"/>
      <c r="G850" s="18"/>
      <c r="H850" s="18"/>
      <c r="I850" s="18"/>
      <c r="J850" s="36"/>
      <c r="K850" s="37" t="str">
        <f t="shared" si="2"/>
        <v/>
      </c>
    </row>
    <row r="851">
      <c r="A851" s="17"/>
      <c r="B851" s="18"/>
      <c r="C851" s="18"/>
      <c r="D851" s="35"/>
      <c r="E851" s="18"/>
      <c r="F851" s="18"/>
      <c r="G851" s="18"/>
      <c r="H851" s="18"/>
      <c r="I851" s="18"/>
      <c r="J851" s="36"/>
      <c r="K851" s="37" t="str">
        <f t="shared" si="2"/>
        <v/>
      </c>
    </row>
    <row r="852">
      <c r="A852" s="17"/>
      <c r="B852" s="18"/>
      <c r="C852" s="18"/>
      <c r="D852" s="35"/>
      <c r="E852" s="18"/>
      <c r="F852" s="18"/>
      <c r="G852" s="18"/>
      <c r="H852" s="18"/>
      <c r="I852" s="18"/>
      <c r="J852" s="36"/>
      <c r="K852" s="37" t="str">
        <f t="shared" si="2"/>
        <v/>
      </c>
    </row>
    <row r="853">
      <c r="A853" s="17"/>
      <c r="B853" s="18"/>
      <c r="C853" s="18"/>
      <c r="D853" s="35"/>
      <c r="E853" s="18"/>
      <c r="F853" s="18"/>
      <c r="G853" s="18"/>
      <c r="H853" s="18"/>
      <c r="I853" s="18"/>
      <c r="J853" s="36"/>
      <c r="K853" s="37" t="str">
        <f t="shared" si="2"/>
        <v/>
      </c>
    </row>
    <row r="854">
      <c r="A854" s="17"/>
      <c r="B854" s="18"/>
      <c r="C854" s="18"/>
      <c r="D854" s="35"/>
      <c r="E854" s="18"/>
      <c r="F854" s="18"/>
      <c r="G854" s="18"/>
      <c r="H854" s="18"/>
      <c r="I854" s="18"/>
      <c r="J854" s="36"/>
      <c r="K854" s="37" t="str">
        <f t="shared" si="2"/>
        <v/>
      </c>
    </row>
    <row r="855">
      <c r="A855" s="17"/>
      <c r="B855" s="18"/>
      <c r="C855" s="18"/>
      <c r="D855" s="35"/>
      <c r="E855" s="18"/>
      <c r="F855" s="18"/>
      <c r="G855" s="18"/>
      <c r="H855" s="18"/>
      <c r="I855" s="18"/>
      <c r="J855" s="36"/>
      <c r="K855" s="37" t="str">
        <f t="shared" si="2"/>
        <v/>
      </c>
    </row>
    <row r="856">
      <c r="A856" s="17"/>
      <c r="B856" s="18"/>
      <c r="C856" s="18"/>
      <c r="D856" s="35"/>
      <c r="E856" s="18"/>
      <c r="F856" s="18"/>
      <c r="G856" s="18"/>
      <c r="H856" s="18"/>
      <c r="I856" s="18"/>
      <c r="J856" s="36"/>
      <c r="K856" s="37" t="str">
        <f t="shared" si="2"/>
        <v/>
      </c>
    </row>
    <row r="857">
      <c r="A857" s="17"/>
      <c r="B857" s="18"/>
      <c r="C857" s="18"/>
      <c r="D857" s="35"/>
      <c r="E857" s="18"/>
      <c r="F857" s="18"/>
      <c r="G857" s="18"/>
      <c r="H857" s="18"/>
      <c r="I857" s="18"/>
      <c r="J857" s="36"/>
      <c r="K857" s="37" t="str">
        <f t="shared" si="2"/>
        <v/>
      </c>
    </row>
    <row r="858">
      <c r="A858" s="17"/>
      <c r="B858" s="18"/>
      <c r="C858" s="18"/>
      <c r="D858" s="35"/>
      <c r="E858" s="18"/>
      <c r="F858" s="18"/>
      <c r="G858" s="18"/>
      <c r="H858" s="18"/>
      <c r="I858" s="18"/>
      <c r="J858" s="36"/>
      <c r="K858" s="37" t="str">
        <f t="shared" si="2"/>
        <v/>
      </c>
    </row>
    <row r="859">
      <c r="A859" s="17"/>
      <c r="B859" s="18"/>
      <c r="C859" s="18"/>
      <c r="D859" s="35"/>
      <c r="E859" s="18"/>
      <c r="F859" s="18"/>
      <c r="G859" s="18"/>
      <c r="H859" s="18"/>
      <c r="I859" s="18"/>
      <c r="J859" s="36"/>
      <c r="K859" s="37" t="str">
        <f t="shared" si="2"/>
        <v/>
      </c>
    </row>
    <row r="860">
      <c r="A860" s="17"/>
      <c r="B860" s="18"/>
      <c r="C860" s="18"/>
      <c r="D860" s="35"/>
      <c r="E860" s="18"/>
      <c r="F860" s="18"/>
      <c r="G860" s="18"/>
      <c r="H860" s="18"/>
      <c r="I860" s="18"/>
      <c r="J860" s="36"/>
      <c r="K860" s="37" t="str">
        <f t="shared" si="2"/>
        <v/>
      </c>
    </row>
    <row r="861">
      <c r="A861" s="17"/>
      <c r="B861" s="18"/>
      <c r="C861" s="18"/>
      <c r="D861" s="35"/>
      <c r="E861" s="18"/>
      <c r="F861" s="18"/>
      <c r="G861" s="18"/>
      <c r="H861" s="18"/>
      <c r="I861" s="18"/>
      <c r="J861" s="36"/>
      <c r="K861" s="37" t="str">
        <f t="shared" si="2"/>
        <v/>
      </c>
    </row>
    <row r="862">
      <c r="A862" s="17"/>
      <c r="B862" s="18"/>
      <c r="C862" s="18"/>
      <c r="D862" s="35"/>
      <c r="E862" s="18"/>
      <c r="F862" s="18"/>
      <c r="G862" s="18"/>
      <c r="H862" s="18"/>
      <c r="I862" s="18"/>
      <c r="J862" s="36"/>
      <c r="K862" s="37" t="str">
        <f t="shared" si="2"/>
        <v/>
      </c>
    </row>
    <row r="863">
      <c r="A863" s="17"/>
      <c r="B863" s="18"/>
      <c r="C863" s="18"/>
      <c r="D863" s="35"/>
      <c r="E863" s="18"/>
      <c r="F863" s="18"/>
      <c r="G863" s="18"/>
      <c r="H863" s="18"/>
      <c r="I863" s="18"/>
      <c r="J863" s="36"/>
      <c r="K863" s="37" t="str">
        <f t="shared" si="2"/>
        <v/>
      </c>
    </row>
    <row r="864">
      <c r="A864" s="17"/>
      <c r="B864" s="18"/>
      <c r="C864" s="18"/>
      <c r="D864" s="35"/>
      <c r="E864" s="18"/>
      <c r="F864" s="18"/>
      <c r="G864" s="18"/>
      <c r="H864" s="18"/>
      <c r="I864" s="18"/>
      <c r="J864" s="36"/>
      <c r="K864" s="37" t="str">
        <f t="shared" si="2"/>
        <v/>
      </c>
    </row>
    <row r="865">
      <c r="A865" s="17"/>
      <c r="B865" s="18"/>
      <c r="C865" s="18"/>
      <c r="D865" s="35"/>
      <c r="E865" s="18"/>
      <c r="F865" s="18"/>
      <c r="G865" s="18"/>
      <c r="H865" s="18"/>
      <c r="I865" s="18"/>
      <c r="J865" s="36"/>
      <c r="K865" s="37" t="str">
        <f t="shared" si="2"/>
        <v/>
      </c>
    </row>
    <row r="866">
      <c r="A866" s="17"/>
      <c r="B866" s="18"/>
      <c r="C866" s="18"/>
      <c r="D866" s="35"/>
      <c r="E866" s="18"/>
      <c r="F866" s="18"/>
      <c r="G866" s="18"/>
      <c r="H866" s="18"/>
      <c r="I866" s="18"/>
      <c r="J866" s="36"/>
      <c r="K866" s="37" t="str">
        <f t="shared" si="2"/>
        <v/>
      </c>
    </row>
    <row r="867">
      <c r="A867" s="17"/>
      <c r="B867" s="18"/>
      <c r="C867" s="18"/>
      <c r="D867" s="35"/>
      <c r="E867" s="18"/>
      <c r="F867" s="18"/>
      <c r="G867" s="18"/>
      <c r="H867" s="18"/>
      <c r="I867" s="18"/>
      <c r="J867" s="36"/>
      <c r="K867" s="37" t="str">
        <f t="shared" si="2"/>
        <v/>
      </c>
    </row>
    <row r="868">
      <c r="A868" s="17"/>
      <c r="B868" s="18"/>
      <c r="C868" s="18"/>
      <c r="D868" s="35"/>
      <c r="E868" s="18"/>
      <c r="F868" s="18"/>
      <c r="G868" s="18"/>
      <c r="H868" s="18"/>
      <c r="I868" s="18"/>
      <c r="J868" s="36"/>
      <c r="K868" s="37" t="str">
        <f t="shared" si="2"/>
        <v/>
      </c>
    </row>
    <row r="869">
      <c r="A869" s="17"/>
      <c r="B869" s="18"/>
      <c r="C869" s="18"/>
      <c r="D869" s="35"/>
      <c r="E869" s="18"/>
      <c r="F869" s="18"/>
      <c r="G869" s="18"/>
      <c r="H869" s="18"/>
      <c r="I869" s="18"/>
      <c r="J869" s="36"/>
      <c r="K869" s="37" t="str">
        <f t="shared" si="2"/>
        <v/>
      </c>
    </row>
    <row r="870">
      <c r="A870" s="17"/>
      <c r="B870" s="18"/>
      <c r="C870" s="18"/>
      <c r="D870" s="35"/>
      <c r="E870" s="18"/>
      <c r="F870" s="18"/>
      <c r="G870" s="18"/>
      <c r="H870" s="18"/>
      <c r="I870" s="18"/>
      <c r="J870" s="36"/>
      <c r="K870" s="37" t="str">
        <f t="shared" si="2"/>
        <v/>
      </c>
    </row>
    <row r="871">
      <c r="A871" s="17"/>
      <c r="B871" s="18"/>
      <c r="C871" s="18"/>
      <c r="D871" s="35"/>
      <c r="E871" s="18"/>
      <c r="F871" s="18"/>
      <c r="G871" s="18"/>
      <c r="H871" s="18"/>
      <c r="I871" s="18"/>
      <c r="J871" s="36"/>
      <c r="K871" s="37" t="str">
        <f t="shared" si="2"/>
        <v/>
      </c>
    </row>
    <row r="872">
      <c r="A872" s="17"/>
      <c r="B872" s="18"/>
      <c r="C872" s="18"/>
      <c r="D872" s="35"/>
      <c r="E872" s="18"/>
      <c r="F872" s="18"/>
      <c r="G872" s="18"/>
      <c r="H872" s="18"/>
      <c r="I872" s="18"/>
      <c r="J872" s="36"/>
      <c r="K872" s="37" t="str">
        <f t="shared" si="2"/>
        <v/>
      </c>
    </row>
    <row r="873">
      <c r="A873" s="17"/>
      <c r="B873" s="18"/>
      <c r="C873" s="18"/>
      <c r="D873" s="35"/>
      <c r="E873" s="18"/>
      <c r="F873" s="18"/>
      <c r="G873" s="18"/>
      <c r="H873" s="18"/>
      <c r="I873" s="18"/>
      <c r="J873" s="36"/>
      <c r="K873" s="37" t="str">
        <f t="shared" si="2"/>
        <v/>
      </c>
    </row>
    <row r="874">
      <c r="A874" s="17"/>
      <c r="B874" s="18"/>
      <c r="C874" s="18"/>
      <c r="D874" s="35"/>
      <c r="E874" s="18"/>
      <c r="F874" s="18"/>
      <c r="G874" s="18"/>
      <c r="H874" s="18"/>
      <c r="I874" s="18"/>
      <c r="J874" s="36"/>
      <c r="K874" s="37" t="str">
        <f t="shared" si="2"/>
        <v/>
      </c>
    </row>
    <row r="875">
      <c r="A875" s="17"/>
      <c r="B875" s="18"/>
      <c r="C875" s="18"/>
      <c r="D875" s="35"/>
      <c r="E875" s="18"/>
      <c r="F875" s="18"/>
      <c r="G875" s="18"/>
      <c r="H875" s="18"/>
      <c r="I875" s="18"/>
      <c r="J875" s="36"/>
      <c r="K875" s="37" t="str">
        <f t="shared" si="2"/>
        <v/>
      </c>
    </row>
    <row r="876">
      <c r="A876" s="17"/>
      <c r="B876" s="18"/>
      <c r="C876" s="18"/>
      <c r="D876" s="35"/>
      <c r="E876" s="18"/>
      <c r="F876" s="18"/>
      <c r="G876" s="18"/>
      <c r="H876" s="18"/>
      <c r="I876" s="18"/>
      <c r="J876" s="36"/>
      <c r="K876" s="37" t="str">
        <f t="shared" si="2"/>
        <v/>
      </c>
    </row>
    <row r="877">
      <c r="A877" s="17"/>
      <c r="B877" s="18"/>
      <c r="C877" s="18"/>
      <c r="D877" s="35"/>
      <c r="E877" s="18"/>
      <c r="F877" s="18"/>
      <c r="G877" s="18"/>
      <c r="H877" s="18"/>
      <c r="I877" s="18"/>
      <c r="J877" s="36"/>
      <c r="K877" s="37" t="str">
        <f t="shared" si="2"/>
        <v/>
      </c>
    </row>
    <row r="878">
      <c r="A878" s="17"/>
      <c r="B878" s="18"/>
      <c r="C878" s="18"/>
      <c r="D878" s="35"/>
      <c r="E878" s="18"/>
      <c r="F878" s="18"/>
      <c r="G878" s="18"/>
      <c r="H878" s="18"/>
      <c r="I878" s="18"/>
      <c r="J878" s="36"/>
      <c r="K878" s="37" t="str">
        <f t="shared" si="2"/>
        <v/>
      </c>
    </row>
    <row r="879">
      <c r="A879" s="17"/>
      <c r="B879" s="18"/>
      <c r="C879" s="18"/>
      <c r="D879" s="35"/>
      <c r="E879" s="18"/>
      <c r="F879" s="18"/>
      <c r="G879" s="18"/>
      <c r="H879" s="18"/>
      <c r="I879" s="18"/>
      <c r="J879" s="36"/>
      <c r="K879" s="37" t="str">
        <f t="shared" si="2"/>
        <v/>
      </c>
    </row>
    <row r="880">
      <c r="A880" s="17"/>
      <c r="B880" s="18"/>
      <c r="C880" s="18"/>
      <c r="D880" s="35"/>
      <c r="E880" s="18"/>
      <c r="F880" s="18"/>
      <c r="G880" s="18"/>
      <c r="H880" s="18"/>
      <c r="I880" s="18"/>
      <c r="J880" s="36"/>
      <c r="K880" s="37" t="str">
        <f t="shared" si="2"/>
        <v/>
      </c>
    </row>
    <row r="881">
      <c r="A881" s="17"/>
      <c r="B881" s="18"/>
      <c r="C881" s="18"/>
      <c r="D881" s="35"/>
      <c r="E881" s="18"/>
      <c r="F881" s="18"/>
      <c r="G881" s="18"/>
      <c r="H881" s="18"/>
      <c r="I881" s="18"/>
      <c r="J881" s="36"/>
      <c r="K881" s="37" t="str">
        <f t="shared" si="2"/>
        <v/>
      </c>
    </row>
    <row r="882">
      <c r="A882" s="17"/>
      <c r="B882" s="18"/>
      <c r="C882" s="18"/>
      <c r="D882" s="35"/>
      <c r="E882" s="18"/>
      <c r="F882" s="18"/>
      <c r="G882" s="18"/>
      <c r="H882" s="18"/>
      <c r="I882" s="18"/>
      <c r="J882" s="36"/>
      <c r="K882" s="37" t="str">
        <f t="shared" si="2"/>
        <v/>
      </c>
    </row>
    <row r="883">
      <c r="A883" s="17"/>
      <c r="B883" s="18"/>
      <c r="C883" s="18"/>
      <c r="D883" s="35"/>
      <c r="E883" s="18"/>
      <c r="F883" s="18"/>
      <c r="G883" s="18"/>
      <c r="H883" s="18"/>
      <c r="I883" s="18"/>
      <c r="J883" s="36"/>
      <c r="K883" s="37" t="str">
        <f t="shared" si="2"/>
        <v/>
      </c>
    </row>
    <row r="884">
      <c r="A884" s="17"/>
      <c r="B884" s="18"/>
      <c r="C884" s="18"/>
      <c r="D884" s="35"/>
      <c r="E884" s="18"/>
      <c r="F884" s="18"/>
      <c r="G884" s="18"/>
      <c r="H884" s="18"/>
      <c r="I884" s="18"/>
      <c r="J884" s="36"/>
      <c r="K884" s="37" t="str">
        <f t="shared" si="2"/>
        <v/>
      </c>
    </row>
    <row r="885">
      <c r="A885" s="17"/>
      <c r="B885" s="18"/>
      <c r="C885" s="18"/>
      <c r="D885" s="35"/>
      <c r="E885" s="18"/>
      <c r="F885" s="18"/>
      <c r="G885" s="18"/>
      <c r="H885" s="18"/>
      <c r="I885" s="18"/>
      <c r="J885" s="36"/>
      <c r="K885" s="37" t="str">
        <f t="shared" si="2"/>
        <v/>
      </c>
    </row>
    <row r="886">
      <c r="A886" s="17"/>
      <c r="B886" s="18"/>
      <c r="C886" s="18"/>
      <c r="D886" s="35"/>
      <c r="E886" s="18"/>
      <c r="F886" s="18"/>
      <c r="G886" s="18"/>
      <c r="H886" s="18"/>
      <c r="I886" s="18"/>
      <c r="J886" s="36"/>
      <c r="K886" s="37" t="str">
        <f t="shared" si="2"/>
        <v/>
      </c>
    </row>
    <row r="887">
      <c r="A887" s="17"/>
      <c r="B887" s="18"/>
      <c r="C887" s="18"/>
      <c r="D887" s="35"/>
      <c r="E887" s="18"/>
      <c r="F887" s="18"/>
      <c r="G887" s="18"/>
      <c r="H887" s="18"/>
      <c r="I887" s="18"/>
      <c r="J887" s="36"/>
      <c r="K887" s="37" t="str">
        <f t="shared" si="2"/>
        <v/>
      </c>
    </row>
    <row r="888">
      <c r="A888" s="17"/>
      <c r="B888" s="18"/>
      <c r="C888" s="18"/>
      <c r="D888" s="35"/>
      <c r="E888" s="18"/>
      <c r="F888" s="18"/>
      <c r="G888" s="18"/>
      <c r="H888" s="18"/>
      <c r="I888" s="18"/>
      <c r="J888" s="36"/>
      <c r="K888" s="37" t="str">
        <f t="shared" si="2"/>
        <v/>
      </c>
    </row>
    <row r="889">
      <c r="A889" s="17"/>
      <c r="B889" s="18"/>
      <c r="C889" s="18"/>
      <c r="D889" s="35"/>
      <c r="E889" s="18"/>
      <c r="F889" s="18"/>
      <c r="G889" s="18"/>
      <c r="H889" s="18"/>
      <c r="I889" s="18"/>
      <c r="J889" s="36"/>
      <c r="K889" s="37" t="str">
        <f t="shared" si="2"/>
        <v/>
      </c>
    </row>
    <row r="890">
      <c r="A890" s="17"/>
      <c r="B890" s="18"/>
      <c r="C890" s="18"/>
      <c r="D890" s="35"/>
      <c r="E890" s="18"/>
      <c r="F890" s="18"/>
      <c r="G890" s="18"/>
      <c r="H890" s="18"/>
      <c r="I890" s="18"/>
      <c r="J890" s="36"/>
      <c r="K890" s="37" t="str">
        <f t="shared" si="2"/>
        <v/>
      </c>
    </row>
    <row r="891">
      <c r="A891" s="17"/>
      <c r="B891" s="18"/>
      <c r="C891" s="18"/>
      <c r="D891" s="35"/>
      <c r="E891" s="18"/>
      <c r="F891" s="18"/>
      <c r="G891" s="18"/>
      <c r="H891" s="18"/>
      <c r="I891" s="18"/>
      <c r="J891" s="36"/>
      <c r="K891" s="37" t="str">
        <f t="shared" si="2"/>
        <v/>
      </c>
    </row>
    <row r="892">
      <c r="A892" s="17"/>
      <c r="B892" s="18"/>
      <c r="C892" s="18"/>
      <c r="D892" s="35"/>
      <c r="E892" s="18"/>
      <c r="F892" s="18"/>
      <c r="G892" s="18"/>
      <c r="H892" s="18"/>
      <c r="I892" s="18"/>
      <c r="J892" s="36"/>
      <c r="K892" s="37" t="str">
        <f t="shared" si="2"/>
        <v/>
      </c>
    </row>
    <row r="893">
      <c r="A893" s="17"/>
      <c r="B893" s="18"/>
      <c r="C893" s="18"/>
      <c r="D893" s="35"/>
      <c r="E893" s="18"/>
      <c r="F893" s="18"/>
      <c r="G893" s="18"/>
      <c r="H893" s="18"/>
      <c r="I893" s="18"/>
      <c r="J893" s="36"/>
      <c r="K893" s="37" t="str">
        <f t="shared" si="2"/>
        <v/>
      </c>
    </row>
    <row r="894">
      <c r="A894" s="17"/>
      <c r="B894" s="18"/>
      <c r="C894" s="18"/>
      <c r="D894" s="35"/>
      <c r="E894" s="18"/>
      <c r="F894" s="18"/>
      <c r="G894" s="18"/>
      <c r="H894" s="18"/>
      <c r="I894" s="18"/>
      <c r="J894" s="36"/>
      <c r="K894" s="37" t="str">
        <f t="shared" si="2"/>
        <v/>
      </c>
    </row>
    <row r="895">
      <c r="A895" s="17"/>
      <c r="B895" s="18"/>
      <c r="C895" s="18"/>
      <c r="D895" s="35"/>
      <c r="E895" s="18"/>
      <c r="F895" s="18"/>
      <c r="G895" s="18"/>
      <c r="H895" s="18"/>
      <c r="I895" s="18"/>
      <c r="J895" s="36"/>
      <c r="K895" s="37" t="str">
        <f t="shared" si="2"/>
        <v/>
      </c>
    </row>
    <row r="896">
      <c r="A896" s="17"/>
      <c r="B896" s="18"/>
      <c r="C896" s="18"/>
      <c r="D896" s="35"/>
      <c r="E896" s="18"/>
      <c r="F896" s="18"/>
      <c r="G896" s="18"/>
      <c r="H896" s="18"/>
      <c r="I896" s="18"/>
      <c r="J896" s="36"/>
      <c r="K896" s="37" t="str">
        <f t="shared" si="2"/>
        <v/>
      </c>
    </row>
    <row r="897">
      <c r="A897" s="17"/>
      <c r="B897" s="18"/>
      <c r="C897" s="18"/>
      <c r="D897" s="35"/>
      <c r="E897" s="18"/>
      <c r="F897" s="18"/>
      <c r="G897" s="18"/>
      <c r="H897" s="18"/>
      <c r="I897" s="18"/>
      <c r="J897" s="36"/>
      <c r="K897" s="37" t="str">
        <f t="shared" si="2"/>
        <v/>
      </c>
    </row>
    <row r="898">
      <c r="A898" s="17"/>
      <c r="B898" s="18"/>
      <c r="C898" s="18"/>
      <c r="D898" s="35"/>
      <c r="E898" s="18"/>
      <c r="F898" s="18"/>
      <c r="G898" s="18"/>
      <c r="H898" s="18"/>
      <c r="I898" s="18"/>
      <c r="J898" s="36"/>
      <c r="K898" s="37" t="str">
        <f t="shared" si="2"/>
        <v/>
      </c>
    </row>
    <row r="899">
      <c r="A899" s="17"/>
      <c r="B899" s="18"/>
      <c r="C899" s="18"/>
      <c r="D899" s="35"/>
      <c r="E899" s="18"/>
      <c r="F899" s="18"/>
      <c r="G899" s="18"/>
      <c r="H899" s="18"/>
      <c r="I899" s="18"/>
      <c r="J899" s="36"/>
      <c r="K899" s="37" t="str">
        <f t="shared" si="2"/>
        <v/>
      </c>
    </row>
    <row r="900">
      <c r="A900" s="17"/>
      <c r="B900" s="18"/>
      <c r="C900" s="18"/>
      <c r="D900" s="35"/>
      <c r="E900" s="18"/>
      <c r="F900" s="18"/>
      <c r="G900" s="18"/>
      <c r="H900" s="18"/>
      <c r="I900" s="18"/>
      <c r="J900" s="36"/>
      <c r="K900" s="37" t="str">
        <f t="shared" si="2"/>
        <v/>
      </c>
    </row>
    <row r="901">
      <c r="A901" s="17"/>
      <c r="B901" s="18"/>
      <c r="C901" s="18"/>
      <c r="D901" s="35"/>
      <c r="E901" s="18"/>
      <c r="F901" s="18"/>
      <c r="G901" s="18"/>
      <c r="H901" s="18"/>
      <c r="I901" s="18"/>
      <c r="J901" s="36"/>
      <c r="K901" s="37" t="str">
        <f t="shared" si="2"/>
        <v/>
      </c>
    </row>
    <row r="902">
      <c r="A902" s="17"/>
      <c r="B902" s="18"/>
      <c r="C902" s="18"/>
      <c r="D902" s="35"/>
      <c r="E902" s="18"/>
      <c r="F902" s="18"/>
      <c r="G902" s="18"/>
      <c r="H902" s="18"/>
      <c r="I902" s="18"/>
      <c r="J902" s="36"/>
      <c r="K902" s="37" t="str">
        <f t="shared" si="2"/>
        <v/>
      </c>
    </row>
    <row r="903">
      <c r="A903" s="17"/>
      <c r="B903" s="18"/>
      <c r="C903" s="18"/>
      <c r="D903" s="35"/>
      <c r="E903" s="18"/>
      <c r="F903" s="18"/>
      <c r="G903" s="18"/>
      <c r="H903" s="18"/>
      <c r="I903" s="18"/>
      <c r="J903" s="36"/>
      <c r="K903" s="37" t="str">
        <f t="shared" si="2"/>
        <v/>
      </c>
    </row>
    <row r="904">
      <c r="A904" s="17"/>
      <c r="B904" s="18"/>
      <c r="C904" s="18"/>
      <c r="D904" s="35"/>
      <c r="E904" s="18"/>
      <c r="F904" s="18"/>
      <c r="G904" s="18"/>
      <c r="H904" s="18"/>
      <c r="I904" s="18"/>
      <c r="J904" s="36"/>
      <c r="K904" s="37" t="str">
        <f t="shared" si="2"/>
        <v/>
      </c>
    </row>
    <row r="905">
      <c r="A905" s="17"/>
      <c r="B905" s="18"/>
      <c r="C905" s="18"/>
      <c r="D905" s="35"/>
      <c r="E905" s="18"/>
      <c r="F905" s="18"/>
      <c r="G905" s="18"/>
      <c r="H905" s="18"/>
      <c r="I905" s="18"/>
      <c r="J905" s="36"/>
      <c r="K905" s="37" t="str">
        <f t="shared" si="2"/>
        <v/>
      </c>
    </row>
    <row r="906">
      <c r="A906" s="17"/>
      <c r="B906" s="18"/>
      <c r="C906" s="18"/>
      <c r="D906" s="35"/>
      <c r="E906" s="18"/>
      <c r="F906" s="18"/>
      <c r="G906" s="18"/>
      <c r="H906" s="18"/>
      <c r="I906" s="18"/>
      <c r="J906" s="36"/>
      <c r="K906" s="37" t="str">
        <f t="shared" si="2"/>
        <v/>
      </c>
    </row>
    <row r="907">
      <c r="A907" s="17"/>
      <c r="B907" s="18"/>
      <c r="C907" s="18"/>
      <c r="D907" s="35"/>
      <c r="E907" s="18"/>
      <c r="F907" s="18"/>
      <c r="G907" s="18"/>
      <c r="H907" s="18"/>
      <c r="I907" s="18"/>
      <c r="J907" s="36"/>
      <c r="K907" s="37" t="str">
        <f t="shared" si="2"/>
        <v/>
      </c>
    </row>
    <row r="908">
      <c r="A908" s="17"/>
      <c r="B908" s="18"/>
      <c r="C908" s="18"/>
      <c r="D908" s="35"/>
      <c r="E908" s="18"/>
      <c r="F908" s="18"/>
      <c r="G908" s="18"/>
      <c r="H908" s="18"/>
      <c r="I908" s="18"/>
      <c r="J908" s="36"/>
      <c r="K908" s="37" t="str">
        <f t="shared" si="2"/>
        <v/>
      </c>
    </row>
    <row r="909">
      <c r="A909" s="17"/>
      <c r="B909" s="18"/>
      <c r="C909" s="18"/>
      <c r="D909" s="35"/>
      <c r="E909" s="18"/>
      <c r="F909" s="18"/>
      <c r="G909" s="18"/>
      <c r="H909" s="18"/>
      <c r="I909" s="18"/>
      <c r="J909" s="36"/>
      <c r="K909" s="37" t="str">
        <f t="shared" si="2"/>
        <v/>
      </c>
    </row>
    <row r="910">
      <c r="A910" s="17"/>
      <c r="B910" s="18"/>
      <c r="C910" s="18"/>
      <c r="D910" s="35"/>
      <c r="E910" s="18"/>
      <c r="F910" s="18"/>
      <c r="G910" s="18"/>
      <c r="H910" s="18"/>
      <c r="I910" s="18"/>
      <c r="J910" s="36"/>
      <c r="K910" s="37" t="str">
        <f t="shared" si="2"/>
        <v/>
      </c>
    </row>
    <row r="911">
      <c r="A911" s="17"/>
      <c r="B911" s="18"/>
      <c r="C911" s="18"/>
      <c r="D911" s="35"/>
      <c r="E911" s="18"/>
      <c r="F911" s="18"/>
      <c r="G911" s="18"/>
      <c r="H911" s="18"/>
      <c r="I911" s="18"/>
      <c r="J911" s="36"/>
      <c r="K911" s="37" t="str">
        <f t="shared" si="2"/>
        <v/>
      </c>
    </row>
    <row r="912">
      <c r="A912" s="17"/>
      <c r="B912" s="18"/>
      <c r="C912" s="18"/>
      <c r="D912" s="35"/>
      <c r="E912" s="18"/>
      <c r="F912" s="18"/>
      <c r="G912" s="18"/>
      <c r="H912" s="18"/>
      <c r="I912" s="18"/>
      <c r="J912" s="36"/>
      <c r="K912" s="37" t="str">
        <f t="shared" si="2"/>
        <v/>
      </c>
    </row>
    <row r="913">
      <c r="A913" s="17"/>
      <c r="B913" s="18"/>
      <c r="C913" s="18"/>
      <c r="D913" s="35"/>
      <c r="E913" s="18"/>
      <c r="F913" s="18"/>
      <c r="G913" s="18"/>
      <c r="H913" s="18"/>
      <c r="I913" s="18"/>
      <c r="J913" s="36"/>
      <c r="K913" s="37" t="str">
        <f t="shared" si="2"/>
        <v/>
      </c>
    </row>
    <row r="914">
      <c r="A914" s="17"/>
      <c r="B914" s="18"/>
      <c r="C914" s="18"/>
      <c r="D914" s="35"/>
      <c r="E914" s="18"/>
      <c r="F914" s="18"/>
      <c r="G914" s="18"/>
      <c r="H914" s="18"/>
      <c r="I914" s="18"/>
      <c r="J914" s="36"/>
      <c r="K914" s="37" t="str">
        <f t="shared" si="2"/>
        <v/>
      </c>
    </row>
    <row r="915">
      <c r="A915" s="17"/>
      <c r="B915" s="18"/>
      <c r="C915" s="18"/>
      <c r="D915" s="35"/>
      <c r="E915" s="18"/>
      <c r="F915" s="18"/>
      <c r="G915" s="18"/>
      <c r="H915" s="18"/>
      <c r="I915" s="18"/>
      <c r="J915" s="36"/>
      <c r="K915" s="37" t="str">
        <f t="shared" si="2"/>
        <v/>
      </c>
    </row>
    <row r="916">
      <c r="A916" s="17"/>
      <c r="B916" s="18"/>
      <c r="C916" s="18"/>
      <c r="D916" s="35"/>
      <c r="E916" s="18"/>
      <c r="F916" s="18"/>
      <c r="G916" s="18"/>
      <c r="H916" s="18"/>
      <c r="I916" s="18"/>
      <c r="J916" s="36"/>
      <c r="K916" s="37" t="str">
        <f t="shared" si="2"/>
        <v/>
      </c>
    </row>
    <row r="917">
      <c r="A917" s="17"/>
      <c r="B917" s="18"/>
      <c r="C917" s="18"/>
      <c r="D917" s="35"/>
      <c r="E917" s="18"/>
      <c r="F917" s="18"/>
      <c r="G917" s="18"/>
      <c r="H917" s="18"/>
      <c r="I917" s="18"/>
      <c r="J917" s="36"/>
      <c r="K917" s="37" t="str">
        <f t="shared" si="2"/>
        <v/>
      </c>
    </row>
    <row r="918">
      <c r="A918" s="17"/>
      <c r="B918" s="18"/>
      <c r="C918" s="18"/>
      <c r="D918" s="35"/>
      <c r="E918" s="18"/>
      <c r="F918" s="18"/>
      <c r="G918" s="18"/>
      <c r="H918" s="18"/>
      <c r="I918" s="18"/>
      <c r="J918" s="36"/>
      <c r="K918" s="37" t="str">
        <f t="shared" si="2"/>
        <v/>
      </c>
    </row>
    <row r="919">
      <c r="A919" s="17"/>
      <c r="B919" s="18"/>
      <c r="C919" s="18"/>
      <c r="D919" s="35"/>
      <c r="E919" s="18"/>
      <c r="F919" s="18"/>
      <c r="G919" s="18"/>
      <c r="H919" s="18"/>
      <c r="I919" s="18"/>
      <c r="J919" s="36"/>
      <c r="K919" s="37" t="str">
        <f t="shared" si="2"/>
        <v/>
      </c>
    </row>
    <row r="920">
      <c r="A920" s="17"/>
      <c r="B920" s="18"/>
      <c r="C920" s="18"/>
      <c r="D920" s="35"/>
      <c r="E920" s="18"/>
      <c r="F920" s="18"/>
      <c r="G920" s="18"/>
      <c r="H920" s="18"/>
      <c r="I920" s="18"/>
      <c r="J920" s="36"/>
      <c r="K920" s="37" t="str">
        <f t="shared" si="2"/>
        <v/>
      </c>
    </row>
    <row r="921">
      <c r="A921" s="17"/>
      <c r="B921" s="18"/>
      <c r="C921" s="18"/>
      <c r="D921" s="35"/>
      <c r="E921" s="18"/>
      <c r="F921" s="18"/>
      <c r="G921" s="18"/>
      <c r="H921" s="18"/>
      <c r="I921" s="18"/>
      <c r="J921" s="36"/>
      <c r="K921" s="37" t="str">
        <f t="shared" si="2"/>
        <v/>
      </c>
    </row>
    <row r="922">
      <c r="A922" s="17"/>
      <c r="B922" s="18"/>
      <c r="C922" s="18"/>
      <c r="D922" s="35"/>
      <c r="E922" s="18"/>
      <c r="F922" s="18"/>
      <c r="G922" s="18"/>
      <c r="H922" s="18"/>
      <c r="I922" s="18"/>
      <c r="J922" s="36"/>
      <c r="K922" s="37" t="str">
        <f t="shared" si="2"/>
        <v/>
      </c>
    </row>
    <row r="923">
      <c r="A923" s="17"/>
      <c r="B923" s="18"/>
      <c r="C923" s="18"/>
      <c r="D923" s="35"/>
      <c r="E923" s="18"/>
      <c r="F923" s="18"/>
      <c r="G923" s="18"/>
      <c r="H923" s="18"/>
      <c r="I923" s="18"/>
      <c r="J923" s="36"/>
      <c r="K923" s="37" t="str">
        <f t="shared" si="2"/>
        <v/>
      </c>
    </row>
    <row r="924">
      <c r="A924" s="17"/>
      <c r="B924" s="18"/>
      <c r="C924" s="18"/>
      <c r="D924" s="35"/>
      <c r="E924" s="18"/>
      <c r="F924" s="18"/>
      <c r="G924" s="18"/>
      <c r="H924" s="18"/>
      <c r="I924" s="18"/>
      <c r="J924" s="36"/>
      <c r="K924" s="37" t="str">
        <f t="shared" si="2"/>
        <v/>
      </c>
    </row>
    <row r="925">
      <c r="A925" s="17"/>
      <c r="B925" s="18"/>
      <c r="C925" s="18"/>
      <c r="D925" s="35"/>
      <c r="E925" s="18"/>
      <c r="F925" s="18"/>
      <c r="G925" s="18"/>
      <c r="H925" s="18"/>
      <c r="I925" s="18"/>
      <c r="J925" s="36"/>
      <c r="K925" s="37" t="str">
        <f t="shared" si="2"/>
        <v/>
      </c>
    </row>
    <row r="926">
      <c r="A926" s="17"/>
      <c r="B926" s="18"/>
      <c r="C926" s="18"/>
      <c r="D926" s="35"/>
      <c r="E926" s="18"/>
      <c r="F926" s="18"/>
      <c r="G926" s="18"/>
      <c r="H926" s="18"/>
      <c r="I926" s="18"/>
      <c r="J926" s="36"/>
      <c r="K926" s="37" t="str">
        <f t="shared" si="2"/>
        <v/>
      </c>
    </row>
    <row r="927">
      <c r="A927" s="17"/>
      <c r="B927" s="18"/>
      <c r="C927" s="18"/>
      <c r="D927" s="35"/>
      <c r="E927" s="18"/>
      <c r="F927" s="18"/>
      <c r="G927" s="18"/>
      <c r="H927" s="18"/>
      <c r="I927" s="18"/>
      <c r="J927" s="36"/>
      <c r="K927" s="37" t="str">
        <f t="shared" si="2"/>
        <v/>
      </c>
    </row>
    <row r="928">
      <c r="A928" s="17"/>
      <c r="B928" s="18"/>
      <c r="C928" s="18"/>
      <c r="D928" s="35"/>
      <c r="E928" s="18"/>
      <c r="F928" s="18"/>
      <c r="G928" s="18"/>
      <c r="H928" s="18"/>
      <c r="I928" s="18"/>
      <c r="J928" s="36"/>
      <c r="K928" s="37" t="str">
        <f t="shared" si="2"/>
        <v/>
      </c>
    </row>
    <row r="929">
      <c r="A929" s="17"/>
      <c r="B929" s="18"/>
      <c r="C929" s="18"/>
      <c r="D929" s="35"/>
      <c r="E929" s="18"/>
      <c r="F929" s="18"/>
      <c r="G929" s="18"/>
      <c r="H929" s="18"/>
      <c r="I929" s="18"/>
      <c r="J929" s="36"/>
      <c r="K929" s="37" t="str">
        <f t="shared" si="2"/>
        <v/>
      </c>
    </row>
    <row r="930">
      <c r="A930" s="17"/>
      <c r="B930" s="18"/>
      <c r="C930" s="18"/>
      <c r="D930" s="35"/>
      <c r="E930" s="18"/>
      <c r="F930" s="18"/>
      <c r="G930" s="18"/>
      <c r="H930" s="18"/>
      <c r="I930" s="18"/>
      <c r="J930" s="36"/>
      <c r="K930" s="37" t="str">
        <f t="shared" si="2"/>
        <v/>
      </c>
    </row>
    <row r="931">
      <c r="A931" s="17"/>
      <c r="B931" s="18"/>
      <c r="C931" s="18"/>
      <c r="D931" s="35"/>
      <c r="E931" s="18"/>
      <c r="F931" s="18"/>
      <c r="G931" s="18"/>
      <c r="H931" s="18"/>
      <c r="I931" s="18"/>
      <c r="J931" s="36"/>
      <c r="K931" s="37" t="str">
        <f t="shared" si="2"/>
        <v/>
      </c>
    </row>
    <row r="932">
      <c r="A932" s="17"/>
      <c r="B932" s="18"/>
      <c r="C932" s="18"/>
      <c r="D932" s="35"/>
      <c r="E932" s="18"/>
      <c r="F932" s="18"/>
      <c r="G932" s="18"/>
      <c r="H932" s="18"/>
      <c r="I932" s="18"/>
      <c r="J932" s="36"/>
      <c r="K932" s="37" t="str">
        <f t="shared" si="2"/>
        <v/>
      </c>
    </row>
    <row r="933">
      <c r="A933" s="17"/>
      <c r="B933" s="18"/>
      <c r="C933" s="18"/>
      <c r="D933" s="35"/>
      <c r="E933" s="18"/>
      <c r="F933" s="18"/>
      <c r="G933" s="18"/>
      <c r="H933" s="18"/>
      <c r="I933" s="18"/>
      <c r="J933" s="36"/>
      <c r="K933" s="37" t="str">
        <f t="shared" si="2"/>
        <v/>
      </c>
    </row>
    <row r="934">
      <c r="A934" s="17"/>
      <c r="B934" s="18"/>
      <c r="C934" s="18"/>
      <c r="D934" s="35"/>
      <c r="E934" s="18"/>
      <c r="F934" s="18"/>
      <c r="G934" s="18"/>
      <c r="H934" s="18"/>
      <c r="I934" s="18"/>
      <c r="J934" s="36"/>
      <c r="K934" s="37" t="str">
        <f t="shared" si="2"/>
        <v/>
      </c>
    </row>
    <row r="935">
      <c r="A935" s="17"/>
      <c r="B935" s="18"/>
      <c r="C935" s="18"/>
      <c r="D935" s="35"/>
      <c r="E935" s="18"/>
      <c r="F935" s="18"/>
      <c r="G935" s="18"/>
      <c r="H935" s="18"/>
      <c r="I935" s="18"/>
      <c r="J935" s="36"/>
      <c r="K935" s="37" t="str">
        <f t="shared" si="2"/>
        <v/>
      </c>
    </row>
    <row r="936">
      <c r="A936" s="17"/>
      <c r="B936" s="18"/>
      <c r="C936" s="18"/>
      <c r="D936" s="35"/>
      <c r="E936" s="18"/>
      <c r="F936" s="18"/>
      <c r="G936" s="18"/>
      <c r="H936" s="18"/>
      <c r="I936" s="18"/>
      <c r="J936" s="36"/>
      <c r="K936" s="37" t="str">
        <f t="shared" si="2"/>
        <v/>
      </c>
    </row>
    <row r="937">
      <c r="A937" s="17"/>
      <c r="B937" s="18"/>
      <c r="C937" s="18"/>
      <c r="D937" s="35"/>
      <c r="E937" s="18"/>
      <c r="F937" s="18"/>
      <c r="G937" s="18"/>
      <c r="H937" s="18"/>
      <c r="I937" s="18"/>
      <c r="J937" s="36"/>
      <c r="K937" s="37" t="str">
        <f t="shared" si="2"/>
        <v/>
      </c>
    </row>
    <row r="938">
      <c r="A938" s="17"/>
      <c r="B938" s="18"/>
      <c r="C938" s="18"/>
      <c r="D938" s="35"/>
      <c r="E938" s="18"/>
      <c r="F938" s="18"/>
      <c r="G938" s="18"/>
      <c r="H938" s="18"/>
      <c r="I938" s="18"/>
      <c r="J938" s="36"/>
      <c r="K938" s="37" t="str">
        <f t="shared" si="2"/>
        <v/>
      </c>
    </row>
    <row r="939">
      <c r="A939" s="17"/>
      <c r="B939" s="18"/>
      <c r="C939" s="18"/>
      <c r="D939" s="35"/>
      <c r="E939" s="18"/>
      <c r="F939" s="18"/>
      <c r="G939" s="18"/>
      <c r="H939" s="18"/>
      <c r="I939" s="18"/>
      <c r="J939" s="36"/>
      <c r="K939" s="37" t="str">
        <f t="shared" si="2"/>
        <v/>
      </c>
    </row>
    <row r="940">
      <c r="A940" s="17"/>
      <c r="B940" s="18"/>
      <c r="C940" s="18"/>
      <c r="D940" s="35"/>
      <c r="E940" s="18"/>
      <c r="F940" s="18"/>
      <c r="G940" s="18"/>
      <c r="H940" s="18"/>
      <c r="I940" s="18"/>
      <c r="J940" s="36"/>
      <c r="K940" s="37" t="str">
        <f t="shared" si="2"/>
        <v/>
      </c>
    </row>
    <row r="941">
      <c r="A941" s="17"/>
      <c r="B941" s="18"/>
      <c r="C941" s="18"/>
      <c r="D941" s="35"/>
      <c r="E941" s="18"/>
      <c r="F941" s="18"/>
      <c r="G941" s="18"/>
      <c r="H941" s="18"/>
      <c r="I941" s="18"/>
      <c r="J941" s="36"/>
      <c r="K941" s="37" t="str">
        <f t="shared" si="2"/>
        <v/>
      </c>
    </row>
    <row r="942">
      <c r="A942" s="17"/>
      <c r="B942" s="18"/>
      <c r="C942" s="18"/>
      <c r="D942" s="35"/>
      <c r="E942" s="18"/>
      <c r="F942" s="18"/>
      <c r="G942" s="18"/>
      <c r="H942" s="18"/>
      <c r="I942" s="18"/>
      <c r="J942" s="36"/>
      <c r="K942" s="37" t="str">
        <f t="shared" si="2"/>
        <v/>
      </c>
    </row>
    <row r="943">
      <c r="A943" s="17"/>
      <c r="B943" s="18"/>
      <c r="C943" s="18"/>
      <c r="D943" s="35"/>
      <c r="E943" s="18"/>
      <c r="F943" s="18"/>
      <c r="G943" s="18"/>
      <c r="H943" s="18"/>
      <c r="I943" s="18"/>
      <c r="J943" s="36"/>
      <c r="K943" s="37" t="str">
        <f t="shared" si="2"/>
        <v/>
      </c>
    </row>
    <row r="944">
      <c r="A944" s="17"/>
      <c r="B944" s="18"/>
      <c r="C944" s="18"/>
      <c r="D944" s="35"/>
      <c r="E944" s="18"/>
      <c r="F944" s="18"/>
      <c r="G944" s="18"/>
      <c r="H944" s="18"/>
      <c r="I944" s="18"/>
      <c r="J944" s="36"/>
      <c r="K944" s="37" t="str">
        <f t="shared" si="2"/>
        <v/>
      </c>
    </row>
    <row r="945">
      <c r="A945" s="17"/>
      <c r="B945" s="18"/>
      <c r="C945" s="18"/>
      <c r="D945" s="35"/>
      <c r="E945" s="18"/>
      <c r="F945" s="18"/>
      <c r="G945" s="18"/>
      <c r="H945" s="18"/>
      <c r="I945" s="18"/>
      <c r="J945" s="36"/>
      <c r="K945" s="37" t="str">
        <f t="shared" si="2"/>
        <v/>
      </c>
    </row>
    <row r="946">
      <c r="A946" s="17"/>
      <c r="B946" s="18"/>
      <c r="C946" s="18"/>
      <c r="D946" s="35"/>
      <c r="E946" s="18"/>
      <c r="F946" s="18"/>
      <c r="G946" s="18"/>
      <c r="H946" s="18"/>
      <c r="I946" s="18"/>
      <c r="J946" s="36"/>
      <c r="K946" s="37" t="str">
        <f t="shared" si="2"/>
        <v/>
      </c>
    </row>
    <row r="947">
      <c r="A947" s="17"/>
      <c r="B947" s="18"/>
      <c r="C947" s="18"/>
      <c r="D947" s="35"/>
      <c r="E947" s="18"/>
      <c r="F947" s="18"/>
      <c r="G947" s="18"/>
      <c r="H947" s="18"/>
      <c r="I947" s="18"/>
      <c r="J947" s="36"/>
      <c r="K947" s="37" t="str">
        <f t="shared" si="2"/>
        <v/>
      </c>
    </row>
    <row r="948">
      <c r="A948" s="17"/>
      <c r="B948" s="18"/>
      <c r="C948" s="18"/>
      <c r="D948" s="35"/>
      <c r="E948" s="18"/>
      <c r="F948" s="18"/>
      <c r="G948" s="18"/>
      <c r="H948" s="18"/>
      <c r="I948" s="18"/>
      <c r="J948" s="36"/>
      <c r="K948" s="37" t="str">
        <f t="shared" si="2"/>
        <v/>
      </c>
    </row>
    <row r="949">
      <c r="A949" s="17"/>
      <c r="B949" s="18"/>
      <c r="C949" s="18"/>
      <c r="D949" s="35"/>
      <c r="E949" s="18"/>
      <c r="F949" s="18"/>
      <c r="G949" s="18"/>
      <c r="H949" s="18"/>
      <c r="I949" s="18"/>
      <c r="J949" s="36"/>
      <c r="K949" s="37" t="str">
        <f t="shared" si="2"/>
        <v/>
      </c>
    </row>
    <row r="950">
      <c r="A950" s="17"/>
      <c r="B950" s="18"/>
      <c r="C950" s="18"/>
      <c r="D950" s="35"/>
      <c r="E950" s="18"/>
      <c r="F950" s="18"/>
      <c r="G950" s="18"/>
      <c r="H950" s="18"/>
      <c r="I950" s="18"/>
      <c r="J950" s="36"/>
      <c r="K950" s="37" t="str">
        <f t="shared" si="2"/>
        <v/>
      </c>
    </row>
    <row r="951">
      <c r="A951" s="17"/>
      <c r="B951" s="18"/>
      <c r="C951" s="18"/>
      <c r="D951" s="35"/>
      <c r="E951" s="18"/>
      <c r="F951" s="18"/>
      <c r="G951" s="18"/>
      <c r="H951" s="18"/>
      <c r="I951" s="18"/>
      <c r="J951" s="36"/>
      <c r="K951" s="37" t="str">
        <f t="shared" si="2"/>
        <v/>
      </c>
    </row>
    <row r="952">
      <c r="A952" s="17"/>
      <c r="B952" s="18"/>
      <c r="C952" s="18"/>
      <c r="D952" s="35"/>
      <c r="E952" s="18"/>
      <c r="F952" s="18"/>
      <c r="G952" s="18"/>
      <c r="H952" s="18"/>
      <c r="I952" s="18"/>
      <c r="J952" s="36"/>
      <c r="K952" s="37" t="str">
        <f t="shared" si="2"/>
        <v/>
      </c>
    </row>
    <row r="953">
      <c r="A953" s="17"/>
      <c r="B953" s="18"/>
      <c r="C953" s="18"/>
      <c r="D953" s="35"/>
      <c r="E953" s="18"/>
      <c r="F953" s="18"/>
      <c r="G953" s="18"/>
      <c r="H953" s="18"/>
      <c r="I953" s="18"/>
      <c r="J953" s="36"/>
      <c r="K953" s="37" t="str">
        <f t="shared" si="2"/>
        <v/>
      </c>
    </row>
    <row r="954">
      <c r="A954" s="17"/>
      <c r="B954" s="18"/>
      <c r="C954" s="18"/>
      <c r="D954" s="35"/>
      <c r="E954" s="18"/>
      <c r="F954" s="18"/>
      <c r="G954" s="18"/>
      <c r="H954" s="18"/>
      <c r="I954" s="18"/>
      <c r="J954" s="36"/>
      <c r="K954" s="37" t="str">
        <f t="shared" si="2"/>
        <v/>
      </c>
    </row>
    <row r="955">
      <c r="A955" s="17"/>
      <c r="B955" s="18"/>
      <c r="C955" s="18"/>
      <c r="D955" s="35"/>
      <c r="E955" s="18"/>
      <c r="F955" s="18"/>
      <c r="G955" s="18"/>
      <c r="H955" s="18"/>
      <c r="I955" s="18"/>
      <c r="J955" s="36"/>
      <c r="K955" s="37" t="str">
        <f t="shared" si="2"/>
        <v/>
      </c>
    </row>
    <row r="956">
      <c r="A956" s="17"/>
      <c r="B956" s="18"/>
      <c r="C956" s="18"/>
      <c r="D956" s="35"/>
      <c r="E956" s="18"/>
      <c r="F956" s="18"/>
      <c r="G956" s="18"/>
      <c r="H956" s="18"/>
      <c r="I956" s="18"/>
      <c r="J956" s="36"/>
      <c r="K956" s="37" t="str">
        <f t="shared" si="2"/>
        <v/>
      </c>
    </row>
    <row r="957">
      <c r="A957" s="17"/>
      <c r="B957" s="18"/>
      <c r="C957" s="18"/>
      <c r="D957" s="35"/>
      <c r="E957" s="18"/>
      <c r="F957" s="18"/>
      <c r="G957" s="18"/>
      <c r="H957" s="18"/>
      <c r="I957" s="18"/>
      <c r="J957" s="36"/>
      <c r="K957" s="37" t="str">
        <f t="shared" si="2"/>
        <v/>
      </c>
    </row>
    <row r="958">
      <c r="A958" s="17"/>
      <c r="B958" s="18"/>
      <c r="C958" s="18"/>
      <c r="D958" s="35"/>
      <c r="E958" s="18"/>
      <c r="F958" s="18"/>
      <c r="G958" s="18"/>
      <c r="H958" s="18"/>
      <c r="I958" s="18"/>
      <c r="J958" s="36"/>
      <c r="K958" s="37" t="str">
        <f t="shared" si="2"/>
        <v/>
      </c>
    </row>
    <row r="959">
      <c r="A959" s="17"/>
      <c r="B959" s="18"/>
      <c r="C959" s="18"/>
      <c r="D959" s="35"/>
      <c r="E959" s="18"/>
      <c r="F959" s="18"/>
      <c r="G959" s="18"/>
      <c r="H959" s="18"/>
      <c r="I959" s="18"/>
      <c r="J959" s="36"/>
      <c r="K959" s="37" t="str">
        <f t="shared" si="2"/>
        <v/>
      </c>
    </row>
    <row r="960">
      <c r="A960" s="17"/>
      <c r="B960" s="18"/>
      <c r="C960" s="18"/>
      <c r="D960" s="35"/>
      <c r="E960" s="18"/>
      <c r="F960" s="18"/>
      <c r="G960" s="18"/>
      <c r="H960" s="18"/>
      <c r="I960" s="18"/>
      <c r="J960" s="36"/>
      <c r="K960" s="37" t="str">
        <f t="shared" si="2"/>
        <v/>
      </c>
    </row>
    <row r="961">
      <c r="A961" s="17"/>
      <c r="B961" s="18"/>
      <c r="C961" s="18"/>
      <c r="D961" s="35"/>
      <c r="E961" s="18"/>
      <c r="F961" s="18"/>
      <c r="G961" s="18"/>
      <c r="H961" s="18"/>
      <c r="I961" s="18"/>
      <c r="J961" s="36"/>
      <c r="K961" s="37" t="str">
        <f t="shared" si="2"/>
        <v/>
      </c>
    </row>
    <row r="962">
      <c r="A962" s="17"/>
      <c r="B962" s="18"/>
      <c r="C962" s="18"/>
      <c r="D962" s="35"/>
      <c r="E962" s="18"/>
      <c r="F962" s="18"/>
      <c r="G962" s="18"/>
      <c r="H962" s="18"/>
      <c r="I962" s="18"/>
      <c r="J962" s="36"/>
      <c r="K962" s="37" t="str">
        <f t="shared" si="2"/>
        <v/>
      </c>
    </row>
    <row r="963">
      <c r="A963" s="17"/>
      <c r="B963" s="18"/>
      <c r="C963" s="18"/>
      <c r="D963" s="35"/>
      <c r="E963" s="18"/>
      <c r="F963" s="18"/>
      <c r="G963" s="18"/>
      <c r="H963" s="18"/>
      <c r="I963" s="18"/>
      <c r="J963" s="36"/>
      <c r="K963" s="37" t="str">
        <f t="shared" si="2"/>
        <v/>
      </c>
    </row>
    <row r="964">
      <c r="A964" s="17"/>
      <c r="B964" s="18"/>
      <c r="C964" s="18"/>
      <c r="D964" s="35"/>
      <c r="E964" s="18"/>
      <c r="F964" s="18"/>
      <c r="G964" s="18"/>
      <c r="H964" s="18"/>
      <c r="I964" s="18"/>
      <c r="J964" s="36"/>
      <c r="K964" s="37" t="str">
        <f t="shared" si="2"/>
        <v/>
      </c>
    </row>
    <row r="965">
      <c r="A965" s="17"/>
      <c r="B965" s="18"/>
      <c r="C965" s="18"/>
      <c r="D965" s="35"/>
      <c r="E965" s="18"/>
      <c r="F965" s="18"/>
      <c r="G965" s="18"/>
      <c r="H965" s="18"/>
      <c r="I965" s="18"/>
      <c r="J965" s="36"/>
      <c r="K965" s="37" t="str">
        <f t="shared" si="2"/>
        <v/>
      </c>
    </row>
    <row r="966">
      <c r="A966" s="17"/>
      <c r="B966" s="18"/>
      <c r="C966" s="18"/>
      <c r="D966" s="35"/>
      <c r="E966" s="18"/>
      <c r="F966" s="18"/>
      <c r="G966" s="18"/>
      <c r="H966" s="18"/>
      <c r="I966" s="18"/>
      <c r="J966" s="36"/>
      <c r="K966" s="37" t="str">
        <f t="shared" si="2"/>
        <v/>
      </c>
    </row>
    <row r="967">
      <c r="A967" s="17"/>
      <c r="B967" s="18"/>
      <c r="C967" s="18"/>
      <c r="D967" s="35"/>
      <c r="E967" s="18"/>
      <c r="F967" s="18"/>
      <c r="G967" s="18"/>
      <c r="H967" s="18"/>
      <c r="I967" s="18"/>
      <c r="J967" s="36"/>
      <c r="K967" s="37" t="str">
        <f t="shared" si="2"/>
        <v/>
      </c>
    </row>
    <row r="968">
      <c r="A968" s="17"/>
      <c r="B968" s="18"/>
      <c r="C968" s="18"/>
      <c r="D968" s="35"/>
      <c r="E968" s="18"/>
      <c r="F968" s="18"/>
      <c r="G968" s="18"/>
      <c r="H968" s="18"/>
      <c r="I968" s="18"/>
      <c r="J968" s="36"/>
      <c r="K968" s="37" t="str">
        <f t="shared" si="2"/>
        <v/>
      </c>
    </row>
    <row r="969">
      <c r="A969" s="17"/>
      <c r="B969" s="18"/>
      <c r="C969" s="18"/>
      <c r="D969" s="35"/>
      <c r="E969" s="18"/>
      <c r="F969" s="18"/>
      <c r="G969" s="18"/>
      <c r="H969" s="18"/>
      <c r="I969" s="18"/>
      <c r="J969" s="36"/>
      <c r="K969" s="37" t="str">
        <f t="shared" si="2"/>
        <v/>
      </c>
    </row>
    <row r="970">
      <c r="A970" s="17"/>
      <c r="B970" s="18"/>
      <c r="C970" s="18"/>
      <c r="D970" s="35"/>
      <c r="E970" s="18"/>
      <c r="F970" s="18"/>
      <c r="G970" s="18"/>
      <c r="H970" s="18"/>
      <c r="I970" s="18"/>
      <c r="J970" s="36"/>
      <c r="K970" s="37" t="str">
        <f t="shared" si="2"/>
        <v/>
      </c>
    </row>
    <row r="971">
      <c r="A971" s="17"/>
      <c r="B971" s="18"/>
      <c r="C971" s="18"/>
      <c r="D971" s="35"/>
      <c r="E971" s="18"/>
      <c r="F971" s="18"/>
      <c r="G971" s="18"/>
      <c r="H971" s="18"/>
      <c r="I971" s="18"/>
      <c r="J971" s="36"/>
      <c r="K971" s="37" t="str">
        <f t="shared" si="2"/>
        <v/>
      </c>
    </row>
    <row r="972">
      <c r="A972" s="17"/>
      <c r="B972" s="18"/>
      <c r="C972" s="18"/>
      <c r="D972" s="35"/>
      <c r="E972" s="18"/>
      <c r="F972" s="18"/>
      <c r="G972" s="18"/>
      <c r="H972" s="18"/>
      <c r="I972" s="18"/>
      <c r="J972" s="36"/>
      <c r="K972" s="37" t="str">
        <f t="shared" si="2"/>
        <v/>
      </c>
    </row>
    <row r="973">
      <c r="A973" s="17"/>
      <c r="B973" s="18"/>
      <c r="C973" s="18"/>
      <c r="D973" s="35"/>
      <c r="E973" s="18"/>
      <c r="F973" s="18"/>
      <c r="G973" s="18"/>
      <c r="H973" s="18"/>
      <c r="I973" s="18"/>
      <c r="J973" s="36"/>
      <c r="K973" s="37" t="str">
        <f t="shared" si="2"/>
        <v/>
      </c>
    </row>
    <row r="974">
      <c r="A974" s="17"/>
      <c r="B974" s="18"/>
      <c r="C974" s="18"/>
      <c r="D974" s="35"/>
      <c r="E974" s="18"/>
      <c r="F974" s="18"/>
      <c r="G974" s="18"/>
      <c r="H974" s="18"/>
      <c r="I974" s="18"/>
      <c r="J974" s="36"/>
      <c r="K974" s="37" t="str">
        <f t="shared" si="2"/>
        <v/>
      </c>
    </row>
    <row r="975">
      <c r="A975" s="17"/>
      <c r="B975" s="18"/>
      <c r="C975" s="18"/>
      <c r="D975" s="35"/>
      <c r="E975" s="18"/>
      <c r="F975" s="18"/>
      <c r="G975" s="18"/>
      <c r="H975" s="18"/>
      <c r="I975" s="18"/>
      <c r="J975" s="36"/>
      <c r="K975" s="37" t="str">
        <f t="shared" si="2"/>
        <v/>
      </c>
    </row>
    <row r="976">
      <c r="A976" s="17"/>
      <c r="B976" s="18"/>
      <c r="C976" s="18"/>
      <c r="D976" s="35"/>
      <c r="E976" s="18"/>
      <c r="F976" s="18"/>
      <c r="G976" s="18"/>
      <c r="H976" s="18"/>
      <c r="I976" s="18"/>
      <c r="J976" s="36"/>
      <c r="K976" s="37" t="str">
        <f t="shared" si="2"/>
        <v/>
      </c>
    </row>
    <row r="977">
      <c r="A977" s="17"/>
      <c r="B977" s="18"/>
      <c r="C977" s="18"/>
      <c r="D977" s="35"/>
      <c r="E977" s="18"/>
      <c r="F977" s="18"/>
      <c r="G977" s="18"/>
      <c r="H977" s="18"/>
      <c r="I977" s="18"/>
      <c r="J977" s="36"/>
      <c r="K977" s="37" t="str">
        <f t="shared" si="2"/>
        <v/>
      </c>
    </row>
    <row r="978">
      <c r="A978" s="17"/>
      <c r="B978" s="18"/>
      <c r="C978" s="18"/>
      <c r="D978" s="35"/>
      <c r="E978" s="18"/>
      <c r="F978" s="18"/>
      <c r="G978" s="18"/>
      <c r="H978" s="18"/>
      <c r="I978" s="18"/>
      <c r="J978" s="36"/>
      <c r="K978" s="37" t="str">
        <f t="shared" si="2"/>
        <v/>
      </c>
    </row>
    <row r="979">
      <c r="A979" s="17"/>
      <c r="B979" s="18"/>
      <c r="C979" s="18"/>
      <c r="D979" s="35"/>
      <c r="E979" s="18"/>
      <c r="F979" s="18"/>
      <c r="G979" s="18"/>
      <c r="H979" s="18"/>
      <c r="I979" s="18"/>
      <c r="J979" s="36"/>
      <c r="K979" s="37" t="str">
        <f t="shared" si="2"/>
        <v/>
      </c>
    </row>
    <row r="980">
      <c r="A980" s="17"/>
      <c r="B980" s="18"/>
      <c r="C980" s="18"/>
      <c r="D980" s="35"/>
      <c r="E980" s="18"/>
      <c r="F980" s="18"/>
      <c r="G980" s="18"/>
      <c r="H980" s="18"/>
      <c r="I980" s="18"/>
      <c r="J980" s="36"/>
      <c r="K980" s="37" t="str">
        <f t="shared" si="2"/>
        <v/>
      </c>
    </row>
    <row r="981">
      <c r="A981" s="17"/>
      <c r="B981" s="18"/>
      <c r="C981" s="18"/>
      <c r="D981" s="35"/>
      <c r="E981" s="18"/>
      <c r="F981" s="18"/>
      <c r="G981" s="18"/>
      <c r="H981" s="18"/>
      <c r="I981" s="18"/>
      <c r="J981" s="36"/>
      <c r="K981" s="37" t="str">
        <f t="shared" si="2"/>
        <v/>
      </c>
    </row>
    <row r="982">
      <c r="A982" s="17"/>
      <c r="B982" s="18"/>
      <c r="C982" s="18"/>
      <c r="D982" s="35"/>
      <c r="E982" s="18"/>
      <c r="F982" s="18"/>
      <c r="G982" s="18"/>
      <c r="H982" s="18"/>
      <c r="I982" s="18"/>
      <c r="J982" s="36"/>
      <c r="K982" s="37" t="str">
        <f t="shared" si="2"/>
        <v/>
      </c>
    </row>
    <row r="983">
      <c r="A983" s="17"/>
      <c r="B983" s="18"/>
      <c r="C983" s="18"/>
      <c r="D983" s="35"/>
      <c r="E983" s="18"/>
      <c r="F983" s="18"/>
      <c r="G983" s="18"/>
      <c r="H983" s="18"/>
      <c r="I983" s="18"/>
      <c r="J983" s="36"/>
      <c r="K983" s="37" t="str">
        <f t="shared" si="2"/>
        <v/>
      </c>
    </row>
    <row r="984">
      <c r="A984" s="17"/>
      <c r="B984" s="18"/>
      <c r="C984" s="18"/>
      <c r="D984" s="35"/>
      <c r="E984" s="18"/>
      <c r="F984" s="18"/>
      <c r="G984" s="18"/>
      <c r="H984" s="18"/>
      <c r="I984" s="18"/>
      <c r="J984" s="36"/>
      <c r="K984" s="37" t="str">
        <f t="shared" si="2"/>
        <v/>
      </c>
    </row>
    <row r="985">
      <c r="A985" s="17"/>
      <c r="B985" s="18"/>
      <c r="C985" s="18"/>
      <c r="D985" s="35"/>
      <c r="E985" s="18"/>
      <c r="F985" s="18"/>
      <c r="G985" s="18"/>
      <c r="H985" s="18"/>
      <c r="I985" s="18"/>
      <c r="J985" s="36"/>
      <c r="K985" s="37" t="str">
        <f t="shared" si="2"/>
        <v/>
      </c>
    </row>
    <row r="986">
      <c r="A986" s="17"/>
      <c r="B986" s="18"/>
      <c r="C986" s="18"/>
      <c r="D986" s="35"/>
      <c r="E986" s="18"/>
      <c r="F986" s="18"/>
      <c r="G986" s="18"/>
      <c r="H986" s="18"/>
      <c r="I986" s="18"/>
      <c r="J986" s="36"/>
      <c r="K986" s="37" t="str">
        <f t="shared" si="2"/>
        <v/>
      </c>
    </row>
    <row r="987">
      <c r="A987" s="17"/>
      <c r="B987" s="18"/>
      <c r="C987" s="18"/>
      <c r="D987" s="35"/>
      <c r="E987" s="18"/>
      <c r="F987" s="18"/>
      <c r="G987" s="18"/>
      <c r="H987" s="18"/>
      <c r="I987" s="18"/>
      <c r="J987" s="36"/>
      <c r="K987" s="37" t="str">
        <f t="shared" si="2"/>
        <v/>
      </c>
    </row>
    <row r="988">
      <c r="A988" s="17"/>
      <c r="B988" s="18"/>
      <c r="C988" s="18"/>
      <c r="D988" s="35"/>
      <c r="E988" s="18"/>
      <c r="F988" s="18"/>
      <c r="G988" s="18"/>
      <c r="H988" s="18"/>
      <c r="I988" s="18"/>
      <c r="J988" s="36"/>
      <c r="K988" s="37" t="str">
        <f t="shared" si="2"/>
        <v/>
      </c>
    </row>
    <row r="989">
      <c r="A989" s="17"/>
      <c r="B989" s="18"/>
      <c r="C989" s="18"/>
      <c r="D989" s="35"/>
      <c r="E989" s="18"/>
      <c r="F989" s="18"/>
      <c r="G989" s="18"/>
      <c r="H989" s="18"/>
      <c r="I989" s="18"/>
      <c r="J989" s="36"/>
      <c r="K989" s="37" t="str">
        <f t="shared" si="2"/>
        <v/>
      </c>
    </row>
    <row r="990">
      <c r="A990" s="17"/>
      <c r="B990" s="18"/>
      <c r="C990" s="18"/>
      <c r="D990" s="35"/>
      <c r="E990" s="18"/>
      <c r="F990" s="18"/>
      <c r="G990" s="18"/>
      <c r="H990" s="18"/>
      <c r="I990" s="18"/>
      <c r="J990" s="36"/>
      <c r="K990" s="37" t="str">
        <f t="shared" si="2"/>
        <v/>
      </c>
    </row>
    <row r="991">
      <c r="A991" s="17"/>
      <c r="B991" s="18"/>
      <c r="C991" s="18"/>
      <c r="D991" s="35"/>
      <c r="E991" s="18"/>
      <c r="F991" s="18"/>
      <c r="G991" s="18"/>
      <c r="H991" s="18"/>
      <c r="I991" s="18"/>
      <c r="J991" s="36"/>
      <c r="K991" s="37" t="str">
        <f t="shared" si="2"/>
        <v/>
      </c>
    </row>
    <row r="992">
      <c r="A992" s="17"/>
      <c r="B992" s="18"/>
      <c r="C992" s="18"/>
      <c r="D992" s="35"/>
      <c r="E992" s="18"/>
      <c r="F992" s="18"/>
      <c r="G992" s="18"/>
      <c r="H992" s="18"/>
      <c r="I992" s="18"/>
      <c r="J992" s="36"/>
      <c r="K992" s="37" t="str">
        <f t="shared" si="2"/>
        <v/>
      </c>
    </row>
    <row r="993">
      <c r="A993" s="17"/>
      <c r="B993" s="18"/>
      <c r="C993" s="18"/>
      <c r="D993" s="35"/>
      <c r="E993" s="18"/>
      <c r="F993" s="18"/>
      <c r="G993" s="18"/>
      <c r="H993" s="18"/>
      <c r="I993" s="18"/>
      <c r="J993" s="36"/>
      <c r="K993" s="37" t="str">
        <f t="shared" si="2"/>
        <v/>
      </c>
    </row>
    <row r="994">
      <c r="A994" s="17"/>
      <c r="B994" s="18"/>
      <c r="C994" s="18"/>
      <c r="D994" s="35"/>
      <c r="E994" s="18"/>
      <c r="F994" s="18"/>
      <c r="G994" s="18"/>
      <c r="H994" s="18"/>
      <c r="I994" s="18"/>
      <c r="J994" s="36"/>
      <c r="K994" s="37" t="str">
        <f t="shared" si="2"/>
        <v/>
      </c>
    </row>
    <row r="995">
      <c r="A995" s="17"/>
      <c r="B995" s="18"/>
      <c r="C995" s="18"/>
      <c r="D995" s="35"/>
      <c r="E995" s="18"/>
      <c r="F995" s="18"/>
      <c r="G995" s="18"/>
      <c r="H995" s="18"/>
      <c r="I995" s="18"/>
      <c r="J995" s="36"/>
      <c r="K995" s="37" t="str">
        <f t="shared" si="2"/>
        <v/>
      </c>
    </row>
    <row r="996">
      <c r="A996" s="17"/>
      <c r="B996" s="18"/>
      <c r="C996" s="18"/>
      <c r="D996" s="35"/>
      <c r="E996" s="18"/>
      <c r="F996" s="18"/>
      <c r="G996" s="18"/>
      <c r="H996" s="18"/>
      <c r="I996" s="18"/>
      <c r="J996" s="36"/>
      <c r="K996" s="37" t="str">
        <f t="shared" si="2"/>
        <v/>
      </c>
    </row>
    <row r="997">
      <c r="A997" s="17"/>
      <c r="B997" s="18"/>
      <c r="C997" s="18"/>
      <c r="D997" s="35"/>
      <c r="E997" s="18"/>
      <c r="F997" s="18"/>
      <c r="G997" s="18"/>
      <c r="H997" s="18"/>
      <c r="I997" s="18"/>
      <c r="J997" s="36"/>
      <c r="K997" s="37" t="str">
        <f t="shared" si="2"/>
        <v/>
      </c>
    </row>
    <row r="998">
      <c r="A998" s="17"/>
      <c r="B998" s="18"/>
      <c r="C998" s="18"/>
      <c r="D998" s="35"/>
      <c r="E998" s="18"/>
      <c r="F998" s="18"/>
      <c r="G998" s="18"/>
      <c r="H998" s="18"/>
      <c r="I998" s="18"/>
      <c r="J998" s="36"/>
      <c r="K998" s="37" t="str">
        <f t="shared" si="2"/>
        <v/>
      </c>
    </row>
    <row r="999">
      <c r="A999" s="17"/>
      <c r="B999" s="18"/>
      <c r="C999" s="18"/>
      <c r="D999" s="35"/>
      <c r="E999" s="18"/>
      <c r="F999" s="18"/>
      <c r="G999" s="18"/>
      <c r="H999" s="18"/>
      <c r="I999" s="18"/>
      <c r="J999" s="36"/>
      <c r="K999" s="37" t="str">
        <f t="shared" si="2"/>
        <v/>
      </c>
    </row>
    <row r="1000">
      <c r="A1000" s="17"/>
      <c r="B1000" s="18"/>
      <c r="C1000" s="18"/>
      <c r="D1000" s="35"/>
      <c r="E1000" s="18"/>
      <c r="F1000" s="18"/>
      <c r="G1000" s="18"/>
      <c r="H1000" s="18"/>
      <c r="I1000" s="18"/>
      <c r="J1000" s="36"/>
      <c r="K1000" s="37" t="str">
        <f t="shared" si="2"/>
        <v/>
      </c>
    </row>
  </sheetData>
  <drawing r:id="rId1"/>
</worksheet>
</file>