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001 DATA PERSONAL\Data Tambang\Laporan Produksi\Report_2023\CV_APP\cost production report APP\"/>
    </mc:Choice>
  </mc:AlternateContent>
  <xr:revisionPtr revIDLastSave="0" documentId="13_ncr:1_{995FC4A0-0048-42CE-859E-3D3EFFBD0867}" xr6:coauthVersionLast="47" xr6:coauthVersionMax="47" xr10:uidLastSave="{00000000-0000-0000-0000-000000000000}"/>
  <bookViews>
    <workbookView xWindow="-108" yWindow="-108" windowWidth="23256" windowHeight="12456" tabRatio="817" xr2:uid="{00000000-000D-0000-FFFF-FFFF00000000}"/>
  </bookViews>
  <sheets>
    <sheet name="SUMMARY" sheetId="16" r:id="rId1"/>
    <sheet name="SUMMARY 2" sheetId="11" state="hidden" r:id="rId2"/>
    <sheet name="SUMMARY MTD" sheetId="12" r:id="rId3"/>
    <sheet name="REPORT unit OB" sheetId="4" r:id="rId4"/>
    <sheet name="REPORT unit QUARRY" sheetId="13" r:id="rId5"/>
    <sheet name="REPORT unit DEVELOP" sheetId="14" r:id="rId6"/>
    <sheet name="REPORT unit ORE GETTING" sheetId="15" r:id="rId7"/>
    <sheet name="REPORT unit DT HAUL" sheetId="7" r:id="rId8"/>
    <sheet name="REPORT unit LV &amp; support" sheetId="6" r:id="rId9"/>
    <sheet name="HOUR METER" sheetId="1" state="hidden" r:id="rId10"/>
    <sheet name="FUEL UNIT" sheetId="2" state="hidden" r:id="rId11"/>
    <sheet name="list rate unit" sheetId="5" r:id="rId12"/>
  </sheets>
  <externalReferences>
    <externalReference r:id="rId13"/>
  </externalReferences>
  <definedNames>
    <definedName name="_xlnm._FilterDatabase" localSheetId="11" hidden="1">'list rate unit'!$O$2:$P$2</definedName>
    <definedName name="_xlnm._FilterDatabase" localSheetId="5" hidden="1">'REPORT unit DEVELOP'!$B$7:$O$9</definedName>
    <definedName name="_xlnm._FilterDatabase" localSheetId="7" hidden="1">'REPORT unit DT HAUL'!$B$7:$Q$77</definedName>
    <definedName name="_xlnm._FilterDatabase" localSheetId="3" hidden="1">'REPORT unit OB'!$B$7:$O$40</definedName>
    <definedName name="_xlnm._FilterDatabase" localSheetId="6" hidden="1">'REPORT unit ORE GETTING'!$B$7:$O$27</definedName>
    <definedName name="_xlnm._FilterDatabase" localSheetId="4" hidden="1">'REPORT unit QUARRY'!$B$7:$O$24</definedName>
    <definedName name="_xlnm.Print_Area" localSheetId="0">SUMMARY!$B$2:$L$37</definedName>
    <definedName name="_xlnm.Print_Area" localSheetId="1">'SUMMARY 2'!$B$2:$J$33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" i="16" l="1"/>
  <c r="F26" i="12"/>
  <c r="F24" i="12"/>
  <c r="F5" i="12"/>
  <c r="F3" i="12"/>
  <c r="E18" i="16"/>
  <c r="F10" i="12" s="1"/>
  <c r="F44" i="7"/>
  <c r="G44" i="7" s="1"/>
  <c r="J44" i="7"/>
  <c r="K44" i="7"/>
  <c r="L44" i="7"/>
  <c r="N44" i="7"/>
  <c r="Q44" i="7"/>
  <c r="F45" i="7"/>
  <c r="G45" i="7" s="1"/>
  <c r="J45" i="7"/>
  <c r="K45" i="7"/>
  <c r="L45" i="7"/>
  <c r="N45" i="7"/>
  <c r="Q45" i="7"/>
  <c r="F46" i="7"/>
  <c r="G46" i="7" s="1"/>
  <c r="J46" i="7"/>
  <c r="K46" i="7"/>
  <c r="L46" i="7"/>
  <c r="N46" i="7"/>
  <c r="Q46" i="7"/>
  <c r="F47" i="7"/>
  <c r="G47" i="7" s="1"/>
  <c r="J47" i="7"/>
  <c r="K47" i="7"/>
  <c r="L47" i="7"/>
  <c r="N47" i="7"/>
  <c r="Q47" i="7"/>
  <c r="F48" i="7"/>
  <c r="G48" i="7" s="1"/>
  <c r="J48" i="7"/>
  <c r="K48" i="7"/>
  <c r="L48" i="7"/>
  <c r="N48" i="7"/>
  <c r="Q48" i="7"/>
  <c r="F49" i="7"/>
  <c r="G49" i="7" s="1"/>
  <c r="J49" i="7"/>
  <c r="K49" i="7"/>
  <c r="L49" i="7"/>
  <c r="N49" i="7"/>
  <c r="Q49" i="7"/>
  <c r="F50" i="7"/>
  <c r="G50" i="7"/>
  <c r="J50" i="7"/>
  <c r="K50" i="7"/>
  <c r="L50" i="7"/>
  <c r="N50" i="7"/>
  <c r="Q50" i="7"/>
  <c r="F51" i="7"/>
  <c r="G51" i="7" s="1"/>
  <c r="J51" i="7"/>
  <c r="K51" i="7"/>
  <c r="L51" i="7"/>
  <c r="N51" i="7"/>
  <c r="Q51" i="7"/>
  <c r="F52" i="7"/>
  <c r="G52" i="7" s="1"/>
  <c r="J52" i="7"/>
  <c r="K52" i="7"/>
  <c r="L52" i="7"/>
  <c r="N52" i="7"/>
  <c r="Q52" i="7"/>
  <c r="F53" i="7"/>
  <c r="G53" i="7" s="1"/>
  <c r="J53" i="7"/>
  <c r="K53" i="7"/>
  <c r="L53" i="7"/>
  <c r="N53" i="7"/>
  <c r="Q53" i="7"/>
  <c r="F54" i="7"/>
  <c r="G54" i="7" s="1"/>
  <c r="J54" i="7"/>
  <c r="K54" i="7"/>
  <c r="L54" i="7"/>
  <c r="N54" i="7"/>
  <c r="Q54" i="7"/>
  <c r="F55" i="7"/>
  <c r="G55" i="7" s="1"/>
  <c r="J55" i="7"/>
  <c r="K55" i="7"/>
  <c r="L55" i="7"/>
  <c r="N55" i="7"/>
  <c r="Q55" i="7"/>
  <c r="F56" i="7"/>
  <c r="G56" i="7" s="1"/>
  <c r="J56" i="7"/>
  <c r="K56" i="7"/>
  <c r="L56" i="7"/>
  <c r="N56" i="7"/>
  <c r="Q56" i="7"/>
  <c r="F57" i="7"/>
  <c r="G57" i="7" s="1"/>
  <c r="J57" i="7"/>
  <c r="K57" i="7"/>
  <c r="L57" i="7"/>
  <c r="N57" i="7"/>
  <c r="Q57" i="7"/>
  <c r="F58" i="7"/>
  <c r="G58" i="7" s="1"/>
  <c r="J58" i="7"/>
  <c r="K58" i="7"/>
  <c r="L58" i="7"/>
  <c r="N58" i="7"/>
  <c r="Q58" i="7"/>
  <c r="F59" i="7"/>
  <c r="G59" i="7"/>
  <c r="J59" i="7"/>
  <c r="K59" i="7"/>
  <c r="L59" i="7"/>
  <c r="N59" i="7"/>
  <c r="Q59" i="7"/>
  <c r="F60" i="7"/>
  <c r="G60" i="7" s="1"/>
  <c r="J60" i="7"/>
  <c r="K60" i="7"/>
  <c r="L60" i="7"/>
  <c r="N60" i="7"/>
  <c r="Q60" i="7"/>
  <c r="F61" i="7"/>
  <c r="G61" i="7" s="1"/>
  <c r="J61" i="7"/>
  <c r="K61" i="7"/>
  <c r="L61" i="7"/>
  <c r="N61" i="7"/>
  <c r="Q61" i="7"/>
  <c r="F62" i="7"/>
  <c r="G62" i="7"/>
  <c r="J62" i="7"/>
  <c r="K62" i="7"/>
  <c r="L62" i="7"/>
  <c r="N62" i="7"/>
  <c r="Q62" i="7"/>
  <c r="F63" i="7"/>
  <c r="G63" i="7" s="1"/>
  <c r="J63" i="7"/>
  <c r="K63" i="7"/>
  <c r="L63" i="7"/>
  <c r="N63" i="7"/>
  <c r="Q63" i="7"/>
  <c r="F64" i="7"/>
  <c r="G64" i="7" s="1"/>
  <c r="J64" i="7"/>
  <c r="K64" i="7"/>
  <c r="L64" i="7"/>
  <c r="N64" i="7"/>
  <c r="Q64" i="7"/>
  <c r="D23" i="12" l="1"/>
  <c r="C23" i="12" l="1"/>
  <c r="F18" i="16" l="1"/>
  <c r="F12" i="16"/>
  <c r="F9" i="12" s="1"/>
  <c r="O9" i="12" s="1"/>
  <c r="J10" i="16"/>
  <c r="F25" i="12" s="1"/>
  <c r="F10" i="16"/>
  <c r="F7" i="12" s="1"/>
  <c r="O7" i="12" s="1"/>
  <c r="D22" i="12"/>
  <c r="D20" i="12"/>
  <c r="D19" i="12"/>
  <c r="D21" i="12" s="1"/>
  <c r="L35" i="6"/>
  <c r="K35" i="6" s="1"/>
  <c r="D35" i="6" s="1"/>
  <c r="I25" i="15"/>
  <c r="N25" i="15"/>
  <c r="M25" i="15" s="1"/>
  <c r="E25" i="15" s="1"/>
  <c r="F25" i="15" s="1"/>
  <c r="I26" i="15"/>
  <c r="N26" i="15"/>
  <c r="M26" i="15" s="1"/>
  <c r="E26" i="15" s="1"/>
  <c r="F26" i="15" s="1"/>
  <c r="E10" i="13"/>
  <c r="F10" i="13" s="1"/>
  <c r="I10" i="13"/>
  <c r="N10" i="13"/>
  <c r="E11" i="13"/>
  <c r="F11" i="13" s="1"/>
  <c r="I11" i="13"/>
  <c r="N11" i="13"/>
  <c r="E12" i="13"/>
  <c r="F12" i="13" s="1"/>
  <c r="I12" i="13"/>
  <c r="N12" i="13"/>
  <c r="E13" i="13"/>
  <c r="F13" i="13" s="1"/>
  <c r="I13" i="13"/>
  <c r="N13" i="13"/>
  <c r="E14" i="13"/>
  <c r="F14" i="13" s="1"/>
  <c r="I14" i="13"/>
  <c r="N14" i="13"/>
  <c r="E15" i="13"/>
  <c r="F15" i="13" s="1"/>
  <c r="I15" i="13"/>
  <c r="N15" i="13"/>
  <c r="E16" i="13"/>
  <c r="F16" i="13" s="1"/>
  <c r="I16" i="13"/>
  <c r="N16" i="13"/>
  <c r="E17" i="13"/>
  <c r="F17" i="13" s="1"/>
  <c r="I17" i="13"/>
  <c r="N17" i="13"/>
  <c r="E18" i="13"/>
  <c r="F18" i="13" s="1"/>
  <c r="I18" i="13"/>
  <c r="N18" i="13"/>
  <c r="E19" i="13"/>
  <c r="F19" i="13" s="1"/>
  <c r="I19" i="13"/>
  <c r="N19" i="13"/>
  <c r="E20" i="13"/>
  <c r="F20" i="13" s="1"/>
  <c r="I20" i="13"/>
  <c r="N20" i="13"/>
  <c r="E21" i="13"/>
  <c r="F21" i="13" s="1"/>
  <c r="I21" i="13"/>
  <c r="N21" i="13"/>
  <c r="E22" i="13"/>
  <c r="F22" i="13" s="1"/>
  <c r="I22" i="13"/>
  <c r="N22" i="13"/>
  <c r="E23" i="13"/>
  <c r="F23" i="13" s="1"/>
  <c r="I23" i="13"/>
  <c r="N23" i="13"/>
  <c r="I28" i="4"/>
  <c r="N28" i="4"/>
  <c r="M28" i="4" s="1"/>
  <c r="E28" i="4" s="1"/>
  <c r="F28" i="4" s="1"/>
  <c r="I29" i="4"/>
  <c r="N29" i="4"/>
  <c r="M29" i="4" s="1"/>
  <c r="E29" i="4" s="1"/>
  <c r="F29" i="4" s="1"/>
  <c r="I30" i="4"/>
  <c r="N30" i="4"/>
  <c r="M30" i="4" s="1"/>
  <c r="E30" i="4" s="1"/>
  <c r="F30" i="4" s="1"/>
  <c r="I31" i="4"/>
  <c r="N31" i="4"/>
  <c r="M31" i="4" s="1"/>
  <c r="E31" i="4" s="1"/>
  <c r="F31" i="4" s="1"/>
  <c r="I32" i="4"/>
  <c r="N32" i="4"/>
  <c r="M32" i="4" s="1"/>
  <c r="E32" i="4" s="1"/>
  <c r="F32" i="4" s="1"/>
  <c r="I33" i="4"/>
  <c r="N33" i="4"/>
  <c r="M33" i="4" s="1"/>
  <c r="E33" i="4" s="1"/>
  <c r="F33" i="4" s="1"/>
  <c r="I34" i="4"/>
  <c r="N34" i="4"/>
  <c r="M34" i="4" s="1"/>
  <c r="E34" i="4" s="1"/>
  <c r="F34" i="4" s="1"/>
  <c r="I35" i="4"/>
  <c r="N35" i="4"/>
  <c r="M35" i="4" s="1"/>
  <c r="E35" i="4" s="1"/>
  <c r="F35" i="4" s="1"/>
  <c r="I36" i="4"/>
  <c r="N36" i="4"/>
  <c r="M36" i="4" s="1"/>
  <c r="E36" i="4" s="1"/>
  <c r="F36" i="4" s="1"/>
  <c r="I37" i="4"/>
  <c r="N37" i="4"/>
  <c r="M37" i="4" s="1"/>
  <c r="E37" i="4" s="1"/>
  <c r="F37" i="4" s="1"/>
  <c r="I38" i="4"/>
  <c r="N38" i="4"/>
  <c r="M38" i="4" s="1"/>
  <c r="E38" i="4" s="1"/>
  <c r="F38" i="4" s="1"/>
  <c r="N9" i="7" l="1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65" i="7"/>
  <c r="N66" i="7"/>
  <c r="N67" i="7"/>
  <c r="N68" i="7"/>
  <c r="N69" i="7"/>
  <c r="N70" i="7"/>
  <c r="N71" i="7"/>
  <c r="N72" i="7"/>
  <c r="N73" i="7"/>
  <c r="N74" i="7"/>
  <c r="N75" i="7"/>
  <c r="N76" i="7"/>
  <c r="N77" i="7"/>
  <c r="N8" i="7"/>
  <c r="K27" i="5"/>
  <c r="N79" i="7" l="1"/>
  <c r="N8" i="14"/>
  <c r="M8" i="14" s="1"/>
  <c r="E8" i="14" s="1"/>
  <c r="F8" i="14" s="1"/>
  <c r="I8" i="14"/>
  <c r="E15" i="11"/>
  <c r="L15" i="6"/>
  <c r="K15" i="6" s="1"/>
  <c r="D15" i="6" s="1"/>
  <c r="L16" i="6"/>
  <c r="K16" i="6" s="1"/>
  <c r="D16" i="6" s="1"/>
  <c r="L17" i="6"/>
  <c r="K17" i="6" s="1"/>
  <c r="D17" i="6" s="1"/>
  <c r="L18" i="6"/>
  <c r="K18" i="6" s="1"/>
  <c r="D18" i="6" s="1"/>
  <c r="L19" i="6"/>
  <c r="K19" i="6" s="1"/>
  <c r="D19" i="6" s="1"/>
  <c r="L20" i="6"/>
  <c r="K20" i="6" s="1"/>
  <c r="D20" i="6" s="1"/>
  <c r="L21" i="6"/>
  <c r="K21" i="6" s="1"/>
  <c r="D21" i="6" s="1"/>
  <c r="L22" i="6"/>
  <c r="K22" i="6" s="1"/>
  <c r="D22" i="6" s="1"/>
  <c r="L23" i="6"/>
  <c r="K23" i="6" s="1"/>
  <c r="D23" i="6" s="1"/>
  <c r="L24" i="6"/>
  <c r="K24" i="6" s="1"/>
  <c r="D24" i="6" s="1"/>
  <c r="L25" i="6"/>
  <c r="K25" i="6" s="1"/>
  <c r="D25" i="6" s="1"/>
  <c r="L26" i="6"/>
  <c r="K26" i="6" s="1"/>
  <c r="D26" i="6" s="1"/>
  <c r="L27" i="6"/>
  <c r="K27" i="6" s="1"/>
  <c r="D27" i="6" s="1"/>
  <c r="L28" i="6"/>
  <c r="K28" i="6" s="1"/>
  <c r="D28" i="6" s="1"/>
  <c r="L29" i="6"/>
  <c r="K29" i="6" s="1"/>
  <c r="D29" i="6" s="1"/>
  <c r="L30" i="6"/>
  <c r="K30" i="6" s="1"/>
  <c r="D30" i="6" s="1"/>
  <c r="L31" i="6"/>
  <c r="K31" i="6" s="1"/>
  <c r="D31" i="6" s="1"/>
  <c r="E37" i="6"/>
  <c r="D40" i="4" l="1"/>
  <c r="C20" i="12" l="1"/>
  <c r="G37" i="6"/>
  <c r="F68" i="7" l="1"/>
  <c r="G68" i="7" s="1"/>
  <c r="J68" i="7"/>
  <c r="K68" i="7"/>
  <c r="L68" i="7"/>
  <c r="Q68" i="7"/>
  <c r="F69" i="7"/>
  <c r="G69" i="7" s="1"/>
  <c r="J69" i="7"/>
  <c r="K69" i="7"/>
  <c r="L69" i="7"/>
  <c r="Q69" i="7"/>
  <c r="F70" i="7"/>
  <c r="G70" i="7" s="1"/>
  <c r="J70" i="7"/>
  <c r="K70" i="7"/>
  <c r="L70" i="7"/>
  <c r="Q70" i="7"/>
  <c r="F71" i="7"/>
  <c r="G71" i="7" s="1"/>
  <c r="J71" i="7"/>
  <c r="K71" i="7"/>
  <c r="L71" i="7"/>
  <c r="Q71" i="7"/>
  <c r="F72" i="7"/>
  <c r="G72" i="7" s="1"/>
  <c r="J72" i="7"/>
  <c r="K72" i="7"/>
  <c r="L72" i="7"/>
  <c r="Q72" i="7"/>
  <c r="F73" i="7"/>
  <c r="G73" i="7" s="1"/>
  <c r="J73" i="7"/>
  <c r="K73" i="7"/>
  <c r="L73" i="7"/>
  <c r="Q73" i="7"/>
  <c r="F74" i="7"/>
  <c r="G74" i="7" s="1"/>
  <c r="J74" i="7"/>
  <c r="K74" i="7"/>
  <c r="L74" i="7"/>
  <c r="Q74" i="7"/>
  <c r="F75" i="7"/>
  <c r="G75" i="7" s="1"/>
  <c r="J75" i="7"/>
  <c r="K75" i="7"/>
  <c r="L75" i="7"/>
  <c r="Q75" i="7"/>
  <c r="C32" i="15"/>
  <c r="C31" i="15"/>
  <c r="G29" i="15"/>
  <c r="D29" i="15"/>
  <c r="N27" i="15"/>
  <c r="M27" i="15" s="1"/>
  <c r="E27" i="15" s="1"/>
  <c r="F27" i="15" s="1"/>
  <c r="I27" i="15"/>
  <c r="N24" i="15"/>
  <c r="M24" i="15" s="1"/>
  <c r="E24" i="15" s="1"/>
  <c r="F24" i="15" s="1"/>
  <c r="I24" i="15"/>
  <c r="N23" i="15"/>
  <c r="M23" i="15" s="1"/>
  <c r="E23" i="15" s="1"/>
  <c r="F23" i="15" s="1"/>
  <c r="I23" i="15"/>
  <c r="N22" i="15"/>
  <c r="M22" i="15" s="1"/>
  <c r="E22" i="15" s="1"/>
  <c r="F22" i="15" s="1"/>
  <c r="I22" i="15"/>
  <c r="N21" i="15"/>
  <c r="M21" i="15" s="1"/>
  <c r="E21" i="15" s="1"/>
  <c r="F21" i="15" s="1"/>
  <c r="I21" i="15"/>
  <c r="N20" i="15"/>
  <c r="M20" i="15" s="1"/>
  <c r="E20" i="15" s="1"/>
  <c r="F20" i="15" s="1"/>
  <c r="I20" i="15"/>
  <c r="N19" i="15"/>
  <c r="M19" i="15" s="1"/>
  <c r="E19" i="15" s="1"/>
  <c r="F19" i="15" s="1"/>
  <c r="I19" i="15"/>
  <c r="H19" i="15"/>
  <c r="N18" i="15"/>
  <c r="M18" i="15" s="1"/>
  <c r="E18" i="15" s="1"/>
  <c r="F18" i="15" s="1"/>
  <c r="I18" i="15"/>
  <c r="N17" i="15"/>
  <c r="M17" i="15" s="1"/>
  <c r="E17" i="15" s="1"/>
  <c r="F17" i="15" s="1"/>
  <c r="I17" i="15"/>
  <c r="N16" i="15"/>
  <c r="M16" i="15" s="1"/>
  <c r="E16" i="15" s="1"/>
  <c r="F16" i="15" s="1"/>
  <c r="I16" i="15"/>
  <c r="N15" i="15"/>
  <c r="M15" i="15" s="1"/>
  <c r="E15" i="15" s="1"/>
  <c r="F15" i="15" s="1"/>
  <c r="I15" i="15"/>
  <c r="N14" i="15"/>
  <c r="M14" i="15" s="1"/>
  <c r="E14" i="15" s="1"/>
  <c r="F14" i="15" s="1"/>
  <c r="I14" i="15"/>
  <c r="N13" i="15"/>
  <c r="M13" i="15" s="1"/>
  <c r="E13" i="15" s="1"/>
  <c r="F13" i="15" s="1"/>
  <c r="I13" i="15"/>
  <c r="N12" i="15"/>
  <c r="M12" i="15" s="1"/>
  <c r="E12" i="15" s="1"/>
  <c r="F12" i="15" s="1"/>
  <c r="I12" i="15"/>
  <c r="N11" i="15"/>
  <c r="M11" i="15" s="1"/>
  <c r="E11" i="15" s="1"/>
  <c r="F11" i="15" s="1"/>
  <c r="I11" i="15"/>
  <c r="N10" i="15"/>
  <c r="M10" i="15" s="1"/>
  <c r="E10" i="15" s="1"/>
  <c r="F10" i="15" s="1"/>
  <c r="I10" i="15"/>
  <c r="N9" i="15"/>
  <c r="M9" i="15" s="1"/>
  <c r="E9" i="15" s="1"/>
  <c r="F9" i="15" s="1"/>
  <c r="I9" i="15"/>
  <c r="N8" i="15"/>
  <c r="M8" i="15" s="1"/>
  <c r="E8" i="15" s="1"/>
  <c r="F8" i="15" s="1"/>
  <c r="I8" i="15"/>
  <c r="C14" i="14"/>
  <c r="H8" i="14" s="1"/>
  <c r="J8" i="14" s="1"/>
  <c r="C13" i="14"/>
  <c r="G11" i="14"/>
  <c r="D11" i="14"/>
  <c r="N9" i="14"/>
  <c r="M9" i="14" s="1"/>
  <c r="E9" i="14" s="1"/>
  <c r="I9" i="14"/>
  <c r="G26" i="13"/>
  <c r="D26" i="13"/>
  <c r="N24" i="13"/>
  <c r="I24" i="13"/>
  <c r="E24" i="13"/>
  <c r="F24" i="13" s="1"/>
  <c r="N9" i="13"/>
  <c r="I9" i="13"/>
  <c r="E9" i="13"/>
  <c r="F9" i="13" s="1"/>
  <c r="N8" i="13"/>
  <c r="I8" i="13"/>
  <c r="E8" i="13"/>
  <c r="F8" i="13" s="1"/>
  <c r="H24" i="15" l="1"/>
  <c r="H25" i="15"/>
  <c r="J25" i="15" s="1"/>
  <c r="H26" i="15"/>
  <c r="J26" i="15" s="1"/>
  <c r="H23" i="15"/>
  <c r="E11" i="14"/>
  <c r="E26" i="13"/>
  <c r="H8" i="15"/>
  <c r="J8" i="15" s="1"/>
  <c r="H12" i="15"/>
  <c r="J12" i="15" s="1"/>
  <c r="H16" i="15"/>
  <c r="J16" i="15" s="1"/>
  <c r="H20" i="15"/>
  <c r="J20" i="15" s="1"/>
  <c r="H10" i="15"/>
  <c r="J10" i="15" s="1"/>
  <c r="H14" i="15"/>
  <c r="J14" i="15" s="1"/>
  <c r="H13" i="15"/>
  <c r="J13" i="15" s="1"/>
  <c r="H18" i="15"/>
  <c r="J18" i="15" s="1"/>
  <c r="H9" i="15"/>
  <c r="J9" i="15" s="1"/>
  <c r="H17" i="15"/>
  <c r="J17" i="15" s="1"/>
  <c r="H27" i="15"/>
  <c r="J27" i="15" s="1"/>
  <c r="H22" i="15"/>
  <c r="J22" i="15" s="1"/>
  <c r="H21" i="15"/>
  <c r="J21" i="15" s="1"/>
  <c r="H11" i="15"/>
  <c r="J11" i="15" s="1"/>
  <c r="H15" i="15"/>
  <c r="J15" i="15" s="1"/>
  <c r="F9" i="14"/>
  <c r="F11" i="14" s="1"/>
  <c r="H9" i="14"/>
  <c r="J24" i="15"/>
  <c r="J19" i="15"/>
  <c r="J23" i="15"/>
  <c r="I29" i="15"/>
  <c r="F29" i="15"/>
  <c r="E29" i="15"/>
  <c r="I11" i="14"/>
  <c r="F26" i="13"/>
  <c r="I26" i="13"/>
  <c r="J9" i="14" l="1"/>
  <c r="J11" i="14" s="1"/>
  <c r="H11" i="14"/>
  <c r="H29" i="15"/>
  <c r="J29" i="15"/>
  <c r="E20" i="11" l="1"/>
  <c r="D24" i="16"/>
  <c r="F13" i="12" s="1"/>
  <c r="E21" i="11"/>
  <c r="D25" i="16"/>
  <c r="F14" i="12" s="1"/>
  <c r="L11" i="6"/>
  <c r="K11" i="6" s="1"/>
  <c r="D11" i="6" s="1"/>
  <c r="L12" i="6"/>
  <c r="K12" i="6" s="1"/>
  <c r="D12" i="6" s="1"/>
  <c r="L13" i="6"/>
  <c r="K13" i="6" s="1"/>
  <c r="D13" i="6" s="1"/>
  <c r="L14" i="6"/>
  <c r="K14" i="6" s="1"/>
  <c r="D14" i="6" s="1"/>
  <c r="L32" i="6"/>
  <c r="L33" i="6"/>
  <c r="L34" i="6"/>
  <c r="C29" i="13"/>
  <c r="C28" i="13"/>
  <c r="H15" i="13" l="1"/>
  <c r="J15" i="13" s="1"/>
  <c r="H12" i="13"/>
  <c r="J12" i="13" s="1"/>
  <c r="H16" i="13"/>
  <c r="J16" i="13" s="1"/>
  <c r="H20" i="13"/>
  <c r="J20" i="13" s="1"/>
  <c r="H23" i="13"/>
  <c r="J23" i="13" s="1"/>
  <c r="H13" i="13"/>
  <c r="J13" i="13" s="1"/>
  <c r="H17" i="13"/>
  <c r="J17" i="13" s="1"/>
  <c r="H21" i="13"/>
  <c r="J21" i="13" s="1"/>
  <c r="H19" i="13"/>
  <c r="J19" i="13" s="1"/>
  <c r="H11" i="13"/>
  <c r="J11" i="13" s="1"/>
  <c r="H10" i="13"/>
  <c r="J10" i="13" s="1"/>
  <c r="H14" i="13"/>
  <c r="J14" i="13" s="1"/>
  <c r="H18" i="13"/>
  <c r="J18" i="13" s="1"/>
  <c r="H22" i="13"/>
  <c r="J22" i="13" s="1"/>
  <c r="K34" i="6"/>
  <c r="D34" i="6" s="1"/>
  <c r="K33" i="6"/>
  <c r="D33" i="6" s="1"/>
  <c r="K32" i="6"/>
  <c r="D32" i="6" s="1"/>
  <c r="H9" i="13"/>
  <c r="J9" i="13" s="1"/>
  <c r="H8" i="13"/>
  <c r="H24" i="13"/>
  <c r="J24" i="13" s="1"/>
  <c r="I18" i="4"/>
  <c r="N18" i="4"/>
  <c r="M18" i="4" s="1"/>
  <c r="E18" i="4" s="1"/>
  <c r="F18" i="4" s="1"/>
  <c r="I19" i="4"/>
  <c r="N19" i="4"/>
  <c r="M19" i="4" s="1"/>
  <c r="E19" i="4" s="1"/>
  <c r="F19" i="4" s="1"/>
  <c r="H26" i="13" l="1"/>
  <c r="J8" i="13"/>
  <c r="J26" i="13" s="1"/>
  <c r="N27" i="4"/>
  <c r="M27" i="4" s="1"/>
  <c r="E27" i="4" s="1"/>
  <c r="F27" i="4" s="1"/>
  <c r="I27" i="4"/>
  <c r="N26" i="4"/>
  <c r="M26" i="4" s="1"/>
  <c r="E26" i="4" s="1"/>
  <c r="F26" i="4" s="1"/>
  <c r="I26" i="4"/>
  <c r="N25" i="4"/>
  <c r="M25" i="4" s="1"/>
  <c r="E25" i="4" s="1"/>
  <c r="F25" i="4" s="1"/>
  <c r="I25" i="4"/>
  <c r="N24" i="4"/>
  <c r="M24" i="4" s="1"/>
  <c r="E24" i="4" s="1"/>
  <c r="F24" i="4" s="1"/>
  <c r="I24" i="4"/>
  <c r="N23" i="4"/>
  <c r="M23" i="4" s="1"/>
  <c r="E23" i="4" s="1"/>
  <c r="F23" i="4" s="1"/>
  <c r="I23" i="4"/>
  <c r="N22" i="4"/>
  <c r="M22" i="4" s="1"/>
  <c r="E22" i="4" s="1"/>
  <c r="F22" i="4" s="1"/>
  <c r="I22" i="4"/>
  <c r="N21" i="4"/>
  <c r="M21" i="4" s="1"/>
  <c r="E21" i="4" s="1"/>
  <c r="F21" i="4" s="1"/>
  <c r="I21" i="4"/>
  <c r="N20" i="4"/>
  <c r="M20" i="4" s="1"/>
  <c r="E20" i="4" s="1"/>
  <c r="F20" i="4" s="1"/>
  <c r="I20" i="4"/>
  <c r="N17" i="4"/>
  <c r="M17" i="4" s="1"/>
  <c r="E17" i="4" s="1"/>
  <c r="F17" i="4" s="1"/>
  <c r="I17" i="4"/>
  <c r="N16" i="4"/>
  <c r="M16" i="4" s="1"/>
  <c r="E16" i="4" s="1"/>
  <c r="F16" i="4" s="1"/>
  <c r="I16" i="4"/>
  <c r="N15" i="4"/>
  <c r="M15" i="4" s="1"/>
  <c r="E15" i="4" s="1"/>
  <c r="F15" i="4" s="1"/>
  <c r="I15" i="4"/>
  <c r="N14" i="4"/>
  <c r="M14" i="4" s="1"/>
  <c r="E14" i="4" s="1"/>
  <c r="F14" i="4" s="1"/>
  <c r="I14" i="4"/>
  <c r="N13" i="4"/>
  <c r="M13" i="4" s="1"/>
  <c r="E13" i="4" s="1"/>
  <c r="F13" i="4" s="1"/>
  <c r="I13" i="4"/>
  <c r="N12" i="4"/>
  <c r="M12" i="4" s="1"/>
  <c r="E12" i="4" s="1"/>
  <c r="F12" i="4" s="1"/>
  <c r="I12" i="4"/>
  <c r="N11" i="4"/>
  <c r="M11" i="4" s="1"/>
  <c r="E11" i="4" s="1"/>
  <c r="F11" i="4" s="1"/>
  <c r="I11" i="4"/>
  <c r="N10" i="4"/>
  <c r="M10" i="4" s="1"/>
  <c r="E10" i="4" s="1"/>
  <c r="F10" i="4" s="1"/>
  <c r="I10" i="4"/>
  <c r="N9" i="4"/>
  <c r="M9" i="4" s="1"/>
  <c r="E9" i="4" s="1"/>
  <c r="F9" i="4" s="1"/>
  <c r="I9" i="4"/>
  <c r="E19" i="11" l="1"/>
  <c r="D23" i="16"/>
  <c r="F12" i="12" s="1"/>
  <c r="F9" i="7"/>
  <c r="G9" i="7" s="1"/>
  <c r="F10" i="7"/>
  <c r="G10" i="7" s="1"/>
  <c r="F11" i="7"/>
  <c r="G11" i="7" s="1"/>
  <c r="F12" i="7"/>
  <c r="G12" i="7" s="1"/>
  <c r="F13" i="7"/>
  <c r="G13" i="7" s="1"/>
  <c r="F14" i="7"/>
  <c r="G14" i="7" s="1"/>
  <c r="F15" i="7"/>
  <c r="G15" i="7" s="1"/>
  <c r="F16" i="7"/>
  <c r="G16" i="7" s="1"/>
  <c r="F17" i="7"/>
  <c r="G17" i="7" s="1"/>
  <c r="F18" i="7"/>
  <c r="G18" i="7" s="1"/>
  <c r="F19" i="7"/>
  <c r="G19" i="7" s="1"/>
  <c r="F20" i="7"/>
  <c r="G20" i="7" s="1"/>
  <c r="F21" i="7"/>
  <c r="G21" i="7" s="1"/>
  <c r="F22" i="7"/>
  <c r="G22" i="7" s="1"/>
  <c r="F23" i="7"/>
  <c r="G23" i="7" s="1"/>
  <c r="F24" i="7"/>
  <c r="G24" i="7" s="1"/>
  <c r="F25" i="7"/>
  <c r="G25" i="7" s="1"/>
  <c r="F26" i="7"/>
  <c r="G26" i="7" s="1"/>
  <c r="F27" i="7"/>
  <c r="G27" i="7" s="1"/>
  <c r="F28" i="7"/>
  <c r="G28" i="7" s="1"/>
  <c r="F29" i="7"/>
  <c r="G29" i="7" s="1"/>
  <c r="F30" i="7"/>
  <c r="G30" i="7" s="1"/>
  <c r="F31" i="7"/>
  <c r="G31" i="7" s="1"/>
  <c r="F32" i="7"/>
  <c r="G32" i="7" s="1"/>
  <c r="F33" i="7"/>
  <c r="G33" i="7" s="1"/>
  <c r="F34" i="7"/>
  <c r="G34" i="7" s="1"/>
  <c r="F35" i="7"/>
  <c r="G35" i="7" s="1"/>
  <c r="F36" i="7"/>
  <c r="G36" i="7" s="1"/>
  <c r="F37" i="7"/>
  <c r="G37" i="7" s="1"/>
  <c r="F38" i="7"/>
  <c r="G38" i="7" s="1"/>
  <c r="F39" i="7"/>
  <c r="G39" i="7" s="1"/>
  <c r="F40" i="7"/>
  <c r="G40" i="7" s="1"/>
  <c r="F41" i="7"/>
  <c r="G41" i="7" s="1"/>
  <c r="F42" i="7"/>
  <c r="G42" i="7" s="1"/>
  <c r="F43" i="7"/>
  <c r="G43" i="7" s="1"/>
  <c r="F65" i="7"/>
  <c r="G65" i="7" s="1"/>
  <c r="F66" i="7"/>
  <c r="G66" i="7" s="1"/>
  <c r="F67" i="7"/>
  <c r="G67" i="7" s="1"/>
  <c r="F76" i="7"/>
  <c r="G76" i="7" s="1"/>
  <c r="F77" i="7"/>
  <c r="G77" i="7" s="1"/>
  <c r="F8" i="7" l="1"/>
  <c r="G8" i="7" s="1"/>
  <c r="J8" i="7"/>
  <c r="K8" i="7"/>
  <c r="L8" i="7"/>
  <c r="Q8" i="7"/>
  <c r="J9" i="7"/>
  <c r="K9" i="7"/>
  <c r="L9" i="7"/>
  <c r="Q9" i="7"/>
  <c r="J10" i="7"/>
  <c r="K10" i="7"/>
  <c r="L10" i="7"/>
  <c r="Q10" i="7"/>
  <c r="J11" i="7"/>
  <c r="K11" i="7"/>
  <c r="L11" i="7"/>
  <c r="Q11" i="7"/>
  <c r="J12" i="7"/>
  <c r="K12" i="7"/>
  <c r="L12" i="7"/>
  <c r="Q12" i="7"/>
  <c r="J13" i="7"/>
  <c r="K13" i="7"/>
  <c r="L13" i="7"/>
  <c r="Q13" i="7"/>
  <c r="J14" i="7"/>
  <c r="K14" i="7"/>
  <c r="L14" i="7"/>
  <c r="Q14" i="7"/>
  <c r="J15" i="7"/>
  <c r="K15" i="7"/>
  <c r="L15" i="7"/>
  <c r="Q15" i="7"/>
  <c r="J16" i="7"/>
  <c r="K16" i="7"/>
  <c r="L16" i="7"/>
  <c r="Q16" i="7"/>
  <c r="J17" i="7"/>
  <c r="K17" i="7"/>
  <c r="L17" i="7"/>
  <c r="Q17" i="7"/>
  <c r="J18" i="7"/>
  <c r="K18" i="7"/>
  <c r="L18" i="7"/>
  <c r="Q18" i="7"/>
  <c r="J19" i="7"/>
  <c r="K19" i="7"/>
  <c r="L19" i="7"/>
  <c r="Q19" i="7"/>
  <c r="J20" i="7"/>
  <c r="K20" i="7"/>
  <c r="L20" i="7"/>
  <c r="Q20" i="7"/>
  <c r="J21" i="7"/>
  <c r="K21" i="7"/>
  <c r="L21" i="7"/>
  <c r="Q21" i="7"/>
  <c r="J22" i="7"/>
  <c r="K22" i="7"/>
  <c r="L22" i="7"/>
  <c r="Q22" i="7"/>
  <c r="J23" i="7"/>
  <c r="K23" i="7"/>
  <c r="L23" i="7"/>
  <c r="Q23" i="7"/>
  <c r="J24" i="7"/>
  <c r="K24" i="7"/>
  <c r="L24" i="7"/>
  <c r="Q24" i="7"/>
  <c r="J25" i="7"/>
  <c r="K25" i="7"/>
  <c r="L25" i="7"/>
  <c r="Q25" i="7"/>
  <c r="J26" i="7"/>
  <c r="K26" i="7"/>
  <c r="L26" i="7"/>
  <c r="Q26" i="7"/>
  <c r="J27" i="7"/>
  <c r="K27" i="7"/>
  <c r="L27" i="7"/>
  <c r="Q27" i="7"/>
  <c r="J28" i="7"/>
  <c r="K28" i="7"/>
  <c r="L28" i="7"/>
  <c r="Q28" i="7"/>
  <c r="J29" i="7"/>
  <c r="K29" i="7"/>
  <c r="L29" i="7"/>
  <c r="Q29" i="7"/>
  <c r="J30" i="7"/>
  <c r="K30" i="7"/>
  <c r="L30" i="7"/>
  <c r="Q30" i="7"/>
  <c r="J31" i="7"/>
  <c r="K31" i="7"/>
  <c r="L31" i="7"/>
  <c r="Q31" i="7"/>
  <c r="J32" i="7"/>
  <c r="K32" i="7"/>
  <c r="L32" i="7"/>
  <c r="Q32" i="7"/>
  <c r="J33" i="7"/>
  <c r="K33" i="7"/>
  <c r="L33" i="7"/>
  <c r="Q33" i="7"/>
  <c r="J34" i="7"/>
  <c r="K34" i="7"/>
  <c r="L34" i="7"/>
  <c r="Q34" i="7"/>
  <c r="J35" i="7"/>
  <c r="K35" i="7"/>
  <c r="L35" i="7"/>
  <c r="Q35" i="7"/>
  <c r="J36" i="7"/>
  <c r="K36" i="7"/>
  <c r="L36" i="7"/>
  <c r="Q36" i="7"/>
  <c r="J37" i="7"/>
  <c r="K37" i="7"/>
  <c r="L37" i="7"/>
  <c r="Q37" i="7"/>
  <c r="J38" i="7"/>
  <c r="K38" i="7"/>
  <c r="L38" i="7"/>
  <c r="Q38" i="7"/>
  <c r="J39" i="7"/>
  <c r="K39" i="7"/>
  <c r="L39" i="7"/>
  <c r="Q39" i="7"/>
  <c r="J40" i="7"/>
  <c r="K40" i="7"/>
  <c r="L40" i="7"/>
  <c r="Q40" i="7"/>
  <c r="J41" i="7"/>
  <c r="K41" i="7"/>
  <c r="L41" i="7"/>
  <c r="Q41" i="7"/>
  <c r="J42" i="7"/>
  <c r="K42" i="7"/>
  <c r="L42" i="7"/>
  <c r="Q42" i="7"/>
  <c r="J43" i="7"/>
  <c r="K43" i="7"/>
  <c r="L43" i="7"/>
  <c r="Q43" i="7"/>
  <c r="J65" i="7"/>
  <c r="K65" i="7"/>
  <c r="L65" i="7"/>
  <c r="Q65" i="7"/>
  <c r="J66" i="7"/>
  <c r="K66" i="7"/>
  <c r="L66" i="7"/>
  <c r="Q66" i="7"/>
  <c r="J67" i="7"/>
  <c r="K67" i="7"/>
  <c r="L67" i="7"/>
  <c r="Q67" i="7"/>
  <c r="J76" i="7"/>
  <c r="K76" i="7"/>
  <c r="L76" i="7"/>
  <c r="Q76" i="7"/>
  <c r="J77" i="7"/>
  <c r="K77" i="7"/>
  <c r="L77" i="7"/>
  <c r="Q77" i="7"/>
  <c r="C22" i="12" l="1"/>
  <c r="C19" i="12"/>
  <c r="C21" i="12" s="1"/>
  <c r="C40" i="6" l="1"/>
  <c r="F35" i="6" s="1"/>
  <c r="H35" i="6" s="1"/>
  <c r="L10" i="6"/>
  <c r="K10" i="6" s="1"/>
  <c r="D10" i="6" s="1"/>
  <c r="C83" i="7"/>
  <c r="C43" i="4"/>
  <c r="I49" i="7" l="1"/>
  <c r="M49" i="7" s="1"/>
  <c r="I58" i="7"/>
  <c r="M58" i="7" s="1"/>
  <c r="I47" i="7"/>
  <c r="M47" i="7" s="1"/>
  <c r="I56" i="7"/>
  <c r="M56" i="7" s="1"/>
  <c r="I60" i="7"/>
  <c r="M60" i="7" s="1"/>
  <c r="I61" i="7"/>
  <c r="M61" i="7" s="1"/>
  <c r="I44" i="7"/>
  <c r="M44" i="7" s="1"/>
  <c r="I45" i="7"/>
  <c r="M45" i="7" s="1"/>
  <c r="I54" i="7"/>
  <c r="M54" i="7" s="1"/>
  <c r="I63" i="7"/>
  <c r="M63" i="7" s="1"/>
  <c r="I51" i="7"/>
  <c r="M51" i="7" s="1"/>
  <c r="I52" i="7"/>
  <c r="M52" i="7" s="1"/>
  <c r="I50" i="7"/>
  <c r="M50" i="7" s="1"/>
  <c r="I59" i="7"/>
  <c r="M59" i="7" s="1"/>
  <c r="I64" i="7"/>
  <c r="M64" i="7" s="1"/>
  <c r="I48" i="7"/>
  <c r="M48" i="7" s="1"/>
  <c r="I57" i="7"/>
  <c r="M57" i="7" s="1"/>
  <c r="I53" i="7"/>
  <c r="M53" i="7" s="1"/>
  <c r="I62" i="7"/>
  <c r="M62" i="7" s="1"/>
  <c r="I46" i="7"/>
  <c r="M46" i="7" s="1"/>
  <c r="I55" i="7"/>
  <c r="M55" i="7" s="1"/>
  <c r="H33" i="4"/>
  <c r="J33" i="4" s="1"/>
  <c r="H34" i="4"/>
  <c r="J34" i="4" s="1"/>
  <c r="H35" i="4"/>
  <c r="J35" i="4" s="1"/>
  <c r="H36" i="4"/>
  <c r="J36" i="4" s="1"/>
  <c r="H38" i="4"/>
  <c r="J38" i="4" s="1"/>
  <c r="H28" i="4"/>
  <c r="J28" i="4" s="1"/>
  <c r="H29" i="4"/>
  <c r="J29" i="4" s="1"/>
  <c r="H30" i="4"/>
  <c r="J30" i="4" s="1"/>
  <c r="H31" i="4"/>
  <c r="J31" i="4" s="1"/>
  <c r="H37" i="4"/>
  <c r="J37" i="4" s="1"/>
  <c r="H32" i="4"/>
  <c r="J32" i="4" s="1"/>
  <c r="F30" i="6"/>
  <c r="H30" i="6" s="1"/>
  <c r="F15" i="6"/>
  <c r="H15" i="6" s="1"/>
  <c r="F31" i="6"/>
  <c r="H31" i="6" s="1"/>
  <c r="F16" i="6"/>
  <c r="H16" i="6" s="1"/>
  <c r="F28" i="6"/>
  <c r="H28" i="6" s="1"/>
  <c r="F17" i="6"/>
  <c r="H17" i="6" s="1"/>
  <c r="F18" i="6"/>
  <c r="H18" i="6" s="1"/>
  <c r="F19" i="6"/>
  <c r="H19" i="6" s="1"/>
  <c r="F20" i="6"/>
  <c r="H20" i="6" s="1"/>
  <c r="F21" i="6"/>
  <c r="H21" i="6" s="1"/>
  <c r="F22" i="6"/>
  <c r="H22" i="6" s="1"/>
  <c r="F23" i="6"/>
  <c r="H23" i="6" s="1"/>
  <c r="F26" i="6"/>
  <c r="H26" i="6" s="1"/>
  <c r="F27" i="6"/>
  <c r="H27" i="6" s="1"/>
  <c r="F24" i="6"/>
  <c r="H24" i="6" s="1"/>
  <c r="F25" i="6"/>
  <c r="H25" i="6" s="1"/>
  <c r="F29" i="6"/>
  <c r="H29" i="6" s="1"/>
  <c r="I70" i="7"/>
  <c r="M70" i="7" s="1"/>
  <c r="I74" i="7"/>
  <c r="M74" i="7" s="1"/>
  <c r="I69" i="7"/>
  <c r="M69" i="7" s="1"/>
  <c r="I73" i="7"/>
  <c r="M73" i="7" s="1"/>
  <c r="I75" i="7"/>
  <c r="M75" i="7" s="1"/>
  <c r="I68" i="7"/>
  <c r="M68" i="7" s="1"/>
  <c r="I72" i="7"/>
  <c r="M72" i="7" s="1"/>
  <c r="I71" i="7"/>
  <c r="M71" i="7" s="1"/>
  <c r="F13" i="6"/>
  <c r="H13" i="6" s="1"/>
  <c r="F33" i="6"/>
  <c r="H33" i="6" s="1"/>
  <c r="F14" i="6"/>
  <c r="H14" i="6" s="1"/>
  <c r="F34" i="6"/>
  <c r="H34" i="6" s="1"/>
  <c r="F11" i="6"/>
  <c r="H11" i="6" s="1"/>
  <c r="F32" i="6"/>
  <c r="H32" i="6" s="1"/>
  <c r="F12" i="6"/>
  <c r="H12" i="6" s="1"/>
  <c r="H19" i="4"/>
  <c r="J19" i="4" s="1"/>
  <c r="H18" i="4"/>
  <c r="J18" i="4" s="1"/>
  <c r="H13" i="4"/>
  <c r="J13" i="4" s="1"/>
  <c r="H27" i="4"/>
  <c r="J27" i="4" s="1"/>
  <c r="H22" i="4"/>
  <c r="J22" i="4" s="1"/>
  <c r="H15" i="4"/>
  <c r="J15" i="4" s="1"/>
  <c r="H10" i="4"/>
  <c r="J10" i="4" s="1"/>
  <c r="H24" i="4"/>
  <c r="J24" i="4" s="1"/>
  <c r="H17" i="4"/>
  <c r="J17" i="4" s="1"/>
  <c r="H12" i="4"/>
  <c r="J12" i="4" s="1"/>
  <c r="H23" i="4"/>
  <c r="J23" i="4" s="1"/>
  <c r="H21" i="4"/>
  <c r="J21" i="4" s="1"/>
  <c r="H14" i="4"/>
  <c r="J14" i="4" s="1"/>
  <c r="H9" i="4"/>
  <c r="J9" i="4" s="1"/>
  <c r="H16" i="4"/>
  <c r="J16" i="4" s="1"/>
  <c r="H11" i="4"/>
  <c r="J11" i="4" s="1"/>
  <c r="H26" i="4"/>
  <c r="J26" i="4" s="1"/>
  <c r="H25" i="4"/>
  <c r="J25" i="4" s="1"/>
  <c r="H20" i="4"/>
  <c r="J20" i="4" s="1"/>
  <c r="F10" i="6"/>
  <c r="H10" i="6" s="1"/>
  <c r="I8" i="7"/>
  <c r="M8" i="7" s="1"/>
  <c r="I12" i="7"/>
  <c r="M12" i="7" s="1"/>
  <c r="I16" i="7"/>
  <c r="M16" i="7" s="1"/>
  <c r="I20" i="7"/>
  <c r="M20" i="7" s="1"/>
  <c r="I24" i="7"/>
  <c r="M24" i="7" s="1"/>
  <c r="I28" i="7"/>
  <c r="M28" i="7" s="1"/>
  <c r="I32" i="7"/>
  <c r="M32" i="7" s="1"/>
  <c r="I36" i="7"/>
  <c r="M36" i="7" s="1"/>
  <c r="I40" i="7"/>
  <c r="M40" i="7" s="1"/>
  <c r="I65" i="7"/>
  <c r="M65" i="7" s="1"/>
  <c r="I77" i="7"/>
  <c r="M77" i="7" s="1"/>
  <c r="I41" i="7"/>
  <c r="M41" i="7" s="1"/>
  <c r="I43" i="7"/>
  <c r="M43" i="7" s="1"/>
  <c r="I9" i="7"/>
  <c r="M9" i="7" s="1"/>
  <c r="I17" i="7"/>
  <c r="M17" i="7" s="1"/>
  <c r="I25" i="7"/>
  <c r="M25" i="7" s="1"/>
  <c r="I33" i="7"/>
  <c r="M33" i="7" s="1"/>
  <c r="I11" i="7"/>
  <c r="M11" i="7" s="1"/>
  <c r="I15" i="7"/>
  <c r="M15" i="7" s="1"/>
  <c r="I19" i="7"/>
  <c r="M19" i="7" s="1"/>
  <c r="I23" i="7"/>
  <c r="M23" i="7" s="1"/>
  <c r="I27" i="7"/>
  <c r="M27" i="7" s="1"/>
  <c r="I31" i="7"/>
  <c r="M31" i="7" s="1"/>
  <c r="I35" i="7"/>
  <c r="M35" i="7" s="1"/>
  <c r="I39" i="7"/>
  <c r="M39" i="7" s="1"/>
  <c r="I76" i="7"/>
  <c r="M76" i="7" s="1"/>
  <c r="I10" i="7"/>
  <c r="M10" i="7" s="1"/>
  <c r="I14" i="7"/>
  <c r="M14" i="7" s="1"/>
  <c r="I18" i="7"/>
  <c r="M18" i="7" s="1"/>
  <c r="I22" i="7"/>
  <c r="M22" i="7" s="1"/>
  <c r="I26" i="7"/>
  <c r="M26" i="7" s="1"/>
  <c r="I30" i="7"/>
  <c r="M30" i="7" s="1"/>
  <c r="I34" i="7"/>
  <c r="M34" i="7" s="1"/>
  <c r="I38" i="7"/>
  <c r="M38" i="7" s="1"/>
  <c r="I42" i="7"/>
  <c r="M42" i="7" s="1"/>
  <c r="I67" i="7"/>
  <c r="M67" i="7" s="1"/>
  <c r="I21" i="7"/>
  <c r="M21" i="7" s="1"/>
  <c r="I13" i="7"/>
  <c r="M13" i="7" s="1"/>
  <c r="I29" i="7"/>
  <c r="M29" i="7" s="1"/>
  <c r="I37" i="7"/>
  <c r="M37" i="7" s="1"/>
  <c r="I66" i="7"/>
  <c r="M66" i="7" s="1"/>
  <c r="O5" i="12" l="1"/>
  <c r="A12" i="12"/>
  <c r="A13" i="12"/>
  <c r="A14" i="12"/>
  <c r="A15" i="12"/>
  <c r="A16" i="12"/>
  <c r="A11" i="12"/>
  <c r="I10" i="11"/>
  <c r="O14" i="12" l="1"/>
  <c r="A30" i="12" l="1"/>
  <c r="O26" i="12"/>
  <c r="O25" i="12"/>
  <c r="O24" i="12"/>
  <c r="O13" i="12"/>
  <c r="O12" i="12"/>
  <c r="O10" i="12"/>
  <c r="O3" i="12"/>
  <c r="L9" i="6" l="1"/>
  <c r="K9" i="6" s="1"/>
  <c r="D9" i="6" s="1"/>
  <c r="AJ29" i="2" l="1"/>
  <c r="AI29" i="2"/>
  <c r="AH29" i="2"/>
  <c r="AG29" i="2"/>
  <c r="AF29" i="2"/>
  <c r="AE29" i="2"/>
  <c r="AD29" i="2"/>
  <c r="AC29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AK24" i="2"/>
  <c r="AK25" i="2"/>
  <c r="AK26" i="2"/>
  <c r="AK27" i="2"/>
  <c r="E24" i="2"/>
  <c r="E25" i="2"/>
  <c r="E26" i="2"/>
  <c r="E27" i="2"/>
  <c r="F9" i="6" l="1"/>
  <c r="H9" i="6" s="1"/>
  <c r="D79" i="7"/>
  <c r="E79" i="7"/>
  <c r="E10" i="11" l="1"/>
  <c r="E28" i="11" s="1"/>
  <c r="E11" i="16"/>
  <c r="F4" i="12" s="1"/>
  <c r="O4" i="12" s="1"/>
  <c r="O6" i="12" s="1"/>
  <c r="I19" i="11"/>
  <c r="I21" i="11"/>
  <c r="I20" i="11"/>
  <c r="E12" i="11"/>
  <c r="J24" i="16" l="1"/>
  <c r="K24" i="16" s="1"/>
  <c r="E13" i="16"/>
  <c r="D31" i="16"/>
  <c r="F18" i="12" s="1"/>
  <c r="J25" i="16"/>
  <c r="K25" i="16" s="1"/>
  <c r="F11" i="16"/>
  <c r="F8" i="12" s="1"/>
  <c r="O8" i="12" s="1"/>
  <c r="J23" i="16"/>
  <c r="K23" i="16" s="1"/>
  <c r="J21" i="11"/>
  <c r="J20" i="11"/>
  <c r="J19" i="11"/>
  <c r="F13" i="16" l="1"/>
  <c r="F6" i="12"/>
  <c r="O18" i="12"/>
  <c r="F29" i="2"/>
  <c r="AJ25" i="1" l="1"/>
  <c r="AJ26" i="1"/>
  <c r="AJ27" i="1"/>
  <c r="D25" i="1"/>
  <c r="D26" i="1"/>
  <c r="D27" i="1"/>
  <c r="E5" i="2" l="1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4" i="2"/>
  <c r="D5" i="1" l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4" i="1"/>
  <c r="AJ24" i="1" l="1"/>
  <c r="AI29" i="1" l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E37" i="2" l="1"/>
  <c r="E34" i="2"/>
  <c r="E33" i="2"/>
  <c r="E36" i="2"/>
  <c r="E35" i="2"/>
  <c r="AJ23" i="1" l="1"/>
  <c r="AJ22" i="1"/>
  <c r="AJ21" i="1"/>
  <c r="AJ20" i="1"/>
  <c r="AJ19" i="1"/>
  <c r="AJ18" i="1"/>
  <c r="AJ17" i="1"/>
  <c r="AJ16" i="1"/>
  <c r="AJ15" i="1"/>
  <c r="AJ14" i="1"/>
  <c r="AJ13" i="1"/>
  <c r="AJ12" i="1"/>
  <c r="AJ11" i="1"/>
  <c r="AJ10" i="1"/>
  <c r="AJ9" i="1"/>
  <c r="AJ8" i="1"/>
  <c r="AJ7" i="1"/>
  <c r="AJ6" i="1"/>
  <c r="AJ5" i="1"/>
  <c r="AL25" i="2" l="1"/>
  <c r="AL26" i="2"/>
  <c r="AL27" i="2"/>
  <c r="AL24" i="2"/>
  <c r="AK5" i="2" l="1"/>
  <c r="AK6" i="2"/>
  <c r="AK7" i="2"/>
  <c r="AK8" i="2"/>
  <c r="AK9" i="2"/>
  <c r="AK10" i="2"/>
  <c r="AK11" i="2"/>
  <c r="AK12" i="2"/>
  <c r="AK13" i="2"/>
  <c r="AK14" i="2"/>
  <c r="AK15" i="2"/>
  <c r="AK16" i="2"/>
  <c r="AK17" i="2"/>
  <c r="AK18" i="2"/>
  <c r="AK19" i="2"/>
  <c r="AK20" i="2"/>
  <c r="AK21" i="2"/>
  <c r="AK22" i="2"/>
  <c r="AK23" i="2"/>
  <c r="AK27" i="1" l="1"/>
  <c r="AK25" i="1"/>
  <c r="AK26" i="1"/>
  <c r="AK24" i="1"/>
  <c r="AK22" i="1"/>
  <c r="AK23" i="1"/>
  <c r="AK15" i="1"/>
  <c r="AK7" i="1"/>
  <c r="AK6" i="1"/>
  <c r="AK21" i="1"/>
  <c r="AK13" i="1"/>
  <c r="AK12" i="1"/>
  <c r="AK14" i="1"/>
  <c r="AK19" i="1"/>
  <c r="AK11" i="1"/>
  <c r="AK18" i="1"/>
  <c r="AK10" i="1"/>
  <c r="AK20" i="1"/>
  <c r="AK17" i="1"/>
  <c r="AK9" i="1"/>
  <c r="AK16" i="1"/>
  <c r="AK8" i="1"/>
  <c r="AL19" i="2" l="1"/>
  <c r="AL18" i="2"/>
  <c r="AL17" i="2"/>
  <c r="AL23" i="2" l="1"/>
  <c r="AL21" i="2"/>
  <c r="AL20" i="2"/>
  <c r="AL16" i="2"/>
  <c r="AL15" i="2"/>
  <c r="AL14" i="2"/>
  <c r="AL13" i="2"/>
  <c r="AL11" i="2"/>
  <c r="AL10" i="2"/>
  <c r="AL8" i="2"/>
  <c r="AL7" i="2"/>
  <c r="AJ4" i="1"/>
  <c r="AJ29" i="1" l="1"/>
  <c r="AL4" i="2"/>
  <c r="AL12" i="2"/>
  <c r="AL22" i="2"/>
  <c r="AL5" i="2"/>
  <c r="AL9" i="2"/>
  <c r="AL6" i="2"/>
  <c r="G79" i="7" l="1"/>
  <c r="AK29" i="2" l="1"/>
  <c r="K79" i="7" l="1"/>
  <c r="D36" i="1" l="1"/>
  <c r="D35" i="1" l="1"/>
  <c r="D34" i="1"/>
  <c r="D32" i="1"/>
  <c r="D33" i="1"/>
  <c r="L8" i="6"/>
  <c r="K8" i="6" s="1"/>
  <c r="D8" i="6" s="1"/>
  <c r="D37" i="6" s="1"/>
  <c r="N8" i="4"/>
  <c r="M8" i="4" s="1"/>
  <c r="E8" i="4" s="1"/>
  <c r="AK4" i="2"/>
  <c r="F8" i="4" l="1"/>
  <c r="E40" i="4"/>
  <c r="AK30" i="2"/>
  <c r="H8" i="4"/>
  <c r="AK5" i="1"/>
  <c r="AK4" i="1"/>
  <c r="F8" i="6"/>
  <c r="F37" i="6" s="1"/>
  <c r="AK29" i="1" l="1"/>
  <c r="G40" i="4"/>
  <c r="H8" i="6"/>
  <c r="H79" i="7"/>
  <c r="J18" i="16" s="1"/>
  <c r="J8" i="4"/>
  <c r="J40" i="4" s="1"/>
  <c r="D22" i="16" s="1"/>
  <c r="I8" i="4"/>
  <c r="E39" i="2"/>
  <c r="E41" i="2" s="1"/>
  <c r="F27" i="12" l="1"/>
  <c r="E14" i="16"/>
  <c r="F22" i="12"/>
  <c r="O27" i="12"/>
  <c r="O22" i="12" s="1"/>
  <c r="J22" i="16"/>
  <c r="K22" i="16" s="1"/>
  <c r="F11" i="12"/>
  <c r="F14" i="16"/>
  <c r="F23" i="12" s="1"/>
  <c r="O23" i="12" s="1"/>
  <c r="J19" i="16"/>
  <c r="F28" i="12" s="1"/>
  <c r="O28" i="12" s="1"/>
  <c r="I15" i="11"/>
  <c r="H37" i="6"/>
  <c r="H40" i="4"/>
  <c r="E18" i="11"/>
  <c r="M79" i="7"/>
  <c r="L79" i="7"/>
  <c r="I79" i="7"/>
  <c r="D38" i="1"/>
  <c r="D40" i="1" s="1"/>
  <c r="J79" i="7"/>
  <c r="E22" i="11" l="1"/>
  <c r="D26" i="16"/>
  <c r="E23" i="11"/>
  <c r="D27" i="16"/>
  <c r="F16" i="12" s="1"/>
  <c r="O16" i="12" s="1"/>
  <c r="I18" i="11"/>
  <c r="O11" i="12"/>
  <c r="I23" i="11"/>
  <c r="J23" i="11" s="1"/>
  <c r="F40" i="4"/>
  <c r="I40" i="4"/>
  <c r="J26" i="16" l="1"/>
  <c r="K26" i="16" s="1"/>
  <c r="F15" i="12"/>
  <c r="O15" i="12"/>
  <c r="I22" i="11"/>
  <c r="J22" i="11" s="1"/>
  <c r="J27" i="16"/>
  <c r="D30" i="16"/>
  <c r="F17" i="12" s="1"/>
  <c r="E26" i="11"/>
  <c r="J18" i="11"/>
  <c r="J24" i="11" s="1"/>
  <c r="I24" i="11"/>
  <c r="C42" i="4"/>
  <c r="C82" i="7" s="1"/>
  <c r="C39" i="6" s="1"/>
  <c r="F20" i="12" l="1"/>
  <c r="F19" i="12"/>
  <c r="F21" i="12" s="1"/>
  <c r="J30" i="16"/>
  <c r="D33" i="16"/>
  <c r="B35" i="16"/>
  <c r="K27" i="16"/>
  <c r="K28" i="16" s="1"/>
  <c r="J28" i="16"/>
  <c r="B31" i="11"/>
  <c r="I26" i="11"/>
  <c r="E30" i="11"/>
  <c r="I27" i="16" l="1"/>
  <c r="F29" i="12"/>
  <c r="J31" i="16"/>
  <c r="F30" i="12" s="1"/>
  <c r="I24" i="16"/>
  <c r="I26" i="16"/>
  <c r="I25" i="16"/>
  <c r="I22" i="16"/>
  <c r="I23" i="16"/>
  <c r="I27" i="11"/>
  <c r="O30" i="12" s="1"/>
  <c r="O29" i="12"/>
  <c r="O17" i="12"/>
  <c r="O20" i="12" s="1"/>
  <c r="H18" i="11"/>
  <c r="H19" i="11"/>
  <c r="H23" i="11"/>
  <c r="H21" i="11"/>
  <c r="H20" i="11"/>
  <c r="H22" i="11"/>
  <c r="I28" i="16" l="1"/>
  <c r="O19" i="12"/>
  <c r="O21" i="12" s="1"/>
  <c r="H24" i="11"/>
</calcChain>
</file>

<file path=xl/sharedStrings.xml><?xml version="1.0" encoding="utf-8"?>
<sst xmlns="http://schemas.openxmlformats.org/spreadsheetml/2006/main" count="1130" uniqueCount="408">
  <si>
    <t>D</t>
  </si>
  <si>
    <t>NO</t>
  </si>
  <si>
    <t>ID UNIT</t>
  </si>
  <si>
    <t>DAYLY REPORT HM</t>
  </si>
  <si>
    <t>TOTAL HM</t>
  </si>
  <si>
    <t>N</t>
  </si>
  <si>
    <t>SM-BW 211-02</t>
  </si>
  <si>
    <t>SM-BW 211-03</t>
  </si>
  <si>
    <t>SM-D85ESS-08</t>
  </si>
  <si>
    <t xml:space="preserve"> </t>
  </si>
  <si>
    <t>WEEK 1</t>
  </si>
  <si>
    <t>:</t>
  </si>
  <si>
    <t>Di setujui oleh :</t>
  </si>
  <si>
    <t>Di buat oleh :</t>
  </si>
  <si>
    <t>WEEK 2</t>
  </si>
  <si>
    <t>WEEK 3</t>
  </si>
  <si>
    <t>WEEK 4</t>
  </si>
  <si>
    <t>`</t>
  </si>
  <si>
    <t>WEEK 5</t>
  </si>
  <si>
    <t>Internal Kontrol</t>
  </si>
  <si>
    <t>MPE Team</t>
  </si>
  <si>
    <t>TOTAL</t>
  </si>
  <si>
    <t>DAYLY REPORT FUEL</t>
  </si>
  <si>
    <t>TOTAL FUEL</t>
  </si>
  <si>
    <t>TOTAL HM 1- 31</t>
  </si>
  <si>
    <t/>
  </si>
  <si>
    <t>HM</t>
  </si>
  <si>
    <t>Fuel</t>
  </si>
  <si>
    <t>Total</t>
  </si>
  <si>
    <t>(hour)</t>
  </si>
  <si>
    <t>($/hour)</t>
  </si>
  <si>
    <t>Rate HM</t>
  </si>
  <si>
    <t>(liter)</t>
  </si>
  <si>
    <t>(liter/hour)</t>
  </si>
  <si>
    <t>KURS USD</t>
  </si>
  <si>
    <t>FUEL PRICE</t>
  </si>
  <si>
    <t>HOURS METER</t>
  </si>
  <si>
    <t>FUEL CONSUMPTION</t>
  </si>
  <si>
    <t>LV</t>
  </si>
  <si>
    <t>TONNAGE</t>
  </si>
  <si>
    <t>(liter/ton)</t>
  </si>
  <si>
    <t>Weight Bridge</t>
  </si>
  <si>
    <t>Tonnage</t>
  </si>
  <si>
    <t>Retase</t>
  </si>
  <si>
    <t>(ton/ret)</t>
  </si>
  <si>
    <t>(Rp/month)</t>
  </si>
  <si>
    <t>TOTAL COST</t>
  </si>
  <si>
    <t>DESC.</t>
  </si>
  <si>
    <t>Rate</t>
  </si>
  <si>
    <t>INCOME</t>
  </si>
  <si>
    <t>Min Charge</t>
  </si>
  <si>
    <t>Hour</t>
  </si>
  <si>
    <t>RENT</t>
  </si>
  <si>
    <t>(liter/km)</t>
  </si>
  <si>
    <t>FUEL RATIO</t>
  </si>
  <si>
    <t>(liter/ret)</t>
  </si>
  <si>
    <t>K</t>
  </si>
  <si>
    <t>TOTAL FUEL 1- 31</t>
  </si>
  <si>
    <t>HINO 700</t>
  </si>
  <si>
    <t>TAP PC 400-03</t>
  </si>
  <si>
    <t>TAP PC 400-06</t>
  </si>
  <si>
    <t>TAP PC 200-11</t>
  </si>
  <si>
    <t>ADT HM 400-02</t>
  </si>
  <si>
    <t>ADT HM 400-03</t>
  </si>
  <si>
    <t>ADT HM 400-05</t>
  </si>
  <si>
    <t>DOZER D65P-04</t>
  </si>
  <si>
    <t>DOZER D85SS-02</t>
  </si>
  <si>
    <t>TAP SAKAI-03</t>
  </si>
  <si>
    <t>TAP PC 300-11</t>
  </si>
  <si>
    <t>ADT HM 400-06</t>
  </si>
  <si>
    <t>ADT HM 400-07</t>
  </si>
  <si>
    <t>ADT HM 400-08</t>
  </si>
  <si>
    <t>DOZER D65P-05</t>
  </si>
  <si>
    <t>DAYS WORK</t>
  </si>
  <si>
    <t>WASTE REMOVAL</t>
  </si>
  <si>
    <t>WORKING HOUR</t>
  </si>
  <si>
    <t>ORE MINING</t>
  </si>
  <si>
    <t>MECANICAL AVAILABILITY</t>
  </si>
  <si>
    <t>STRIPING RATIO</t>
  </si>
  <si>
    <t>Rp</t>
  </si>
  <si>
    <t>KURS/$</t>
  </si>
  <si>
    <t>RESULT</t>
  </si>
  <si>
    <t>GRAND TOTAL COST</t>
  </si>
  <si>
    <t>COST UNIT SUPPORT</t>
  </si>
  <si>
    <t>COST UNIT HAULING</t>
  </si>
  <si>
    <t>( USD / Ton )</t>
  </si>
  <si>
    <t xml:space="preserve">PRICE / TON ORE    </t>
  </si>
  <si>
    <t>Fuel Price / liter</t>
  </si>
  <si>
    <t>UNIT</t>
  </si>
  <si>
    <t>TYPE</t>
  </si>
  <si>
    <t>RATIO</t>
  </si>
  <si>
    <t>RENT PER MONTH</t>
  </si>
  <si>
    <t>DOZER D65P-11</t>
  </si>
  <si>
    <t>DOZER D85SS-11</t>
  </si>
  <si>
    <t>TAP GRADER-11</t>
  </si>
  <si>
    <t>COST / TON ORE</t>
  </si>
  <si>
    <t>RATE</t>
  </si>
  <si>
    <t>Ltr/Hr</t>
  </si>
  <si>
    <t>Rent/Hr</t>
  </si>
  <si>
    <t>Column1</t>
  </si>
  <si>
    <t>Column2</t>
  </si>
  <si>
    <t>Description</t>
  </si>
  <si>
    <t>Column4</t>
  </si>
  <si>
    <t>Column5</t>
  </si>
  <si>
    <t>Column6</t>
  </si>
  <si>
    <t>Column7</t>
  </si>
  <si>
    <t>Unit Only (Internal)</t>
  </si>
  <si>
    <t>Incl. Operator</t>
  </si>
  <si>
    <t>Incl. Operator &amp; Fuel</t>
  </si>
  <si>
    <t>PC 195 LC-8</t>
  </si>
  <si>
    <t>Excavator</t>
  </si>
  <si>
    <t>PC 200-8 MO</t>
  </si>
  <si>
    <t>PC 300 SE-8</t>
  </si>
  <si>
    <t>PC 400 LC SE-8</t>
  </si>
  <si>
    <t>SK 200-8 SX</t>
  </si>
  <si>
    <t>SK 330-8</t>
  </si>
  <si>
    <t>HM 400-3R</t>
  </si>
  <si>
    <t>Artic</t>
  </si>
  <si>
    <t>D 85 ESS-2</t>
  </si>
  <si>
    <t>Bulldozer</t>
  </si>
  <si>
    <t>D 65 P-12</t>
  </si>
  <si>
    <t>GD 511 A-1</t>
  </si>
  <si>
    <t>Grader</t>
  </si>
  <si>
    <t>SV 525 D</t>
  </si>
  <si>
    <t>Compactor</t>
  </si>
  <si>
    <t>BW 211 D-40</t>
  </si>
  <si>
    <t>XG 6121</t>
  </si>
  <si>
    <t>XG 955-III</t>
  </si>
  <si>
    <t>Whell Loader</t>
  </si>
  <si>
    <t>WA 380-3</t>
  </si>
  <si>
    <t>FM 260 Ti</t>
  </si>
  <si>
    <t>Dump Truck</t>
  </si>
  <si>
    <t>700 Provia</t>
  </si>
  <si>
    <t>GENSET</t>
  </si>
  <si>
    <t>RATE MOBILISASI</t>
  </si>
  <si>
    <t>$ / KM</t>
  </si>
  <si>
    <t>PC 400</t>
  </si>
  <si>
    <t>PC 300</t>
  </si>
  <si>
    <t>PC 200</t>
  </si>
  <si>
    <t>BULLDOZER</t>
  </si>
  <si>
    <t>COMPACTOR</t>
  </si>
  <si>
    <t>Total Fuel Consumption</t>
  </si>
  <si>
    <t>Liter</t>
  </si>
  <si>
    <t>TAP PC 200-12</t>
  </si>
  <si>
    <t>TAP PC 200-14</t>
  </si>
  <si>
    <t>TAP PC 300-12</t>
  </si>
  <si>
    <t>TAP PC 300-14</t>
  </si>
  <si>
    <t>TAP PC 200-15</t>
  </si>
  <si>
    <t>TAP PC 200-16</t>
  </si>
  <si>
    <t>ADT HM 400-01</t>
  </si>
  <si>
    <t>PC 500 LCE-10R</t>
  </si>
  <si>
    <t>700 Provia/12</t>
  </si>
  <si>
    <t>LT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</si>
  <si>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</si>
  <si>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</si>
  <si>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</si>
  <si>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</si>
  <si>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</si>
  <si>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</si>
  <si>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</si>
  <si>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</si>
  <si>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</si>
  <si>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</si>
  <si>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</si>
  <si>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</si>
  <si>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PRODUCTION excavator</t>
  </si>
  <si>
    <t>PROFIT</t>
  </si>
  <si>
    <t>PERCENT PROFIT</t>
  </si>
  <si>
    <t>COST UNIT OVERBURDEN</t>
  </si>
  <si>
    <t>COST UNIT QUARRY</t>
  </si>
  <si>
    <t>COST UNIT ORE GETTING</t>
  </si>
  <si>
    <t>COST RENT + FUEL</t>
  </si>
  <si>
    <t>COST OB REMOVAL</t>
  </si>
  <si>
    <t>COST QUARRY HAULING</t>
  </si>
  <si>
    <t>COST DEVELOP ACT.</t>
  </si>
  <si>
    <t>COST ORE GETTING</t>
  </si>
  <si>
    <t>COST ORE HAULING</t>
  </si>
  <si>
    <t>COST DEV / TON</t>
  </si>
  <si>
    <t>COST ORE GETTING / TON</t>
  </si>
  <si>
    <t>COST ORE HAULING / TON</t>
  </si>
  <si>
    <t>COST SUPPORT / TON</t>
  </si>
  <si>
    <t>COST OB / TON</t>
  </si>
  <si>
    <t>COST QUARRY / TON</t>
  </si>
  <si>
    <t>QUARRY MINING</t>
  </si>
  <si>
    <t>CV. ADIL PRIMA PERKASA</t>
  </si>
  <si>
    <t>SUMMARY KBM        BLOK B &amp; C</t>
  </si>
  <si>
    <t>KOMATSU PC 500 - 01</t>
  </si>
  <si>
    <t>KOMATSU PC 500 - 02</t>
  </si>
  <si>
    <t>KOMATSU PC 500 - 03</t>
  </si>
  <si>
    <t>KOMATSU PC 400 - 05</t>
  </si>
  <si>
    <t>KOMATSU PC 300 - 10</t>
  </si>
  <si>
    <t>KOBELCO SK 330 - 10</t>
  </si>
  <si>
    <t>KOBELCO SK 330 - 11</t>
  </si>
  <si>
    <t>KOMATSU PC 200 - 22</t>
  </si>
  <si>
    <t>KOMATSU PC 200 - 23</t>
  </si>
  <si>
    <t>KOMATSU PC 195 - 01</t>
  </si>
  <si>
    <t>KOBELCO SK 200 - 07</t>
  </si>
  <si>
    <t>KOBELCO SK 200 - 10</t>
  </si>
  <si>
    <t>KOBELCO SK 200 - 11</t>
  </si>
  <si>
    <t>KOBELCO SK 200 - 13</t>
  </si>
  <si>
    <t>KOBELCO SK 200 - 15</t>
  </si>
  <si>
    <t>KOBELCO SK 200 - 16</t>
  </si>
  <si>
    <t>KOBELCO SK 200 - 18</t>
  </si>
  <si>
    <t>KOBELCO SK 200 - 19</t>
  </si>
  <si>
    <t>KOBELCO SK 200 - 20</t>
  </si>
  <si>
    <t>KOMATSU HM 400 - 09</t>
  </si>
  <si>
    <t>KOMATSU HM 400 - 10</t>
  </si>
  <si>
    <t>KOMATSU HM 400 - 11</t>
  </si>
  <si>
    <t>KOMATSU HM 400 - 12</t>
  </si>
  <si>
    <t>KOMATSU HM 400 - 13</t>
  </si>
  <si>
    <t>KOMATSU HM 400 - 14</t>
  </si>
  <si>
    <t>KOMATSU HM 400 - 15</t>
  </si>
  <si>
    <t>KOMATSU HM 400 - 16</t>
  </si>
  <si>
    <t>KOMATSU HM 400 - 17</t>
  </si>
  <si>
    <t>KOMATSU HM 400 - 18</t>
  </si>
  <si>
    <t>KOMATSU HM 400 - 19</t>
  </si>
  <si>
    <t>KOMATSU HM 400 - 20</t>
  </si>
  <si>
    <t>KOMATSU HM 400 - 21</t>
  </si>
  <si>
    <t>KOMATSU HM 400 - 22</t>
  </si>
  <si>
    <t>KOMATSU DOZER D65 - 12</t>
  </si>
  <si>
    <t>KOMATSU DOZER D65 - 13</t>
  </si>
  <si>
    <t>KOMATSU DOZER D65 - 15</t>
  </si>
  <si>
    <t>KOMATSU DOZER D65 - 16</t>
  </si>
  <si>
    <t>KOMATSU DOZER D85SS - 14</t>
  </si>
  <si>
    <t>KOMATSU DOZER D85SS - 18</t>
  </si>
  <si>
    <t>GRADER GD535 - 03</t>
  </si>
  <si>
    <t>SAKAI - 07</t>
  </si>
  <si>
    <t xml:space="preserve"> DT HINO G 310</t>
  </si>
  <si>
    <t xml:space="preserve"> DT HINO G 311</t>
  </si>
  <si>
    <t xml:space="preserve"> DT HINO G 314</t>
  </si>
  <si>
    <t xml:space="preserve"> DT HINO G 315</t>
  </si>
  <si>
    <t xml:space="preserve"> DT HINO G 317</t>
  </si>
  <si>
    <t xml:space="preserve"> DT HINO G 318</t>
  </si>
  <si>
    <t xml:space="preserve"> DT HINO G 321</t>
  </si>
  <si>
    <t xml:space="preserve"> DT HINO G 323</t>
  </si>
  <si>
    <t xml:space="preserve"> DT HINO G 324</t>
  </si>
  <si>
    <t xml:space="preserve"> DT HINO G 325</t>
  </si>
  <si>
    <t xml:space="preserve"> DT HINO G 326</t>
  </si>
  <si>
    <t xml:space="preserve"> DT HINO G 329</t>
  </si>
  <si>
    <t xml:space="preserve"> DT HINO G 331</t>
  </si>
  <si>
    <t xml:space="preserve"> DT HINO G 332</t>
  </si>
  <si>
    <t xml:space="preserve"> DT HINO G 333</t>
  </si>
  <si>
    <t xml:space="preserve"> DT HINO G 334</t>
  </si>
  <si>
    <t xml:space="preserve"> DT HINO G 335</t>
  </si>
  <si>
    <t xml:space="preserve"> DT HINO G 336</t>
  </si>
  <si>
    <t xml:space="preserve"> DT HINO G 337</t>
  </si>
  <si>
    <t xml:space="preserve"> DT HINO G 339</t>
  </si>
  <si>
    <t xml:space="preserve"> DT HINO G 340</t>
  </si>
  <si>
    <t xml:space="preserve"> DT HINO G 341</t>
  </si>
  <si>
    <t xml:space="preserve"> DT HINO G 342</t>
  </si>
  <si>
    <t xml:space="preserve"> DT HINO G 343</t>
  </si>
  <si>
    <t xml:space="preserve"> DT HINO G 344</t>
  </si>
  <si>
    <t xml:space="preserve"> DT HINO G 346</t>
  </si>
  <si>
    <t xml:space="preserve"> DT HINO G 347</t>
  </si>
  <si>
    <t xml:space="preserve"> DT HINO G 348</t>
  </si>
  <si>
    <t xml:space="preserve"> DT HINO G 349</t>
  </si>
  <si>
    <t xml:space="preserve"> DT HINO G 350</t>
  </si>
  <si>
    <t xml:space="preserve"> DT HINO G 351</t>
  </si>
  <si>
    <t xml:space="preserve"> DT HINO G 352</t>
  </si>
  <si>
    <t xml:space="preserve"> DT HINO G 353</t>
  </si>
  <si>
    <t xml:space="preserve"> DT HINO G 354</t>
  </si>
  <si>
    <t xml:space="preserve"> DT HINO G 355</t>
  </si>
  <si>
    <t xml:space="preserve"> DT HINO G 357</t>
  </si>
  <si>
    <t xml:space="preserve"> DT HINO G 358</t>
  </si>
  <si>
    <t xml:space="preserve"> DT HINO G 359</t>
  </si>
  <si>
    <t xml:space="preserve"> DT HINO G 360</t>
  </si>
  <si>
    <t xml:space="preserve"> DT HINO G 361</t>
  </si>
  <si>
    <t xml:space="preserve"> DT HINO G 362</t>
  </si>
  <si>
    <t xml:space="preserve"> DT HINO G 363</t>
  </si>
  <si>
    <t>LV TRITON PUTIH - 11</t>
  </si>
  <si>
    <t>LV HILUX PUTIH - 23</t>
  </si>
  <si>
    <t>LV PAJERO PUTIH - 06</t>
  </si>
  <si>
    <t>LV TRITON HITAM - 08</t>
  </si>
  <si>
    <t>LV PAJERO PUTIH - 09</t>
  </si>
  <si>
    <t>MANHAUL - 02</t>
  </si>
  <si>
    <t>FUEL TRUCK - 03</t>
  </si>
  <si>
    <t>FUEL TRUCK - 05</t>
  </si>
  <si>
    <t>TRUCK TYRE - LT-08</t>
  </si>
  <si>
    <t>TRUCK MAINTENANCE - LT-09</t>
  </si>
  <si>
    <t>KOMATSU PC 500 - 04</t>
  </si>
  <si>
    <t>KOMATSU PC 400 - 04</t>
  </si>
  <si>
    <t>KOMATSU HM 400 - 23</t>
  </si>
  <si>
    <t>KOMATSU HM 400 - 24</t>
  </si>
  <si>
    <t>KOMATSU HM 400 - 25</t>
  </si>
  <si>
    <t>KOMATSU DOZER D65 - 18</t>
  </si>
  <si>
    <t>KOMATSU DOZER D85SS - 20</t>
  </si>
  <si>
    <t>LV HILUX SILVER - 10</t>
  </si>
  <si>
    <t>KOMATSU PC 400 - 01</t>
  </si>
  <si>
    <t>KOMATSU PC 400 - 06</t>
  </si>
  <si>
    <t>KOMATSU PC 300 - 14</t>
  </si>
  <si>
    <t>KOBELCO SK 200 - 08</t>
  </si>
  <si>
    <t>KOMATSU HM 400 - 04</t>
  </si>
  <si>
    <t>KOMATSU HM 400 - 06</t>
  </si>
  <si>
    <t>KOMATSU HM 400 - 07</t>
  </si>
  <si>
    <t>KOMATSU HM 400 - 08</t>
  </si>
  <si>
    <t>KOMATSU DOZER D65 - 10</t>
  </si>
  <si>
    <t>KOMATSU DOZER D65 - 11</t>
  </si>
  <si>
    <t>KOMATSU DOZER D85SS - 17</t>
  </si>
  <si>
    <t>LV TRITON PUTIH (SAFETY) - 30</t>
  </si>
  <si>
    <t>kbm</t>
  </si>
  <si>
    <t>KOMATSU HM 400 - 01</t>
  </si>
  <si>
    <t>KOMATSU HM 400 - 05</t>
  </si>
  <si>
    <t>KOMATSU PC 300 - 12</t>
  </si>
  <si>
    <t>KOMATSU PC 300 - 15</t>
  </si>
  <si>
    <t>KOMATSU PC 300 - 16</t>
  </si>
  <si>
    <t>KOMATSU PC 200 - 11</t>
  </si>
  <si>
    <t>KOMATSU PC 200 - 12</t>
  </si>
  <si>
    <t>KOMATSU PC 200 - 14</t>
  </si>
  <si>
    <t>KOMATSU PC 200 - 15</t>
  </si>
  <si>
    <t>KOMATSU PC 200 - 16</t>
  </si>
  <si>
    <t>KOMATSU DOZER D85SS - 11</t>
  </si>
  <si>
    <t>ore hauling kbm</t>
  </si>
  <si>
    <t>LV TRITON PUTIH - 31</t>
  </si>
  <si>
    <t>LV HILUX HITAM - 11</t>
  </si>
  <si>
    <t>KOMATSU PC 400 - 03</t>
  </si>
  <si>
    <t>KOMATSU PC 300 - 17</t>
  </si>
  <si>
    <t>LOADER WA380 - 02</t>
  </si>
  <si>
    <t>SAKAI - 02</t>
  </si>
  <si>
    <t>FUEL RATIO (L/Ton)</t>
  </si>
  <si>
    <t>KOMATSU HM 400 - 02</t>
  </si>
  <si>
    <t>LV TRITON PUTIH - 12</t>
  </si>
  <si>
    <t>LV HILUX SILVER - 17</t>
  </si>
  <si>
    <t>LV HILUX HITAM - 18</t>
  </si>
  <si>
    <t>LV HILUX SILVER - 19</t>
  </si>
  <si>
    <t>LV TRITON PUTIH - 27</t>
  </si>
  <si>
    <t>LV TRITON PUTIH - 32</t>
  </si>
  <si>
    <t>KOMATSU DOZER D65 - 05</t>
  </si>
  <si>
    <t>SAKAI - 03</t>
  </si>
  <si>
    <t>BUS APP - 03</t>
  </si>
  <si>
    <t>TRUCK TYRE - LT-10</t>
  </si>
  <si>
    <t>COST UNIT DEVELOPT</t>
  </si>
  <si>
    <t xml:space="preserve"> DT HINO G 370</t>
  </si>
  <si>
    <t xml:space="preserve"> DT HINO G 371</t>
  </si>
  <si>
    <t xml:space="preserve"> DT HINO G 372</t>
  </si>
  <si>
    <t xml:space="preserve"> DT HINO G 373</t>
  </si>
  <si>
    <t xml:space="preserve"> DT HINO G 374</t>
  </si>
  <si>
    <t xml:space="preserve"> DT HINO G 375</t>
  </si>
  <si>
    <t xml:space="preserve"> DT HINO G 376</t>
  </si>
  <si>
    <t xml:space="preserve"> DT HINO G 377</t>
  </si>
  <si>
    <t>LV HILUX HITAM - 05</t>
  </si>
  <si>
    <t>LV TRITON HITAM - 10</t>
  </si>
  <si>
    <t>TRUCK WELDER - LT-04</t>
  </si>
  <si>
    <t>PERCENT COST</t>
  </si>
  <si>
    <t>MEKANIK CAMP</t>
  </si>
  <si>
    <t>KOMATSU PC 300 - 11</t>
  </si>
  <si>
    <t>KOMATSU PC 200 - 25</t>
  </si>
  <si>
    <t>LV PAJERO HITAM - 15</t>
  </si>
  <si>
    <t>LV LC-HIJAU - 29</t>
  </si>
  <si>
    <t>unit</t>
  </si>
  <si>
    <t>type</t>
  </si>
  <si>
    <t>FUEL TRUCK - 06</t>
  </si>
  <si>
    <t>LV PAJERO SILVER - 21</t>
  </si>
  <si>
    <t>PC 500 (bcm/hour)</t>
  </si>
  <si>
    <t>(fuel include in contract)</t>
  </si>
  <si>
    <t>source data ( owning &amp; operating cost)</t>
  </si>
  <si>
    <t>last year (2022)</t>
  </si>
  <si>
    <t>TOTAL 2023</t>
  </si>
  <si>
    <t>LV HILUX HITAM - 04</t>
  </si>
  <si>
    <t>Kompresor Tyre</t>
  </si>
  <si>
    <r>
      <rPr>
        <b/>
        <sz val="26"/>
        <color theme="5"/>
        <rFont val="Calibri"/>
        <family val="2"/>
        <scheme val="minor"/>
      </rPr>
      <t>MINING COST</t>
    </r>
    <r>
      <rPr>
        <b/>
        <sz val="26"/>
        <color theme="9" tint="-0.249977111117893"/>
        <rFont val="Calibri"/>
        <family val="2"/>
        <scheme val="minor"/>
      </rPr>
      <t xml:space="preserve"> </t>
    </r>
    <r>
      <rPr>
        <b/>
        <sz val="26"/>
        <color theme="0"/>
        <rFont val="Calibri"/>
        <family val="2"/>
        <scheme val="minor"/>
      </rPr>
      <t>(FEBRUARY)</t>
    </r>
  </si>
  <si>
    <t>February 2023</t>
  </si>
  <si>
    <t>KOMATSU DOZER D85SS - 06</t>
  </si>
  <si>
    <t>LV LC-SILVER - 24</t>
  </si>
  <si>
    <t>PLAN</t>
  </si>
  <si>
    <t>ACTUAL</t>
  </si>
  <si>
    <t>ACH %</t>
  </si>
  <si>
    <t>days</t>
  </si>
  <si>
    <t>OVERBURDEN REMOVAL</t>
  </si>
  <si>
    <t>hours</t>
  </si>
  <si>
    <t>PHYSICHAL AVAILIBILITY</t>
  </si>
  <si>
    <t>PA</t>
  </si>
  <si>
    <t>FUEL RATIO OVERALL (L/Ton)</t>
  </si>
  <si>
    <t>(fuel not include in contract)</t>
  </si>
  <si>
    <t>COST ITEM / TON ORE</t>
  </si>
  <si>
    <t>CV ADIL PRIMA PERKASA</t>
  </si>
  <si>
    <t>ACH % OVERBURDEN</t>
  </si>
  <si>
    <t>ACH % ORE MINING</t>
  </si>
  <si>
    <t>ACH % QUARRY</t>
  </si>
  <si>
    <t>ACH % FUEL RATIO</t>
  </si>
  <si>
    <t>ACH % FUEL CONSUMPTION</t>
  </si>
  <si>
    <t xml:space="preserve"> DT HINO G 365</t>
  </si>
  <si>
    <t xml:space="preserve"> DT HINO G 366</t>
  </si>
  <si>
    <t xml:space="preserve"> DT HINO G 367</t>
  </si>
  <si>
    <t xml:space="preserve"> DT HINO G 368</t>
  </si>
  <si>
    <t xml:space="preserve"> DT HINO G 369</t>
  </si>
  <si>
    <t xml:space="preserve"> DT HINO G 378</t>
  </si>
  <si>
    <t xml:space="preserve"> DT HINO G 380</t>
  </si>
  <si>
    <t xml:space="preserve"> DT HINO G 381</t>
  </si>
  <si>
    <t xml:space="preserve"> DT HINO G 382</t>
  </si>
  <si>
    <t xml:space="preserve"> DT HINO G 383</t>
  </si>
  <si>
    <t xml:space="preserve"> DT HINO G 385</t>
  </si>
  <si>
    <t xml:space="preserve"> DT HINO G 386</t>
  </si>
  <si>
    <t xml:space="preserve"> DT HINO G 387</t>
  </si>
  <si>
    <t xml:space="preserve"> DT HINO G 388</t>
  </si>
  <si>
    <t xml:space="preserve"> DT HINO G 389</t>
  </si>
  <si>
    <t xml:space="preserve"> DT HINO G 390</t>
  </si>
  <si>
    <t xml:space="preserve"> DT HINO G 391</t>
  </si>
  <si>
    <t xml:space="preserve"> DT HINO G 392</t>
  </si>
  <si>
    <t xml:space="preserve"> DT HINO G 393</t>
  </si>
  <si>
    <t xml:space="preserve"> DT HINO G 394</t>
  </si>
  <si>
    <t>NOTE</t>
  </si>
  <si>
    <t>3 hari tidak ada kegiatan, karena grade pengiriman drop</t>
  </si>
  <si>
    <t>terjadi penurunan dikarenakan produksi ore menurun</t>
  </si>
  <si>
    <t>April 2023</t>
  </si>
  <si>
    <t>KOMATSU PC 300 - 07</t>
  </si>
  <si>
    <t>KOBELCO SK 330 - 12</t>
  </si>
  <si>
    <t>WELDER CAR</t>
  </si>
  <si>
    <r>
      <rPr>
        <b/>
        <sz val="26"/>
        <color theme="5"/>
        <rFont val="Calibri"/>
        <family val="2"/>
        <scheme val="minor"/>
      </rPr>
      <t>MINING COST</t>
    </r>
    <r>
      <rPr>
        <b/>
        <sz val="26"/>
        <color theme="9" tint="-0.249977111117893"/>
        <rFont val="Calibri"/>
        <family val="2"/>
        <scheme val="minor"/>
      </rPr>
      <t xml:space="preserve"> </t>
    </r>
    <r>
      <rPr>
        <b/>
        <sz val="26"/>
        <color theme="0"/>
        <rFont val="Calibri"/>
        <family val="2"/>
        <scheme val="minor"/>
      </rPr>
      <t>(APRIL)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</si>
</sst>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Rp&quot;* #,##0_);_(&quot;Rp&quot;* \(#,##0\);_(&quot;Rp&quot;* &quot;-&quot;_);_(@_)"/>
    <numFmt numFmtId="165" formatCode="_(&quot;Rp&quot;* #,##0.00_);_(&quot;Rp&quot;* \(#,##0.00\);_(&quot;Rp&quot;* &quot;-&quot;??_);_(@_)"/>
    <numFmt numFmtId="166" formatCode="_(* #,##0_);_(* \(#,##0\);_(* &quot;-&quot;??_);_(@_)"/>
    <numFmt numFmtId="167" formatCode="_(* #,##0.00_);_(* \(#,##0.00\);_(* \-??_);_(@_)"/>
    <numFmt numFmtId="168" formatCode="_-* #,##0.00_-;\-* #,##0.00_-;_-* &quot;-&quot;??_-;_-@_-"/>
    <numFmt numFmtId="169" formatCode="_([$$-409]* #,##0.00_);_([$$-409]* \(#,##0.00\);_([$$-409]* &quot;-&quot;??_);_(@_)"/>
    <numFmt numFmtId="170" formatCode="_-[$Rp-3809]* #,##0.00_-;\-[$Rp-3809]* #,##0.00_-;_-[$Rp-3809]* &quot;-&quot;??_-;_-@_-"/>
    <numFmt numFmtId="171" formatCode="_(* #,##0.0_);_(* \(#,##0.0\);_(* &quot;-&quot;??_);_(@_)"/>
    <numFmt numFmtId="172" formatCode="[$-409]mmmm\ d\,\ yyyy;@"/>
    <numFmt numFmtId="173" formatCode="_-[$Rp-421]* #,##0.00_-;\-[$Rp-421]* #,##0.00_-;_-[$Rp-421]* &quot;-&quot;??_-;_-@_-"/>
  </numFmts>
  <fonts count="5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indexed="10"/>
      <name val="Calibri"/>
      <family val="2"/>
    </font>
    <font>
      <b/>
      <sz val="11"/>
      <color rgb="FFFFFF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8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u val="singleAccounting"/>
      <sz val="12"/>
      <color rgb="FFFFFF00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u/>
      <sz val="12"/>
      <color theme="0"/>
      <name val="Calibri"/>
      <family val="2"/>
      <scheme val="minor"/>
    </font>
    <font>
      <b/>
      <u val="singleAccounting"/>
      <sz val="11"/>
      <color theme="0"/>
      <name val="Calibri"/>
      <family val="2"/>
      <scheme val="minor"/>
    </font>
    <font>
      <b/>
      <sz val="14"/>
      <color rgb="FFFFFF0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i/>
      <sz val="22"/>
      <color rgb="FFFFFF00"/>
      <name val="Calibri"/>
      <family val="2"/>
      <scheme val="minor"/>
    </font>
    <font>
      <b/>
      <sz val="26"/>
      <color theme="9" tint="-0.249977111117893"/>
      <name val="Calibri"/>
      <family val="2"/>
      <scheme val="minor"/>
    </font>
    <font>
      <b/>
      <sz val="26"/>
      <color theme="5"/>
      <name val="Calibri"/>
      <family val="2"/>
      <scheme val="minor"/>
    </font>
    <font>
      <b/>
      <sz val="26"/>
      <color theme="0"/>
      <name val="Calibri"/>
      <family val="2"/>
      <scheme val="minor"/>
    </font>
    <font>
      <b/>
      <i/>
      <sz val="18"/>
      <color theme="0"/>
      <name val="Calibri"/>
      <family val="2"/>
      <scheme val="minor"/>
    </font>
    <font>
      <b/>
      <sz val="28"/>
      <color rgb="FFFF0000"/>
      <name val="Calibri"/>
      <family val="2"/>
      <scheme val="minor"/>
    </font>
    <font>
      <b/>
      <i/>
      <sz val="10"/>
      <color theme="0"/>
      <name val="Calibri"/>
      <family val="2"/>
      <scheme val="minor"/>
    </font>
    <font>
      <b/>
      <i/>
      <sz val="11"/>
      <color theme="0"/>
      <name val="Agency FB"/>
      <family val="2"/>
    </font>
    <font>
      <b/>
      <sz val="14"/>
      <color rgb="FF00B0F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sz val="10"/>
      <name val="Calibri"/>
      <family val="2"/>
      <scheme val="minor"/>
    </font>
    <font>
      <sz val="10"/>
      <name val="Arial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i/>
      <sz val="16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0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  <font>
      <b/>
      <sz val="12"/>
      <color theme="9"/>
      <name val="Calibri"/>
      <family val="2"/>
      <scheme val="minor"/>
    </font>
    <font>
      <b/>
      <sz val="11"/>
      <color theme="9"/>
      <name val="Calibri"/>
      <family val="2"/>
      <scheme val="minor"/>
    </font>
    <font>
      <b/>
      <i/>
      <sz val="12"/>
      <color theme="0"/>
      <name val="Calibri"/>
      <family val="2"/>
      <scheme val="minor"/>
    </font>
    <font>
      <i/>
      <sz val="22"/>
      <color theme="1"/>
      <name val="Calibri"/>
      <family val="2"/>
      <scheme val="minor"/>
    </font>
    <font>
      <sz val="9"/>
      <name val="Times New Roman"/>
      <family val="1"/>
    </font>
    <font>
      <b/>
      <i/>
      <sz val="10"/>
      <name val="Calibri"/>
      <family val="2"/>
      <scheme val="minor"/>
    </font>
    <font>
      <sz val="12"/>
      <color theme="0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b/>
      <u val="singleAccounting"/>
      <sz val="12"/>
      <color theme="0"/>
      <name val="Calibri"/>
      <family val="2"/>
      <scheme val="minor"/>
    </font>
    <font>
      <sz val="12"/>
      <color rgb="FFFFFF0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57"/>
        <bgColor indexed="21"/>
      </patternFill>
    </fill>
    <fill>
      <patternFill patternType="solid">
        <fgColor rgb="FF00B0F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6A36DE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/>
        <bgColor indexed="64"/>
      </patternFill>
    </fill>
  </fills>
  <borders count="6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/>
      <top style="thin">
        <color theme="0"/>
      </top>
      <bottom/>
      <diagonal/>
    </border>
  </borders>
  <cellStyleXfs count="24">
    <xf numFmtId="0" fontId="0" fillId="0" borderId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3" fillId="0" borderId="0"/>
    <xf numFmtId="168" fontId="1" fillId="0" borderId="0" applyFont="0" applyFill="0" applyBorder="0" applyAlignment="0" applyProtection="0"/>
    <xf numFmtId="164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38" fillId="0" borderId="0"/>
    <xf numFmtId="0" fontId="52" fillId="0" borderId="0"/>
    <xf numFmtId="0" fontId="38" fillId="0" borderId="0"/>
    <xf numFmtId="0" fontId="38" fillId="0" borderId="0"/>
    <xf numFmtId="0" fontId="38" fillId="0" borderId="0"/>
    <xf numFmtId="0" fontId="1" fillId="0" borderId="0"/>
    <xf numFmtId="0" fontId="13" fillId="0" borderId="0"/>
    <xf numFmtId="168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10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4" fillId="0" borderId="0" xfId="0" applyFont="1" applyAlignment="1">
      <alignment horizontal="center" vertical="center"/>
    </xf>
    <xf numFmtId="43" fontId="0" fillId="0" borderId="0" xfId="0" applyNumberFormat="1" applyAlignment="1">
      <alignment horizontal="center" vertical="center"/>
    </xf>
    <xf numFmtId="43" fontId="2" fillId="0" borderId="0" xfId="0" applyNumberFormat="1" applyFont="1" applyAlignment="1">
      <alignment horizontal="center" vertical="center"/>
    </xf>
    <xf numFmtId="0" fontId="0" fillId="0" borderId="0" xfId="0" quotePrefix="1" applyAlignment="1">
      <alignment horizontal="center" vertical="center"/>
    </xf>
    <xf numFmtId="167" fontId="2" fillId="0" borderId="0" xfId="0" applyNumberFormat="1" applyFont="1" applyAlignment="1">
      <alignment horizontal="center" vertical="center"/>
    </xf>
    <xf numFmtId="43" fontId="6" fillId="0" borderId="0" xfId="0" applyNumberFormat="1" applyFont="1" applyAlignment="1">
      <alignment horizontal="center" vertical="center"/>
    </xf>
    <xf numFmtId="167" fontId="7" fillId="0" borderId="0" xfId="0" applyNumberFormat="1" applyFont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166" fontId="0" fillId="0" borderId="0" xfId="0" applyNumberFormat="1" applyAlignment="1">
      <alignment horizontal="center" vertical="center"/>
    </xf>
    <xf numFmtId="0" fontId="2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43" fontId="0" fillId="0" borderId="0" xfId="1" applyFont="1" applyBorder="1" applyAlignment="1">
      <alignment horizontal="center" vertical="center"/>
    </xf>
    <xf numFmtId="4" fontId="12" fillId="0" borderId="0" xfId="0" applyNumberFormat="1" applyFont="1" applyAlignment="1">
      <alignment horizontal="center" vertical="center"/>
    </xf>
    <xf numFmtId="4" fontId="9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68" fontId="0" fillId="0" borderId="0" xfId="0" applyNumberFormat="1" applyAlignment="1">
      <alignment horizontal="center" vertical="center"/>
    </xf>
    <xf numFmtId="16" fontId="0" fillId="0" borderId="0" xfId="0" applyNumberFormat="1" applyAlignment="1">
      <alignment horizontal="center" vertical="center"/>
    </xf>
    <xf numFmtId="168" fontId="2" fillId="0" borderId="0" xfId="0" applyNumberFormat="1" applyFont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5" fontId="0" fillId="0" borderId="0" xfId="1" applyNumberFormat="1" applyFont="1" applyFill="1" applyBorder="1" applyAlignment="1">
      <alignment horizontal="center" vertical="center"/>
    </xf>
    <xf numFmtId="169" fontId="9" fillId="0" borderId="0" xfId="0" applyNumberFormat="1" applyFont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165" fontId="10" fillId="0" borderId="0" xfId="0" applyNumberFormat="1" applyFont="1" applyAlignment="1">
      <alignment horizontal="center" vertical="center"/>
    </xf>
    <xf numFmtId="165" fontId="9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165" fontId="9" fillId="0" borderId="0" xfId="3" applyNumberFormat="1" applyFont="1" applyBorder="1" applyAlignment="1">
      <alignment horizontal="center" vertical="center"/>
    </xf>
    <xf numFmtId="165" fontId="9" fillId="0" borderId="0" xfId="2" applyFont="1" applyBorder="1" applyAlignment="1">
      <alignment horizontal="center" vertical="center"/>
    </xf>
    <xf numFmtId="39" fontId="10" fillId="0" borderId="0" xfId="0" applyNumberFormat="1" applyFont="1" applyAlignment="1">
      <alignment horizontal="center" vertical="center"/>
    </xf>
    <xf numFmtId="0" fontId="15" fillId="7" borderId="0" xfId="0" applyFont="1" applyFill="1" applyAlignment="1">
      <alignment horizontal="center" vertical="center"/>
    </xf>
    <xf numFmtId="4" fontId="16" fillId="0" borderId="0" xfId="0" applyNumberFormat="1" applyFont="1" applyAlignment="1">
      <alignment horizontal="center" vertical="center"/>
    </xf>
    <xf numFmtId="4" fontId="11" fillId="0" borderId="0" xfId="0" applyNumberFormat="1" applyFont="1" applyAlignment="1">
      <alignment horizontal="center" vertical="center"/>
    </xf>
    <xf numFmtId="0" fontId="6" fillId="0" borderId="0" xfId="0" applyFont="1" applyAlignment="1">
      <alignment vertical="center"/>
    </xf>
    <xf numFmtId="0" fontId="15" fillId="10" borderId="0" xfId="0" applyFont="1" applyFill="1" applyAlignment="1">
      <alignment horizontal="center" vertical="center"/>
    </xf>
    <xf numFmtId="169" fontId="15" fillId="10" borderId="0" xfId="0" applyNumberFormat="1" applyFont="1" applyFill="1" applyAlignment="1">
      <alignment horizontal="center" vertical="center"/>
    </xf>
    <xf numFmtId="0" fontId="16" fillId="8" borderId="0" xfId="0" applyFont="1" applyFill="1" applyAlignment="1">
      <alignment horizontal="center" vertical="center"/>
    </xf>
    <xf numFmtId="4" fontId="16" fillId="8" borderId="0" xfId="0" applyNumberFormat="1" applyFont="1" applyFill="1" applyAlignment="1">
      <alignment horizontal="center" vertical="center"/>
    </xf>
    <xf numFmtId="165" fontId="16" fillId="8" borderId="0" xfId="3" applyNumberFormat="1" applyFont="1" applyFill="1" applyBorder="1" applyAlignment="1">
      <alignment horizontal="center" vertical="center"/>
    </xf>
    <xf numFmtId="165" fontId="16" fillId="8" borderId="0" xfId="0" applyNumberFormat="1" applyFont="1" applyFill="1" applyAlignment="1">
      <alignment horizontal="center" vertical="center"/>
    </xf>
    <xf numFmtId="165" fontId="16" fillId="8" borderId="0" xfId="2" applyFont="1" applyFill="1" applyBorder="1" applyAlignment="1">
      <alignment horizontal="center" vertical="center"/>
    </xf>
    <xf numFmtId="4" fontId="11" fillId="9" borderId="0" xfId="0" applyNumberFormat="1" applyFont="1" applyFill="1" applyAlignment="1">
      <alignment horizontal="center" vertical="center"/>
    </xf>
    <xf numFmtId="165" fontId="11" fillId="9" borderId="0" xfId="0" applyNumberFormat="1" applyFont="1" applyFill="1" applyAlignment="1">
      <alignment horizontal="center" vertical="center"/>
    </xf>
    <xf numFmtId="165" fontId="11" fillId="9" borderId="0" xfId="2" applyFont="1" applyFill="1" applyBorder="1" applyAlignment="1">
      <alignment horizontal="center" vertical="center"/>
    </xf>
    <xf numFmtId="169" fontId="16" fillId="8" borderId="0" xfId="2" applyNumberFormat="1" applyFont="1" applyFill="1" applyBorder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165" fontId="2" fillId="9" borderId="0" xfId="0" applyNumberFormat="1" applyFont="1" applyFill="1" applyAlignment="1">
      <alignment horizontal="center" vertical="center"/>
    </xf>
    <xf numFmtId="169" fontId="37" fillId="0" borderId="0" xfId="2" applyNumberFormat="1" applyFont="1" applyBorder="1" applyAlignment="1">
      <alignment vertical="center"/>
    </xf>
    <xf numFmtId="170" fontId="37" fillId="0" borderId="0" xfId="0" applyNumberFormat="1" applyFont="1" applyAlignment="1">
      <alignment horizontal="center" vertical="center"/>
    </xf>
    <xf numFmtId="173" fontId="37" fillId="0" borderId="0" xfId="2" applyNumberFormat="1" applyFont="1" applyAlignment="1">
      <alignment horizontal="center" vertical="center"/>
    </xf>
    <xf numFmtId="169" fontId="37" fillId="0" borderId="0" xfId="3" applyNumberFormat="1" applyFont="1" applyBorder="1" applyAlignment="1">
      <alignment vertical="center"/>
    </xf>
    <xf numFmtId="169" fontId="37" fillId="0" borderId="0" xfId="13" applyNumberFormat="1" applyFont="1" applyAlignment="1">
      <alignment vertical="center"/>
    </xf>
    <xf numFmtId="169" fontId="37" fillId="0" borderId="0" xfId="13" applyNumberFormat="1" applyFont="1" applyAlignment="1">
      <alignment horizontal="center" vertical="center"/>
    </xf>
    <xf numFmtId="0" fontId="39" fillId="11" borderId="1" xfId="0" applyFont="1" applyFill="1" applyBorder="1" applyAlignment="1">
      <alignment horizontal="center" vertical="center"/>
    </xf>
    <xf numFmtId="0" fontId="39" fillId="11" borderId="2" xfId="0" applyFont="1" applyFill="1" applyBorder="1" applyAlignment="1">
      <alignment horizontal="center" vertical="center"/>
    </xf>
    <xf numFmtId="165" fontId="37" fillId="0" borderId="0" xfId="2" applyFont="1" applyAlignment="1">
      <alignment horizontal="center" vertical="center"/>
    </xf>
    <xf numFmtId="0" fontId="37" fillId="0" borderId="0" xfId="0" quotePrefix="1" applyFont="1" applyAlignment="1">
      <alignment horizontal="center" vertical="center"/>
    </xf>
    <xf numFmtId="170" fontId="16" fillId="8" borderId="0" xfId="0" applyNumberFormat="1" applyFont="1" applyFill="1" applyAlignment="1">
      <alignment horizontal="center" vertical="center"/>
    </xf>
    <xf numFmtId="170" fontId="2" fillId="9" borderId="0" xfId="0" applyNumberFormat="1" applyFont="1" applyFill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40" fillId="0" borderId="0" xfId="0" applyFont="1" applyAlignment="1">
      <alignment horizontal="center" vertical="center"/>
    </xf>
    <xf numFmtId="169" fontId="40" fillId="0" borderId="0" xfId="13" applyNumberFormat="1" applyFont="1" applyAlignment="1">
      <alignment horizontal="center" vertical="center"/>
    </xf>
    <xf numFmtId="170" fontId="40" fillId="0" borderId="0" xfId="0" applyNumberFormat="1" applyFont="1" applyAlignment="1">
      <alignment horizontal="center" vertical="center"/>
    </xf>
    <xf numFmtId="173" fontId="40" fillId="0" borderId="0" xfId="2" applyNumberFormat="1" applyFont="1" applyAlignment="1">
      <alignment horizontal="center" vertical="center"/>
    </xf>
    <xf numFmtId="0" fontId="42" fillId="0" borderId="0" xfId="0" applyFont="1" applyAlignment="1">
      <alignment horizontal="center" vertical="center"/>
    </xf>
    <xf numFmtId="0" fontId="43" fillId="5" borderId="0" xfId="0" quotePrefix="1" applyFont="1" applyFill="1" applyAlignment="1">
      <alignment horizontal="center" vertical="center"/>
    </xf>
    <xf numFmtId="0" fontId="43" fillId="5" borderId="0" xfId="0" applyFont="1" applyFill="1" applyAlignment="1">
      <alignment horizontal="center" vertical="center"/>
    </xf>
    <xf numFmtId="0" fontId="42" fillId="12" borderId="0" xfId="0" applyFont="1" applyFill="1" applyAlignment="1">
      <alignment horizontal="center" vertical="center"/>
    </xf>
    <xf numFmtId="43" fontId="44" fillId="12" borderId="0" xfId="0" applyNumberFormat="1" applyFont="1" applyFill="1" applyAlignment="1">
      <alignment horizontal="center" vertical="center"/>
    </xf>
    <xf numFmtId="0" fontId="44" fillId="0" borderId="0" xfId="0" applyFont="1" applyAlignment="1">
      <alignment horizontal="center" vertical="center"/>
    </xf>
    <xf numFmtId="0" fontId="42" fillId="13" borderId="0" xfId="0" applyFont="1" applyFill="1" applyAlignment="1">
      <alignment horizontal="center" vertical="center"/>
    </xf>
    <xf numFmtId="43" fontId="44" fillId="13" borderId="0" xfId="0" applyNumberFormat="1" applyFont="1" applyFill="1" applyAlignment="1">
      <alignment horizontal="center" vertical="center"/>
    </xf>
    <xf numFmtId="0" fontId="42" fillId="4" borderId="0" xfId="0" applyFont="1" applyFill="1" applyAlignment="1">
      <alignment horizontal="center" vertical="center"/>
    </xf>
    <xf numFmtId="43" fontId="44" fillId="4" borderId="0" xfId="0" applyNumberFormat="1" applyFont="1" applyFill="1" applyAlignment="1">
      <alignment horizontal="center" vertical="center"/>
    </xf>
    <xf numFmtId="43" fontId="44" fillId="0" borderId="0" xfId="0" applyNumberFormat="1" applyFont="1" applyAlignment="1">
      <alignment horizontal="center" vertical="center"/>
    </xf>
    <xf numFmtId="170" fontId="44" fillId="0" borderId="0" xfId="0" applyNumberFormat="1" applyFont="1" applyAlignment="1">
      <alignment horizontal="center" vertical="center"/>
    </xf>
    <xf numFmtId="170" fontId="45" fillId="5" borderId="0" xfId="0" applyNumberFormat="1" applyFont="1" applyFill="1" applyAlignment="1">
      <alignment horizontal="center" vertical="center"/>
    </xf>
    <xf numFmtId="9" fontId="44" fillId="0" borderId="0" xfId="3" applyFont="1" applyAlignment="1">
      <alignment horizontal="center" vertical="center"/>
    </xf>
    <xf numFmtId="4" fontId="44" fillId="0" borderId="0" xfId="0" applyNumberFormat="1" applyFont="1" applyAlignment="1">
      <alignment horizontal="center" vertical="center"/>
    </xf>
    <xf numFmtId="0" fontId="43" fillId="14" borderId="0" xfId="0" applyFont="1" applyFill="1" applyAlignment="1">
      <alignment horizontal="center" vertical="center"/>
    </xf>
    <xf numFmtId="169" fontId="45" fillId="14" borderId="0" xfId="2" applyNumberFormat="1" applyFont="1" applyFill="1" applyAlignment="1">
      <alignment horizontal="center" vertical="center"/>
    </xf>
    <xf numFmtId="0" fontId="43" fillId="15" borderId="0" xfId="0" applyFont="1" applyFill="1" applyAlignment="1">
      <alignment horizontal="center" vertical="center"/>
    </xf>
    <xf numFmtId="9" fontId="45" fillId="15" borderId="0" xfId="3" applyFont="1" applyFill="1" applyAlignment="1">
      <alignment horizontal="center" vertical="center"/>
    </xf>
    <xf numFmtId="9" fontId="43" fillId="15" borderId="0" xfId="3" applyFont="1" applyFill="1" applyAlignment="1">
      <alignment horizontal="center" vertical="center"/>
    </xf>
    <xf numFmtId="0" fontId="46" fillId="16" borderId="0" xfId="0" applyFont="1" applyFill="1" applyAlignment="1">
      <alignment horizontal="center" vertical="center"/>
    </xf>
    <xf numFmtId="43" fontId="47" fillId="16" borderId="0" xfId="1" applyFont="1" applyFill="1" applyAlignment="1">
      <alignment horizontal="center" vertical="center"/>
    </xf>
    <xf numFmtId="43" fontId="42" fillId="12" borderId="0" xfId="0" applyNumberFormat="1" applyFont="1" applyFill="1" applyAlignment="1">
      <alignment horizontal="center" vertical="center"/>
    </xf>
    <xf numFmtId="43" fontId="42" fillId="13" borderId="0" xfId="0" applyNumberFormat="1" applyFont="1" applyFill="1" applyAlignment="1">
      <alignment horizontal="center" vertical="center"/>
    </xf>
    <xf numFmtId="43" fontId="42" fillId="4" borderId="0" xfId="0" applyNumberFormat="1" applyFont="1" applyFill="1" applyAlignment="1">
      <alignment horizontal="center" vertical="center"/>
    </xf>
    <xf numFmtId="43" fontId="42" fillId="0" borderId="0" xfId="0" applyNumberFormat="1" applyFont="1" applyAlignment="1">
      <alignment horizontal="center" vertical="center"/>
    </xf>
    <xf numFmtId="170" fontId="42" fillId="0" borderId="0" xfId="0" applyNumberFormat="1" applyFont="1" applyAlignment="1">
      <alignment horizontal="center" vertical="center"/>
    </xf>
    <xf numFmtId="170" fontId="43" fillId="5" borderId="0" xfId="0" applyNumberFormat="1" applyFont="1" applyFill="1" applyAlignment="1">
      <alignment horizontal="center" vertical="center"/>
    </xf>
    <xf numFmtId="43" fontId="46" fillId="16" borderId="0" xfId="1" applyFont="1" applyFill="1" applyAlignment="1">
      <alignment horizontal="center" vertical="center"/>
    </xf>
    <xf numFmtId="9" fontId="42" fillId="0" borderId="0" xfId="3" applyFont="1" applyAlignment="1">
      <alignment horizontal="center" vertical="center"/>
    </xf>
    <xf numFmtId="4" fontId="42" fillId="0" borderId="0" xfId="0" applyNumberFormat="1" applyFont="1" applyAlignment="1">
      <alignment horizontal="center" vertical="center"/>
    </xf>
    <xf numFmtId="169" fontId="43" fillId="14" borderId="0" xfId="2" applyNumberFormat="1" applyFont="1" applyFill="1" applyAlignment="1">
      <alignment horizontal="center" vertical="center"/>
    </xf>
    <xf numFmtId="0" fontId="42" fillId="9" borderId="0" xfId="0" applyFont="1" applyFill="1" applyAlignment="1">
      <alignment horizontal="center" vertical="center"/>
    </xf>
    <xf numFmtId="43" fontId="44" fillId="9" borderId="0" xfId="0" applyNumberFormat="1" applyFont="1" applyFill="1" applyAlignment="1">
      <alignment horizontal="center" vertical="center"/>
    </xf>
    <xf numFmtId="43" fontId="42" fillId="9" borderId="0" xfId="0" applyNumberFormat="1" applyFont="1" applyFill="1" applyAlignment="1">
      <alignment horizontal="center" vertical="center"/>
    </xf>
    <xf numFmtId="165" fontId="43" fillId="14" borderId="0" xfId="2" applyFont="1" applyFill="1" applyAlignment="1">
      <alignment horizontal="center" vertical="center"/>
    </xf>
    <xf numFmtId="165" fontId="45" fillId="14" borderId="0" xfId="2" applyFont="1" applyFill="1" applyAlignment="1">
      <alignment horizontal="center" vertical="center"/>
    </xf>
    <xf numFmtId="165" fontId="44" fillId="0" borderId="0" xfId="2" applyFont="1" applyAlignment="1">
      <alignment horizontal="center" vertical="center"/>
    </xf>
    <xf numFmtId="0" fontId="17" fillId="5" borderId="0" xfId="0" applyFont="1" applyFill="1" applyAlignment="1">
      <alignment vertical="center"/>
    </xf>
    <xf numFmtId="10" fontId="44" fillId="0" borderId="0" xfId="3" applyNumberFormat="1" applyFont="1" applyAlignment="1">
      <alignment horizontal="center" vertical="center"/>
    </xf>
    <xf numFmtId="0" fontId="19" fillId="5" borderId="0" xfId="0" applyFont="1" applyFill="1" applyAlignment="1">
      <alignment vertical="center"/>
    </xf>
    <xf numFmtId="43" fontId="19" fillId="5" borderId="0" xfId="1" applyFont="1" applyFill="1" applyBorder="1" applyAlignment="1">
      <alignment vertical="center"/>
    </xf>
    <xf numFmtId="9" fontId="19" fillId="5" borderId="0" xfId="0" applyNumberFormat="1" applyFont="1" applyFill="1" applyAlignment="1">
      <alignment vertical="center"/>
    </xf>
    <xf numFmtId="0" fontId="17" fillId="5" borderId="0" xfId="0" applyFont="1" applyFill="1" applyAlignment="1">
      <alignment horizontal="right" vertical="center"/>
    </xf>
    <xf numFmtId="171" fontId="19" fillId="5" borderId="0" xfId="1" applyNumberFormat="1" applyFont="1" applyFill="1" applyBorder="1" applyAlignment="1">
      <alignment vertical="center"/>
    </xf>
    <xf numFmtId="0" fontId="34" fillId="5" borderId="0" xfId="0" applyFont="1" applyFill="1" applyAlignment="1">
      <alignment horizontal="left" vertical="center"/>
    </xf>
    <xf numFmtId="0" fontId="19" fillId="5" borderId="0" xfId="0" applyFont="1" applyFill="1" applyAlignment="1">
      <alignment horizontal="left" vertical="center"/>
    </xf>
    <xf numFmtId="0" fontId="19" fillId="5" borderId="0" xfId="0" applyFont="1" applyFill="1" applyAlignment="1">
      <alignment horizontal="right" vertical="center"/>
    </xf>
    <xf numFmtId="4" fontId="19" fillId="5" borderId="0" xfId="0" applyNumberFormat="1" applyFont="1" applyFill="1" applyAlignment="1">
      <alignment vertical="center"/>
    </xf>
    <xf numFmtId="43" fontId="19" fillId="5" borderId="0" xfId="0" applyNumberFormat="1" applyFont="1" applyFill="1" applyAlignment="1">
      <alignment vertical="center"/>
    </xf>
    <xf numFmtId="43" fontId="20" fillId="5" borderId="0" xfId="1" applyFont="1" applyFill="1" applyBorder="1" applyAlignment="1">
      <alignment vertical="center"/>
    </xf>
    <xf numFmtId="43" fontId="21" fillId="5" borderId="0" xfId="1" applyFont="1" applyFill="1" applyBorder="1" applyAlignment="1">
      <alignment horizontal="center" vertical="center"/>
    </xf>
    <xf numFmtId="0" fontId="22" fillId="5" borderId="0" xfId="0" applyFont="1" applyFill="1" applyAlignment="1">
      <alignment vertical="center"/>
    </xf>
    <xf numFmtId="4" fontId="23" fillId="5" borderId="0" xfId="0" applyNumberFormat="1" applyFont="1" applyFill="1" applyAlignment="1">
      <alignment horizontal="right" vertical="center"/>
    </xf>
    <xf numFmtId="43" fontId="21" fillId="5" borderId="0" xfId="1" applyFont="1" applyFill="1" applyBorder="1" applyAlignment="1">
      <alignment vertical="center"/>
    </xf>
    <xf numFmtId="4" fontId="21" fillId="5" borderId="0" xfId="1" applyNumberFormat="1" applyFont="1" applyFill="1" applyBorder="1" applyAlignment="1">
      <alignment horizontal="right" vertical="center"/>
    </xf>
    <xf numFmtId="10" fontId="19" fillId="5" borderId="0" xfId="3" applyNumberFormat="1" applyFont="1" applyFill="1" applyBorder="1" applyAlignment="1">
      <alignment horizontal="right" vertical="center"/>
    </xf>
    <xf numFmtId="165" fontId="19" fillId="5" borderId="0" xfId="2" applyFont="1" applyFill="1" applyBorder="1" applyAlignment="1">
      <alignment horizontal="left" vertical="center"/>
    </xf>
    <xf numFmtId="169" fontId="17" fillId="5" borderId="0" xfId="2" applyNumberFormat="1" applyFont="1" applyFill="1" applyBorder="1" applyAlignment="1">
      <alignment horizontal="center" vertical="center"/>
    </xf>
    <xf numFmtId="10" fontId="50" fillId="5" borderId="0" xfId="0" applyNumberFormat="1" applyFont="1" applyFill="1" applyAlignment="1">
      <alignment horizontal="right" vertical="center"/>
    </xf>
    <xf numFmtId="165" fontId="50" fillId="5" borderId="0" xfId="2" applyFont="1" applyFill="1" applyBorder="1" applyAlignment="1">
      <alignment horizontal="right" vertical="center"/>
    </xf>
    <xf numFmtId="169" fontId="50" fillId="5" borderId="0" xfId="0" applyNumberFormat="1" applyFont="1" applyFill="1" applyAlignment="1">
      <alignment horizontal="right" vertical="center"/>
    </xf>
    <xf numFmtId="0" fontId="8" fillId="5" borderId="0" xfId="0" applyFont="1" applyFill="1" applyAlignment="1">
      <alignment vertical="center"/>
    </xf>
    <xf numFmtId="4" fontId="8" fillId="5" borderId="0" xfId="0" applyNumberFormat="1" applyFont="1" applyFill="1" applyAlignment="1">
      <alignment horizontal="right" vertical="center"/>
    </xf>
    <xf numFmtId="0" fontId="48" fillId="5" borderId="0" xfId="0" applyFont="1" applyFill="1" applyAlignment="1">
      <alignment vertical="center"/>
    </xf>
    <xf numFmtId="165" fontId="48" fillId="5" borderId="0" xfId="2" applyFont="1" applyFill="1" applyBorder="1" applyAlignment="1">
      <alignment horizontal="left" vertical="center"/>
    </xf>
    <xf numFmtId="169" fontId="49" fillId="5" borderId="0" xfId="2" applyNumberFormat="1" applyFont="1" applyFill="1" applyBorder="1" applyAlignment="1">
      <alignment horizontal="center" vertical="center"/>
    </xf>
    <xf numFmtId="166" fontId="24" fillId="5" borderId="0" xfId="1" applyNumberFormat="1" applyFont="1" applyFill="1" applyBorder="1" applyAlignment="1">
      <alignment horizontal="left" vertical="center"/>
    </xf>
    <xf numFmtId="4" fontId="24" fillId="5" borderId="0" xfId="1" applyNumberFormat="1" applyFont="1" applyFill="1" applyBorder="1" applyAlignment="1">
      <alignment horizontal="right" vertical="center"/>
    </xf>
    <xf numFmtId="0" fontId="25" fillId="5" borderId="0" xfId="0" applyFont="1" applyFill="1" applyAlignment="1">
      <alignment vertical="center"/>
    </xf>
    <xf numFmtId="0" fontId="49" fillId="5" borderId="0" xfId="0" applyFont="1" applyFill="1" applyAlignment="1">
      <alignment horizontal="right" vertical="center"/>
    </xf>
    <xf numFmtId="4" fontId="24" fillId="5" borderId="0" xfId="0" applyNumberFormat="1" applyFont="1" applyFill="1" applyAlignment="1">
      <alignment horizontal="right" vertical="center"/>
    </xf>
    <xf numFmtId="169" fontId="48" fillId="5" borderId="0" xfId="2" applyNumberFormat="1" applyFont="1" applyFill="1" applyBorder="1" applyAlignment="1">
      <alignment horizontal="center" vertical="center"/>
    </xf>
    <xf numFmtId="0" fontId="49" fillId="5" borderId="0" xfId="0" applyFont="1" applyFill="1" applyAlignment="1">
      <alignment vertical="center"/>
    </xf>
    <xf numFmtId="0" fontId="35" fillId="5" borderId="0" xfId="0" applyFont="1" applyFill="1" applyAlignment="1">
      <alignment vertical="center"/>
    </xf>
    <xf numFmtId="0" fontId="36" fillId="5" borderId="0" xfId="0" applyFont="1" applyFill="1" applyAlignment="1">
      <alignment horizontal="right" vertical="center"/>
    </xf>
    <xf numFmtId="165" fontId="35" fillId="5" borderId="0" xfId="2" applyFont="1" applyFill="1" applyBorder="1" applyAlignment="1">
      <alignment horizontal="left" vertical="center"/>
    </xf>
    <xf numFmtId="4" fontId="17" fillId="5" borderId="0" xfId="0" applyNumberFormat="1" applyFont="1" applyFill="1" applyAlignment="1">
      <alignment horizontal="right" vertical="center"/>
    </xf>
    <xf numFmtId="169" fontId="35" fillId="5" borderId="0" xfId="2" applyNumberFormat="1" applyFont="1" applyFill="1" applyBorder="1" applyAlignment="1">
      <alignment vertical="center"/>
    </xf>
    <xf numFmtId="0" fontId="31" fillId="5" borderId="0" xfId="0" applyFont="1" applyFill="1" applyAlignment="1">
      <alignment horizontal="center" vertical="center"/>
    </xf>
    <xf numFmtId="4" fontId="41" fillId="5" borderId="0" xfId="1" applyNumberFormat="1" applyFont="1" applyFill="1" applyBorder="1" applyAlignment="1">
      <alignment horizontal="right" vertical="center"/>
    </xf>
    <xf numFmtId="169" fontId="35" fillId="5" borderId="0" xfId="2" applyNumberFormat="1" applyFont="1" applyFill="1" applyBorder="1" applyAlignment="1">
      <alignment horizontal="right" vertical="center"/>
    </xf>
    <xf numFmtId="10" fontId="42" fillId="0" borderId="0" xfId="3" applyNumberFormat="1" applyFont="1" applyAlignment="1">
      <alignment horizontal="center" vertical="center"/>
    </xf>
    <xf numFmtId="10" fontId="42" fillId="0" borderId="0" xfId="0" applyNumberFormat="1" applyFont="1" applyAlignment="1">
      <alignment horizontal="center" vertical="center"/>
    </xf>
    <xf numFmtId="43" fontId="0" fillId="0" borderId="0" xfId="0" applyNumberFormat="1" applyAlignment="1">
      <alignment vertical="center"/>
    </xf>
    <xf numFmtId="0" fontId="53" fillId="0" borderId="0" xfId="0" applyFont="1" applyAlignment="1">
      <alignment horizontal="center" vertical="center"/>
    </xf>
    <xf numFmtId="0" fontId="17" fillId="5" borderId="3" xfId="0" applyFont="1" applyFill="1" applyBorder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43" fontId="54" fillId="5" borderId="4" xfId="1" applyFont="1" applyFill="1" applyBorder="1" applyAlignment="1">
      <alignment vertical="center"/>
    </xf>
    <xf numFmtId="43" fontId="54" fillId="5" borderId="5" xfId="1" applyFont="1" applyFill="1" applyBorder="1" applyAlignment="1">
      <alignment vertical="center"/>
    </xf>
    <xf numFmtId="10" fontId="19" fillId="5" borderId="4" xfId="3" applyNumberFormat="1" applyFont="1" applyFill="1" applyBorder="1" applyAlignment="1">
      <alignment vertical="center"/>
    </xf>
    <xf numFmtId="43" fontId="54" fillId="5" borderId="3" xfId="1" applyFont="1" applyFill="1" applyBorder="1" applyAlignment="1">
      <alignment vertical="center"/>
    </xf>
    <xf numFmtId="43" fontId="54" fillId="5" borderId="0" xfId="1" applyFont="1" applyFill="1" applyBorder="1" applyAlignment="1">
      <alignment vertical="center"/>
    </xf>
    <xf numFmtId="10" fontId="19" fillId="5" borderId="3" xfId="3" applyNumberFormat="1" applyFont="1" applyFill="1" applyBorder="1" applyAlignment="1">
      <alignment vertical="center"/>
    </xf>
    <xf numFmtId="9" fontId="19" fillId="5" borderId="0" xfId="0" applyNumberFormat="1" applyFont="1" applyFill="1" applyAlignment="1">
      <alignment horizontal="right" vertical="center"/>
    </xf>
    <xf numFmtId="165" fontId="19" fillId="5" borderId="0" xfId="2" applyFont="1" applyFill="1" applyBorder="1" applyAlignment="1">
      <alignment horizontal="right" vertical="center"/>
    </xf>
    <xf numFmtId="0" fontId="55" fillId="5" borderId="0" xfId="0" applyFont="1" applyFill="1" applyAlignment="1">
      <alignment horizontal="left" vertical="center"/>
    </xf>
    <xf numFmtId="43" fontId="54" fillId="5" borderId="0" xfId="1" applyFont="1" applyFill="1" applyAlignment="1">
      <alignment vertical="center"/>
    </xf>
    <xf numFmtId="10" fontId="19" fillId="5" borderId="0" xfId="3" applyNumberFormat="1" applyFont="1" applyFill="1" applyBorder="1" applyAlignment="1">
      <alignment vertical="center"/>
    </xf>
    <xf numFmtId="0" fontId="54" fillId="5" borderId="0" xfId="0" applyFont="1" applyFill="1" applyAlignment="1">
      <alignment vertical="center"/>
    </xf>
    <xf numFmtId="171" fontId="54" fillId="5" borderId="0" xfId="1" applyNumberFormat="1" applyFont="1" applyFill="1" applyBorder="1" applyAlignment="1">
      <alignment vertical="center"/>
    </xf>
    <xf numFmtId="0" fontId="19" fillId="5" borderId="0" xfId="0" applyFont="1" applyFill="1" applyAlignment="1">
      <alignment horizontal="center" vertical="center"/>
    </xf>
    <xf numFmtId="0" fontId="19" fillId="5" borderId="3" xfId="0" applyFont="1" applyFill="1" applyBorder="1" applyAlignment="1">
      <alignment horizontal="left" vertical="center"/>
    </xf>
    <xf numFmtId="4" fontId="19" fillId="5" borderId="3" xfId="0" applyNumberFormat="1" applyFont="1" applyFill="1" applyBorder="1" applyAlignment="1">
      <alignment vertical="center"/>
    </xf>
    <xf numFmtId="0" fontId="19" fillId="5" borderId="3" xfId="0" applyFont="1" applyFill="1" applyBorder="1" applyAlignment="1">
      <alignment horizontal="right" vertical="center"/>
    </xf>
    <xf numFmtId="43" fontId="54" fillId="5" borderId="3" xfId="0" applyNumberFormat="1" applyFont="1" applyFill="1" applyBorder="1" applyAlignment="1">
      <alignment vertical="center"/>
    </xf>
    <xf numFmtId="0" fontId="17" fillId="5" borderId="3" xfId="0" applyFont="1" applyFill="1" applyBorder="1" applyAlignment="1">
      <alignment horizontal="right" vertical="center"/>
    </xf>
    <xf numFmtId="0" fontId="56" fillId="5" borderId="0" xfId="1" applyNumberFormat="1" applyFont="1" applyFill="1" applyBorder="1" applyAlignment="1">
      <alignment horizontal="left" vertical="center"/>
    </xf>
    <xf numFmtId="10" fontId="44" fillId="0" borderId="0" xfId="3" applyNumberFormat="1" applyFont="1" applyFill="1" applyAlignment="1">
      <alignment horizontal="center" vertical="center"/>
    </xf>
    <xf numFmtId="10" fontId="47" fillId="16" borderId="0" xfId="1" applyNumberFormat="1" applyFont="1" applyFill="1" applyAlignment="1">
      <alignment horizontal="center" vertical="center"/>
    </xf>
    <xf numFmtId="10" fontId="46" fillId="16" borderId="0" xfId="3" applyNumberFormat="1" applyFont="1" applyFill="1" applyAlignment="1">
      <alignment horizontal="center" vertical="center"/>
    </xf>
    <xf numFmtId="10" fontId="0" fillId="0" borderId="0" xfId="0" applyNumberFormat="1" applyAlignment="1">
      <alignment vertical="center"/>
    </xf>
    <xf numFmtId="0" fontId="44" fillId="0" borderId="0" xfId="0" applyFont="1" applyAlignment="1">
      <alignment horizontal="right" vertical="center"/>
    </xf>
    <xf numFmtId="0" fontId="44" fillId="0" borderId="0" xfId="0" applyFont="1" applyAlignment="1">
      <alignment horizontal="left" vertical="center"/>
    </xf>
    <xf numFmtId="165" fontId="57" fillId="5" borderId="0" xfId="2" applyFont="1" applyFill="1" applyBorder="1" applyAlignment="1">
      <alignment horizontal="center" vertical="center"/>
    </xf>
    <xf numFmtId="0" fontId="28" fillId="6" borderId="0" xfId="0" applyFont="1" applyFill="1" applyAlignment="1">
      <alignment horizontal="center" vertical="center"/>
    </xf>
    <xf numFmtId="0" fontId="18" fillId="17" borderId="0" xfId="0" applyFont="1" applyFill="1" applyAlignment="1">
      <alignment horizontal="center" vertical="center" wrapText="1"/>
    </xf>
    <xf numFmtId="172" fontId="18" fillId="17" borderId="0" xfId="0" quotePrefix="1" applyNumberFormat="1" applyFont="1" applyFill="1" applyAlignment="1">
      <alignment horizontal="center" vertical="center"/>
    </xf>
    <xf numFmtId="0" fontId="27" fillId="5" borderId="0" xfId="0" applyFont="1" applyFill="1" applyAlignment="1">
      <alignment horizontal="left" vertical="center"/>
    </xf>
    <xf numFmtId="0" fontId="19" fillId="5" borderId="0" xfId="0" applyFont="1" applyFill="1" applyAlignment="1">
      <alignment horizontal="center" vertical="center"/>
    </xf>
    <xf numFmtId="0" fontId="32" fillId="5" borderId="0" xfId="0" applyFont="1" applyFill="1" applyAlignment="1">
      <alignment horizontal="center" vertical="center"/>
    </xf>
    <xf numFmtId="165" fontId="48" fillId="5" borderId="0" xfId="2" applyFont="1" applyFill="1" applyBorder="1" applyAlignment="1">
      <alignment horizontal="center" vertical="center"/>
    </xf>
    <xf numFmtId="165" fontId="24" fillId="5" borderId="0" xfId="2" applyFont="1" applyFill="1" applyAlignment="1">
      <alignment horizontal="center" vertical="center"/>
    </xf>
    <xf numFmtId="169" fontId="48" fillId="5" borderId="0" xfId="2" applyNumberFormat="1" applyFont="1" applyFill="1" applyBorder="1" applyAlignment="1">
      <alignment horizontal="center" vertical="center"/>
    </xf>
    <xf numFmtId="165" fontId="35" fillId="5" borderId="0" xfId="2" applyFont="1" applyFill="1" applyBorder="1" applyAlignment="1">
      <alignment horizontal="center" vertical="center"/>
    </xf>
    <xf numFmtId="0" fontId="41" fillId="5" borderId="0" xfId="0" applyFont="1" applyFill="1" applyAlignment="1">
      <alignment horizontal="center" vertical="center"/>
    </xf>
    <xf numFmtId="4" fontId="41" fillId="5" borderId="0" xfId="1" applyNumberFormat="1" applyFont="1" applyFill="1" applyBorder="1" applyAlignment="1">
      <alignment horizontal="right" vertical="center"/>
    </xf>
    <xf numFmtId="169" fontId="35" fillId="5" borderId="0" xfId="2" applyNumberFormat="1" applyFont="1" applyFill="1" applyBorder="1" applyAlignment="1">
      <alignment horizontal="center" vertical="center"/>
    </xf>
    <xf numFmtId="165" fontId="24" fillId="5" borderId="0" xfId="2" applyFont="1" applyFill="1" applyBorder="1" applyAlignment="1">
      <alignment horizontal="center" vertical="center"/>
    </xf>
    <xf numFmtId="172" fontId="18" fillId="17" borderId="0" xfId="0" applyNumberFormat="1" applyFont="1" applyFill="1" applyAlignment="1">
      <alignment horizontal="center" vertical="center"/>
    </xf>
    <xf numFmtId="0" fontId="51" fillId="5" borderId="0" xfId="0" applyFont="1" applyFill="1" applyAlignment="1">
      <alignment horizontal="left" vertical="center"/>
    </xf>
    <xf numFmtId="0" fontId="2" fillId="9" borderId="0" xfId="0" applyFont="1" applyFill="1" applyAlignment="1">
      <alignment horizontal="center" vertical="center"/>
    </xf>
    <xf numFmtId="0" fontId="15" fillId="10" borderId="0" xfId="0" applyFont="1" applyFill="1" applyAlignment="1">
      <alignment horizontal="center" vertical="center"/>
    </xf>
    <xf numFmtId="165" fontId="33" fillId="10" borderId="0" xfId="0" applyNumberFormat="1" applyFont="1" applyFill="1" applyAlignment="1">
      <alignment horizontal="center" vertical="center"/>
    </xf>
    <xf numFmtId="0" fontId="33" fillId="10" borderId="0" xfId="0" applyFont="1" applyFill="1" applyAlignment="1">
      <alignment horizontal="center" vertical="center"/>
    </xf>
    <xf numFmtId="0" fontId="26" fillId="7" borderId="0" xfId="0" applyFont="1" applyFill="1" applyAlignment="1">
      <alignment horizontal="center" vertical="center"/>
    </xf>
    <xf numFmtId="0" fontId="15" fillId="10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7" fillId="0" borderId="0" xfId="0" applyFont="1" applyAlignment="1">
      <alignment horizontal="center" vertical="center"/>
    </xf>
  </cellXfs>
  <cellStyles count="24">
    <cellStyle name="Comma" xfId="1" builtinId="3"/>
    <cellStyle name="Comma [0] 2" xfId="7" xr:uid="{00000000-0005-0000-0000-000001000000}"/>
    <cellStyle name="Comma [0] 2 2" xfId="8" xr:uid="{00000000-0005-0000-0000-000002000000}"/>
    <cellStyle name="Comma 2" xfId="9" xr:uid="{00000000-0005-0000-0000-000003000000}"/>
    <cellStyle name="Comma 2 2" xfId="20" xr:uid="{115642A9-8926-4932-A9CB-9B4E9364A726}"/>
    <cellStyle name="Comma 3" xfId="5" xr:uid="{00000000-0005-0000-0000-000004000000}"/>
    <cellStyle name="Comma 4" xfId="11" xr:uid="{00000000-0005-0000-0000-000005000000}"/>
    <cellStyle name="Comma 5" xfId="12" xr:uid="{00000000-0005-0000-0000-000006000000}"/>
    <cellStyle name="Currency" xfId="2" builtinId="4"/>
    <cellStyle name="Currency [0] 2" xfId="6" xr:uid="{00000000-0005-0000-0000-000008000000}"/>
    <cellStyle name="Currency 2" xfId="21" xr:uid="{D7D31DAA-C0E2-476A-98EF-34A13269575B}"/>
    <cellStyle name="Currency 3" xfId="22" xr:uid="{C2FCAA46-3712-4F0A-90C7-7411915D6D3A}"/>
    <cellStyle name="Currency 4" xfId="23" xr:uid="{999F0E8C-E825-4AF2-BEC7-F4FF9173C0B3}"/>
    <cellStyle name="Normal" xfId="0" builtinId="0"/>
    <cellStyle name="Normal 2" xfId="13" xr:uid="{B9408F9F-85CA-4941-867E-D56DDF541CAB}"/>
    <cellStyle name="Normal 2 12" xfId="10" xr:uid="{00000000-0005-0000-0000-00000A000000}"/>
    <cellStyle name="Normal 2 2" xfId="15" xr:uid="{CFDA85B8-1A35-4D3F-BA94-C861D6A59A9A}"/>
    <cellStyle name="Normal 2 3" xfId="14" xr:uid="{0A85DB0B-AE3F-4970-888E-39531B88F32C}"/>
    <cellStyle name="Normal 3" xfId="4" xr:uid="{00000000-0005-0000-0000-00000B000000}"/>
    <cellStyle name="Normal 3 2" xfId="16" xr:uid="{91831AB7-74A5-4751-B16A-96EC672EF5E6}"/>
    <cellStyle name="Normal 4" xfId="19" xr:uid="{56E211DC-1F83-4222-8A5C-B4EBB2BFECA9}"/>
    <cellStyle name="Normal 5 2" xfId="17" xr:uid="{346D985E-8505-4B7B-81DA-C0E089A0699C}"/>
    <cellStyle name="Normal 7 2" xfId="18" xr:uid="{4F410168-2DCA-45EB-B7BC-27C4781C79BA}"/>
    <cellStyle name="Percent" xfId="3" builtinId="5"/>
  </cellStyles>
  <dxfs count="2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008080"/>
      <color rgb="FF6A36DE"/>
      <color rgb="FF5521C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STRIPPING RATIO OB VS</a:t>
            </a:r>
            <a:r>
              <a:rPr lang="en-US" b="1" baseline="0"/>
              <a:t> ORE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 MTD'!$A$3</c:f>
              <c:strCache>
                <c:ptCount val="1"/>
                <c:pt idx="0">
                  <c:v>OVERBURDEN REMOVAL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'SUMMARY MTD'!$C$2:$N$2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'SUMMARY MTD'!$C$3:$N$3</c:f>
              <c:numCache>
                <c:formatCode>_(* #,##0.00_);_(* \(#,##0.00\);_(* "-"??_);_(@_)</c:formatCode>
                <c:ptCount val="12"/>
                <c:pt idx="0">
                  <c:v>162229.22999999998</c:v>
                </c:pt>
                <c:pt idx="1">
                  <c:v>170387.16</c:v>
                </c:pt>
                <c:pt idx="2">
                  <c:v>141007.28000000003</c:v>
                </c:pt>
                <c:pt idx="3">
                  <c:v>111460.29999999999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C0-474E-82E0-E7D21CA6D129}"/>
            </c:ext>
          </c:extLst>
        </c:ser>
        <c:ser>
          <c:idx val="1"/>
          <c:order val="1"/>
          <c:tx>
            <c:strRef>
              <c:f>'SUMMARY MTD'!$A$4</c:f>
              <c:strCache>
                <c:ptCount val="1"/>
                <c:pt idx="0">
                  <c:v>ORE MINING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'SUMMARY MTD'!$C$2:$N$2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'SUMMARY MTD'!$C$4:$N$4</c:f>
              <c:numCache>
                <c:formatCode>_(* #,##0.00_);_(* \(#,##0.00\);_(* "-"??_);_(@_)</c:formatCode>
                <c:ptCount val="12"/>
                <c:pt idx="0">
                  <c:v>242547.79000000004</c:v>
                </c:pt>
                <c:pt idx="1">
                  <c:v>231630.66999999995</c:v>
                </c:pt>
                <c:pt idx="2">
                  <c:v>220801.4</c:v>
                </c:pt>
                <c:pt idx="3">
                  <c:v>202342.57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C0-474E-82E0-E7D21CA6D1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15706688"/>
        <c:axId val="1205078400"/>
      </c:barChart>
      <c:lineChart>
        <c:grouping val="standard"/>
        <c:varyColors val="0"/>
        <c:ser>
          <c:idx val="2"/>
          <c:order val="2"/>
          <c:tx>
            <c:strRef>
              <c:f>'SUMMARY MTD'!$A$6</c:f>
              <c:strCache>
                <c:ptCount val="1"/>
                <c:pt idx="0">
                  <c:v>STRIPING RATIO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'SUMMARY MTD'!$C$2:$N$2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'SUMMARY MTD'!$C$6:$N$6</c:f>
              <c:numCache>
                <c:formatCode>_(* #,##0.00_);_(* \(#,##0.00\);_(* "-"??_);_(@_)</c:formatCode>
                <c:ptCount val="12"/>
                <c:pt idx="0">
                  <c:v>0.66885470281959669</c:v>
                </c:pt>
                <c:pt idx="1">
                  <c:v>0.73559844212340286</c:v>
                </c:pt>
                <c:pt idx="2">
                  <c:v>0.63861587834135125</c:v>
                </c:pt>
                <c:pt idx="3">
                  <c:v>0.55084948263729172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C0-474E-82E0-E7D21CA6D1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7871680"/>
        <c:axId val="1440825440"/>
      </c:lineChart>
      <c:catAx>
        <c:axId val="1115706688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5078400"/>
        <c:crosses val="autoZero"/>
        <c:auto val="1"/>
        <c:lblAlgn val="ctr"/>
        <c:lblOffset val="100"/>
        <c:noMultiLvlLbl val="0"/>
      </c:catAx>
      <c:valAx>
        <c:axId val="120507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706688"/>
        <c:crosses val="autoZero"/>
        <c:crossBetween val="between"/>
      </c:valAx>
      <c:valAx>
        <c:axId val="1440825440"/>
        <c:scaling>
          <c:orientation val="minMax"/>
        </c:scaling>
        <c:delete val="0"/>
        <c:axPos val="r"/>
        <c:numFmt formatCode="_(* #,##0.00_);_(* \(#,##0.0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7871680"/>
        <c:crosses val="max"/>
        <c:crossBetween val="between"/>
      </c:valAx>
      <c:catAx>
        <c:axId val="14378716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408254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RATIO COST VS INCOME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 MTD'!$A$17</c:f>
              <c:strCache>
                <c:ptCount val="1"/>
                <c:pt idx="0">
                  <c:v>TOTAL COST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'SUMMARY MTD'!$C$2:$N$2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'SUMMARY MTD'!$C$17:$N$17</c:f>
              <c:numCache>
                <c:formatCode>_-[$Rp-3809]* #,##0.00_-;\-[$Rp-3809]* #,##0.00_-;_-[$Rp-3809]* "-"??_-;_-@_-</c:formatCode>
                <c:ptCount val="12"/>
                <c:pt idx="0">
                  <c:v>19443108410.401791</c:v>
                </c:pt>
                <c:pt idx="1">
                  <c:v>19529041056.261246</c:v>
                </c:pt>
                <c:pt idx="2">
                  <c:v>21329558212.942268</c:v>
                </c:pt>
                <c:pt idx="3">
                  <c:v>18392351432.699123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CD-47BD-B961-FE13F4B909A1}"/>
            </c:ext>
          </c:extLst>
        </c:ser>
        <c:ser>
          <c:idx val="1"/>
          <c:order val="1"/>
          <c:tx>
            <c:strRef>
              <c:f>'SUMMARY MTD'!$A$18</c:f>
              <c:strCache>
                <c:ptCount val="1"/>
                <c:pt idx="0">
                  <c:v>INCOME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'SUMMARY MTD'!$C$2:$N$2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'SUMMARY MTD'!$C$18:$N$18</c:f>
              <c:numCache>
                <c:formatCode>_-[$Rp-3809]* #,##0.00_-;\-[$Rp-3809]* #,##0.00_-;_-[$Rp-3809]* "-"??_-;_-@_-</c:formatCode>
                <c:ptCount val="12"/>
                <c:pt idx="0">
                  <c:v>37814170652.160004</c:v>
                </c:pt>
                <c:pt idx="1">
                  <c:v>36112147975.679993</c:v>
                </c:pt>
                <c:pt idx="2">
                  <c:v>34423821465.599998</c:v>
                </c:pt>
                <c:pt idx="3">
                  <c:v>31546016033.280003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CD-47BD-B961-FE13F4B909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15706688"/>
        <c:axId val="1205078400"/>
      </c:barChart>
      <c:lineChart>
        <c:grouping val="standard"/>
        <c:varyColors val="0"/>
        <c:ser>
          <c:idx val="2"/>
          <c:order val="2"/>
          <c:tx>
            <c:strRef>
              <c:f>'SUMMARY MTD'!$A$21</c:f>
              <c:strCache>
                <c:ptCount val="1"/>
                <c:pt idx="0">
                  <c:v>PERCENT PROFIT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'SUMMARY MTD'!$C$2:$N$2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'SUMMARY MTD'!$C$21:$N$21</c:f>
              <c:numCache>
                <c:formatCode>0%</c:formatCode>
                <c:ptCount val="12"/>
                <c:pt idx="0">
                  <c:v>0.48582480918985405</c:v>
                </c:pt>
                <c:pt idx="1">
                  <c:v>0.45921131389322978</c:v>
                </c:pt>
                <c:pt idx="2">
                  <c:v>0.38038377772040599</c:v>
                </c:pt>
                <c:pt idx="3">
                  <c:v>0.41696753677878684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ECD-47BD-B961-FE13F4B909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7177440"/>
        <c:axId val="1038667888"/>
      </c:lineChart>
      <c:catAx>
        <c:axId val="1115706688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5078400"/>
        <c:crosses val="autoZero"/>
        <c:auto val="1"/>
        <c:lblAlgn val="ctr"/>
        <c:lblOffset val="100"/>
        <c:noMultiLvlLbl val="0"/>
      </c:catAx>
      <c:valAx>
        <c:axId val="120507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Rp-3809]* #,##0.00_-;\-[$Rp-3809]* #,##0.00_-;_-[$Rp-3809]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706688"/>
        <c:crosses val="autoZero"/>
        <c:crossBetween val="between"/>
      </c:valAx>
      <c:valAx>
        <c:axId val="1038667888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7177440"/>
        <c:crosses val="max"/>
        <c:crossBetween val="between"/>
      </c:valAx>
      <c:catAx>
        <c:axId val="11071774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386678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FUEL RATIO ALL (Liter/Ton)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 MTD'!$A$27</c:f>
              <c:strCache>
                <c:ptCount val="1"/>
                <c:pt idx="0">
                  <c:v>Total Fuel Consumption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'SUMMARY MTD'!$C$2:$N$2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'SUMMARY MTD'!$C$27:$N$27</c:f>
              <c:numCache>
                <c:formatCode>#,##0.00</c:formatCode>
                <c:ptCount val="12"/>
                <c:pt idx="0">
                  <c:v>416876</c:v>
                </c:pt>
                <c:pt idx="1">
                  <c:v>449940.00000000006</c:v>
                </c:pt>
                <c:pt idx="2">
                  <c:v>446332</c:v>
                </c:pt>
                <c:pt idx="3">
                  <c:v>373910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D6-4DCC-B1C7-837CF1C9F530}"/>
            </c:ext>
          </c:extLst>
        </c:ser>
        <c:ser>
          <c:idx val="1"/>
          <c:order val="1"/>
          <c:tx>
            <c:strRef>
              <c:f>'SUMMARY MTD'!$A$4</c:f>
              <c:strCache>
                <c:ptCount val="1"/>
                <c:pt idx="0">
                  <c:v>ORE MINING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'SUMMARY MTD'!$C$2:$N$2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'SUMMARY MTD'!$C$4:$N$4</c:f>
              <c:numCache>
                <c:formatCode>_(* #,##0.00_);_(* \(#,##0.00\);_(* "-"??_);_(@_)</c:formatCode>
                <c:ptCount val="12"/>
                <c:pt idx="0">
                  <c:v>242547.79000000004</c:v>
                </c:pt>
                <c:pt idx="1">
                  <c:v>231630.66999999995</c:v>
                </c:pt>
                <c:pt idx="2">
                  <c:v>220801.4</c:v>
                </c:pt>
                <c:pt idx="3">
                  <c:v>202342.57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D6-4DCC-B1C7-837CF1C9F5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15706688"/>
        <c:axId val="1205078400"/>
      </c:barChart>
      <c:lineChart>
        <c:grouping val="standard"/>
        <c:varyColors val="0"/>
        <c:ser>
          <c:idx val="2"/>
          <c:order val="2"/>
          <c:tx>
            <c:strRef>
              <c:f>'SUMMARY MTD'!$A$22</c:f>
              <c:strCache>
                <c:ptCount val="1"/>
                <c:pt idx="0">
                  <c:v>FUEL RATIO (L/Ton)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'SUMMARY MTD'!$C$2:$N$2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'SUMMARY MTD'!$C$22:$N$22</c:f>
              <c:numCache>
                <c:formatCode>_(* #,##0.00_);_(* \(#,##0.00\);_(* "-"??_);_(@_)</c:formatCode>
                <c:ptCount val="12"/>
                <c:pt idx="0">
                  <c:v>1.7187375733252401</c:v>
                </c:pt>
                <c:pt idx="1">
                  <c:v>1.9424888767968427</c:v>
                </c:pt>
                <c:pt idx="2">
                  <c:v>2.0214183424561618</c:v>
                </c:pt>
                <c:pt idx="3">
                  <c:v>1.8479057570534958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D6-4DCC-B1C7-837CF1C9F5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6122752"/>
        <c:axId val="1426868560"/>
      </c:lineChart>
      <c:catAx>
        <c:axId val="1115706688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5078400"/>
        <c:crosses val="autoZero"/>
        <c:auto val="1"/>
        <c:lblAlgn val="ctr"/>
        <c:lblOffset val="100"/>
        <c:noMultiLvlLbl val="0"/>
      </c:catAx>
      <c:valAx>
        <c:axId val="120507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706688"/>
        <c:crosses val="autoZero"/>
        <c:crossBetween val="between"/>
      </c:valAx>
      <c:valAx>
        <c:axId val="1426868560"/>
        <c:scaling>
          <c:orientation val="minMax"/>
        </c:scaling>
        <c:delete val="0"/>
        <c:axPos val="r"/>
        <c:numFmt formatCode="_(* #,##0.00_);_(* \(#,##0.0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122752"/>
        <c:crosses val="max"/>
        <c:crossBetween val="between"/>
      </c:valAx>
      <c:catAx>
        <c:axId val="1446122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268685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COST / TON ORE (USD/Ton)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 MTD'!$A$30</c:f>
              <c:strCache>
                <c:ptCount val="1"/>
                <c:pt idx="0">
                  <c:v>( USD / Ton 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'SUMMARY MTD'!$C$2:$N$2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'SUMMARY MTD'!$C$30:$N$30</c:f>
              <c:numCache>
                <c:formatCode>_([$$-409]* #,##0.00_);_([$$-409]* \(#,##0.00\);_([$$-409]* "-"??_);_(@_)</c:formatCode>
                <c:ptCount val="12"/>
                <c:pt idx="0">
                  <c:v>5.3988395035065313</c:v>
                </c:pt>
                <c:pt idx="1">
                  <c:v>5.6782812041210873</c:v>
                </c:pt>
                <c:pt idx="2">
                  <c:v>6.5059703339357373</c:v>
                </c:pt>
                <c:pt idx="3">
                  <c:v>6.1218408638227384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C7-479A-8E9A-8FBD7C20E8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15706688"/>
        <c:axId val="1205078400"/>
      </c:barChart>
      <c:catAx>
        <c:axId val="1115706688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5078400"/>
        <c:crosses val="autoZero"/>
        <c:auto val="1"/>
        <c:lblAlgn val="ctr"/>
        <c:lblOffset val="100"/>
        <c:noMultiLvlLbl val="0"/>
      </c:catAx>
      <c:valAx>
        <c:axId val="120507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[$$-409]* #,##0.00_);_([$$-409]* \(#,##0.00\);_([$$-409]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706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ACHIEVEMENT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 MTD'!$A$7</c:f>
              <c:strCache>
                <c:ptCount val="1"/>
                <c:pt idx="0">
                  <c:v>ACH % OVERBURDEN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'SUMMARY MTD'!$C$2:$N$2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'SUMMARY MTD'!$C$7:$N$7</c:f>
              <c:numCache>
                <c:formatCode>0.00%</c:formatCode>
                <c:ptCount val="12"/>
                <c:pt idx="0">
                  <c:v>0.74253772354962899</c:v>
                </c:pt>
                <c:pt idx="1">
                  <c:v>0.83765309627028406</c:v>
                </c:pt>
                <c:pt idx="2">
                  <c:v>0.70707209506681568</c:v>
                </c:pt>
                <c:pt idx="3">
                  <c:v>0.66103056420606143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1D8-42E6-B1FB-DE11EDA8869A}"/>
            </c:ext>
          </c:extLst>
        </c:ser>
        <c:ser>
          <c:idx val="1"/>
          <c:order val="1"/>
          <c:tx>
            <c:strRef>
              <c:f>'SUMMARY MTD'!$A$8</c:f>
              <c:strCache>
                <c:ptCount val="1"/>
                <c:pt idx="0">
                  <c:v>ACH % ORE MINING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'SUMMARY MTD'!$C$2:$N$2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'SUMMARY MTD'!$C$8:$N$8</c:f>
              <c:numCache>
                <c:formatCode>0.00%</c:formatCode>
                <c:ptCount val="12"/>
                <c:pt idx="0">
                  <c:v>0.97757868733841513</c:v>
                </c:pt>
                <c:pt idx="1">
                  <c:v>1.0200287269450323</c:v>
                </c:pt>
                <c:pt idx="2">
                  <c:v>0.72406828784212274</c:v>
                </c:pt>
                <c:pt idx="3">
                  <c:v>0.60339142988368932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E1D8-42E6-B1FB-DE11EDA8869A}"/>
            </c:ext>
          </c:extLst>
        </c:ser>
        <c:ser>
          <c:idx val="2"/>
          <c:order val="2"/>
          <c:tx>
            <c:strRef>
              <c:f>'SUMMARY MTD'!$A$9</c:f>
              <c:strCache>
                <c:ptCount val="1"/>
                <c:pt idx="0">
                  <c:v>ACH % QUARRY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'SUMMARY MTD'!$C$2:$N$2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'SUMMARY MTD'!$C$9:$N$9</c:f>
              <c:numCache>
                <c:formatCode>0.00%</c:formatCode>
                <c:ptCount val="12"/>
                <c:pt idx="0">
                  <c:v>0.41234954552156672</c:v>
                </c:pt>
                <c:pt idx="1">
                  <c:v>0.8113318461598763</c:v>
                </c:pt>
                <c:pt idx="2">
                  <c:v>0.86128618495725751</c:v>
                </c:pt>
                <c:pt idx="3">
                  <c:v>0.66264458702897411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E1D8-42E6-B1FB-DE11EDA8869A}"/>
            </c:ext>
          </c:extLst>
        </c:ser>
        <c:ser>
          <c:idx val="3"/>
          <c:order val="3"/>
          <c:tx>
            <c:strRef>
              <c:f>'SUMMARY MTD'!$A$23</c:f>
              <c:strCache>
                <c:ptCount val="1"/>
                <c:pt idx="0">
                  <c:v>ACH % FUEL RATIO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'SUMMARY MTD'!$C$2:$N$2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'SUMMARY MTD'!$C$23:$N$23</c:f>
              <c:numCache>
                <c:formatCode>0.00%</c:formatCode>
                <c:ptCount val="12"/>
                <c:pt idx="0">
                  <c:v>1.2101905679386677</c:v>
                </c:pt>
                <c:pt idx="1">
                  <c:v>1.086235306263057</c:v>
                </c:pt>
                <c:pt idx="2">
                  <c:v>0.95477514944032693</c:v>
                </c:pt>
                <c:pt idx="3">
                  <c:v>0.941606460913054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E1D8-42E6-B1FB-DE11EDA8869A}"/>
            </c:ext>
          </c:extLst>
        </c:ser>
        <c:ser>
          <c:idx val="4"/>
          <c:order val="4"/>
          <c:tx>
            <c:strRef>
              <c:f>'SUMMARY MTD'!$A$28</c:f>
              <c:strCache>
                <c:ptCount val="1"/>
                <c:pt idx="0">
                  <c:v>ACH % FUEL CONSUMPTION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'SUMMARY MTD'!$C$2:$N$2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'SUMMARY MTD'!$C$28:$N$28</c:f>
              <c:numCache>
                <c:formatCode>0.00%</c:formatCode>
                <c:ptCount val="12"/>
                <c:pt idx="0">
                  <c:v>1.2396340073786931</c:v>
                </c:pt>
                <c:pt idx="1">
                  <c:v>1.0628169729208339</c:v>
                </c:pt>
                <c:pt idx="2">
                  <c:v>1.3193021041287654</c:v>
                </c:pt>
                <c:pt idx="3">
                  <c:v>1.5605752921291223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E1D8-42E6-B1FB-DE11EDA886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15706688"/>
        <c:axId val="1205078400"/>
      </c:barChart>
      <c:catAx>
        <c:axId val="1115706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5078400"/>
        <c:crosses val="autoZero"/>
        <c:auto val="1"/>
        <c:lblAlgn val="ctr"/>
        <c:lblOffset val="100"/>
        <c:noMultiLvlLbl val="0"/>
      </c:catAx>
      <c:valAx>
        <c:axId val="120507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7066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svg"/><Relationship Id="rId3" Type="http://schemas.openxmlformats.org/officeDocument/2006/relationships/image" Target="../media/image3.svg"/><Relationship Id="rId7" Type="http://schemas.openxmlformats.org/officeDocument/2006/relationships/image" Target="../media/image7.sv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svg"/><Relationship Id="rId5" Type="http://schemas.openxmlformats.org/officeDocument/2006/relationships/image" Target="../media/image5.sv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sv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636494</xdr:colOff>
      <xdr:row>4</xdr:row>
      <xdr:rowOff>134471</xdr:rowOff>
    </xdr:from>
    <xdr:to>
      <xdr:col>11</xdr:col>
      <xdr:colOff>8965</xdr:colOff>
      <xdr:row>6</xdr:row>
      <xdr:rowOff>64108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106CBAE-D0C7-40B5-B7E6-A92CD040AA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63953" y="995083"/>
          <a:ext cx="1210236" cy="2971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491066</xdr:colOff>
      <xdr:row>4</xdr:row>
      <xdr:rowOff>134120</xdr:rowOff>
    </xdr:from>
    <xdr:to>
      <xdr:col>9</xdr:col>
      <xdr:colOff>491067</xdr:colOff>
      <xdr:row>6</xdr:row>
      <xdr:rowOff>63757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7E93241-3BF4-4E3B-9216-156E2F6F35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00726" y="865640"/>
          <a:ext cx="1211581" cy="303017"/>
        </a:xfrm>
        <a:prstGeom prst="rect">
          <a:avLst/>
        </a:prstGeom>
      </xdr:spPr>
    </xdr:pic>
    <xdr:clientData/>
  </xdr:twoCellAnchor>
  <xdr:twoCellAnchor editAs="oneCell">
    <xdr:from>
      <xdr:col>1</xdr:col>
      <xdr:colOff>188258</xdr:colOff>
      <xdr:row>28</xdr:row>
      <xdr:rowOff>215153</xdr:rowOff>
    </xdr:from>
    <xdr:to>
      <xdr:col>2</xdr:col>
      <xdr:colOff>53788</xdr:colOff>
      <xdr:row>30</xdr:row>
      <xdr:rowOff>161365</xdr:rowOff>
    </xdr:to>
    <xdr:pic>
      <xdr:nvPicPr>
        <xdr:cNvPr id="3" name="Graphic 2" descr="Business Growth with solid fill">
          <a:extLst>
            <a:ext uri="{FF2B5EF4-FFF2-40B4-BE49-F238E27FC236}">
              <a16:creationId xmlns:a16="http://schemas.microsoft.com/office/drawing/2014/main" id="{7DF7F2DB-DEA5-B746-45F0-DD4A2B3AC2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797858" y="5755341"/>
          <a:ext cx="475130" cy="475130"/>
        </a:xfrm>
        <a:prstGeom prst="rect">
          <a:avLst/>
        </a:prstGeom>
      </xdr:spPr>
    </xdr:pic>
    <xdr:clientData/>
  </xdr:twoCellAnchor>
  <xdr:twoCellAnchor editAs="oneCell">
    <xdr:from>
      <xdr:col>1</xdr:col>
      <xdr:colOff>143434</xdr:colOff>
      <xdr:row>18</xdr:row>
      <xdr:rowOff>89647</xdr:rowOff>
    </xdr:from>
    <xdr:to>
      <xdr:col>1</xdr:col>
      <xdr:colOff>600634</xdr:colOff>
      <xdr:row>20</xdr:row>
      <xdr:rowOff>152399</xdr:rowOff>
    </xdr:to>
    <xdr:pic>
      <xdr:nvPicPr>
        <xdr:cNvPr id="6" name="Graphic 5" descr="Checklist with solid fill">
          <a:extLst>
            <a:ext uri="{FF2B5EF4-FFF2-40B4-BE49-F238E27FC236}">
              <a16:creationId xmlns:a16="http://schemas.microsoft.com/office/drawing/2014/main" id="{3B0476DE-081B-2BE4-3A73-0725698F9F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753034" y="3550023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4</xdr:col>
      <xdr:colOff>150001</xdr:colOff>
      <xdr:row>30</xdr:row>
      <xdr:rowOff>132071</xdr:rowOff>
    </xdr:from>
    <xdr:to>
      <xdr:col>4</xdr:col>
      <xdr:colOff>424321</xdr:colOff>
      <xdr:row>32</xdr:row>
      <xdr:rowOff>47803</xdr:rowOff>
    </xdr:to>
    <xdr:pic>
      <xdr:nvPicPr>
        <xdr:cNvPr id="8" name="Graphic 7" descr="Chevron arrows with solid fill">
          <a:extLst>
            <a:ext uri="{FF2B5EF4-FFF2-40B4-BE49-F238E27FC236}">
              <a16:creationId xmlns:a16="http://schemas.microsoft.com/office/drawing/2014/main" id="{10CE55A2-23D1-E2F2-47F6-EA6A2D7605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3977930" y="6201177"/>
          <a:ext cx="274320" cy="274320"/>
        </a:xfrm>
        <a:prstGeom prst="rect">
          <a:avLst/>
        </a:prstGeom>
      </xdr:spPr>
    </xdr:pic>
    <xdr:clientData/>
  </xdr:twoCellAnchor>
  <xdr:twoCellAnchor editAs="oneCell">
    <xdr:from>
      <xdr:col>6</xdr:col>
      <xdr:colOff>891669</xdr:colOff>
      <xdr:row>30</xdr:row>
      <xdr:rowOff>129670</xdr:rowOff>
    </xdr:from>
    <xdr:to>
      <xdr:col>6</xdr:col>
      <xdr:colOff>1165989</xdr:colOff>
      <xdr:row>32</xdr:row>
      <xdr:rowOff>45402</xdr:rowOff>
    </xdr:to>
    <xdr:pic>
      <xdr:nvPicPr>
        <xdr:cNvPr id="10" name="Graphic 9" descr="Chevron arrows with solid fill">
          <a:extLst>
            <a:ext uri="{FF2B5EF4-FFF2-40B4-BE49-F238E27FC236}">
              <a16:creationId xmlns:a16="http://schemas.microsoft.com/office/drawing/2014/main" id="{52049D7B-E904-A83C-49D6-117505A7B1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7184893" y="6198776"/>
          <a:ext cx="274320" cy="274320"/>
        </a:xfrm>
        <a:prstGeom prst="rect">
          <a:avLst/>
        </a:prstGeom>
      </xdr:spPr>
    </xdr:pic>
    <xdr:clientData/>
  </xdr:twoCellAnchor>
  <xdr:twoCellAnchor editAs="oneCell">
    <xdr:from>
      <xdr:col>9</xdr:col>
      <xdr:colOff>163129</xdr:colOff>
      <xdr:row>8</xdr:row>
      <xdr:rowOff>145200</xdr:rowOff>
    </xdr:from>
    <xdr:to>
      <xdr:col>9</xdr:col>
      <xdr:colOff>437449</xdr:colOff>
      <xdr:row>10</xdr:row>
      <xdr:rowOff>25073</xdr:rowOff>
    </xdr:to>
    <xdr:pic>
      <xdr:nvPicPr>
        <xdr:cNvPr id="12" name="Graphic 11" descr="Daily calendar with solid fill">
          <a:extLst>
            <a:ext uri="{FF2B5EF4-FFF2-40B4-BE49-F238E27FC236}">
              <a16:creationId xmlns:a16="http://schemas.microsoft.com/office/drawing/2014/main" id="{9AA00F7B-84B6-36F2-3030-A7BAB37207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10311176" y="1606447"/>
          <a:ext cx="274320" cy="274320"/>
        </a:xfrm>
        <a:prstGeom prst="rect">
          <a:avLst/>
        </a:prstGeom>
      </xdr:spPr>
    </xdr:pic>
    <xdr:clientData/>
  </xdr:twoCellAnchor>
  <xdr:twoCellAnchor editAs="oneCell">
    <xdr:from>
      <xdr:col>1</xdr:col>
      <xdr:colOff>232447</xdr:colOff>
      <xdr:row>26</xdr:row>
      <xdr:rowOff>52515</xdr:rowOff>
    </xdr:from>
    <xdr:to>
      <xdr:col>1</xdr:col>
      <xdr:colOff>506767</xdr:colOff>
      <xdr:row>27</xdr:row>
      <xdr:rowOff>93753</xdr:rowOff>
    </xdr:to>
    <xdr:pic>
      <xdr:nvPicPr>
        <xdr:cNvPr id="14" name="Graphic 13" descr="Dollar with solid fill">
          <a:extLst>
            <a:ext uri="{FF2B5EF4-FFF2-40B4-BE49-F238E27FC236}">
              <a16:creationId xmlns:a16="http://schemas.microsoft.com/office/drawing/2014/main" id="{295E6530-B837-251E-12B1-EA92FC566A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842047" y="5126539"/>
          <a:ext cx="274320" cy="274320"/>
        </a:xfrm>
        <a:prstGeom prst="rect">
          <a:avLst/>
        </a:prstGeom>
      </xdr:spPr>
    </xdr:pic>
    <xdr:clientData/>
  </xdr:twoCellAnchor>
  <xdr:twoCellAnchor editAs="oneCell">
    <xdr:from>
      <xdr:col>9</xdr:col>
      <xdr:colOff>115906</xdr:colOff>
      <xdr:row>26</xdr:row>
      <xdr:rowOff>52515</xdr:rowOff>
    </xdr:from>
    <xdr:to>
      <xdr:col>9</xdr:col>
      <xdr:colOff>390226</xdr:colOff>
      <xdr:row>27</xdr:row>
      <xdr:rowOff>93753</xdr:rowOff>
    </xdr:to>
    <xdr:pic>
      <xdr:nvPicPr>
        <xdr:cNvPr id="15" name="Graphic 14" descr="Dollar with solid fill">
          <a:extLst>
            <a:ext uri="{FF2B5EF4-FFF2-40B4-BE49-F238E27FC236}">
              <a16:creationId xmlns:a16="http://schemas.microsoft.com/office/drawing/2014/main" id="{D8247836-9E65-C4EC-42E2-3AC7ADD4B9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10263953" y="5126539"/>
          <a:ext cx="274320" cy="27432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30</xdr:row>
      <xdr:rowOff>148590</xdr:rowOff>
    </xdr:from>
    <xdr:to>
      <xdr:col>4</xdr:col>
      <xdr:colOff>198120</xdr:colOff>
      <xdr:row>48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B60D47-39D8-46B6-A710-36E759EB5D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320040</xdr:colOff>
      <xdr:row>31</xdr:row>
      <xdr:rowOff>0</xdr:rowOff>
    </xdr:from>
    <xdr:to>
      <xdr:col>7</xdr:col>
      <xdr:colOff>899160</xdr:colOff>
      <xdr:row>48</xdr:row>
      <xdr:rowOff>15240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30B8435-6A4F-415D-848A-09CA292041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1021080</xdr:colOff>
      <xdr:row>31</xdr:row>
      <xdr:rowOff>0</xdr:rowOff>
    </xdr:from>
    <xdr:to>
      <xdr:col>11</xdr:col>
      <xdr:colOff>518160</xdr:colOff>
      <xdr:row>48</xdr:row>
      <xdr:rowOff>15240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4FBE167-C884-4065-9E3D-5EEC70EAE1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640080</xdr:colOff>
      <xdr:row>31</xdr:row>
      <xdr:rowOff>0</xdr:rowOff>
    </xdr:from>
    <xdr:to>
      <xdr:col>14</xdr:col>
      <xdr:colOff>1216152</xdr:colOff>
      <xdr:row>48</xdr:row>
      <xdr:rowOff>15240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55869EC-AB55-49C6-AD2B-DDCC4A0D26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48</xdr:row>
      <xdr:rowOff>152399</xdr:rowOff>
    </xdr:from>
    <xdr:to>
      <xdr:col>8</xdr:col>
      <xdr:colOff>502920</xdr:colOff>
      <xdr:row>65</xdr:row>
      <xdr:rowOff>7620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BCC9835-954C-402D-92DA-D3671FFA57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ata%20Tambang\Laporan%20Produksi\Report_2021\CV_APP\cost%20production%20report%20APP\07_cost%20production%20report%20juli%20APP%20-%20KB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REPORT unit HE"/>
      <sheetName val="REPORT unit DT HAUL"/>
      <sheetName val="REPORT unit LV &amp; support"/>
      <sheetName val="HOUR METER"/>
      <sheetName val="FUEL UNIT"/>
      <sheetName val="SUMMARY MTD"/>
      <sheetName val="list rate unit"/>
    </sheetNames>
    <sheetDataSet>
      <sheetData sheetId="0">
        <row r="21">
          <cell r="G21" t="str">
            <v>( USD / Ton )</v>
          </cell>
        </row>
      </sheetData>
      <sheetData sheetId="1"/>
      <sheetData sheetId="2"/>
      <sheetData sheetId="3"/>
      <sheetData sheetId="4"/>
      <sheetData sheetId="5"/>
      <sheetData sheetId="6">
        <row r="1">
          <cell r="B1" t="str">
            <v>january</v>
          </cell>
        </row>
      </sheetData>
      <sheetData sheetId="7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4D79892-E857-4076-8D9A-E3A02871E4FC}" name="Table2" displayName="Table2" ref="A3:K27" totalsRowShown="0" headerRowDxfId="18" dataDxfId="17">
  <autoFilter ref="A3:K27" xr:uid="{C21316D5-582A-4B4E-924D-E90E6148CE3A}"/>
  <tableColumns count="11">
    <tableColumn id="1" xr3:uid="{5C4A96E9-13BF-420C-8C4F-2824DDA0EEA6}" name="NO" dataDxfId="16"/>
    <tableColumn id="2" xr3:uid="{A30811DE-1B25-4EA9-BFF9-9FCB5EAB9D3F}" name="UNIT" dataDxfId="15"/>
    <tableColumn id="3" xr3:uid="{90FFD443-AE37-456F-9D47-036A2B58CD4C}" name="Ltr/Hr" dataDxfId="14"/>
    <tableColumn id="4" xr3:uid="{FF157741-D8C7-41B9-A25C-31DBC7DCD9C7}" name="Rent/Hr" dataDxfId="13"/>
    <tableColumn id="5" xr3:uid="{232C8140-C725-4045-BAD7-6F91599E87EB}" name="Column1" dataDxfId="12"/>
    <tableColumn id="6" xr3:uid="{0367BD61-51E8-463C-8438-0A60CD60EFB1}" name="Column2" dataDxfId="11"/>
    <tableColumn id="7" xr3:uid="{E9FE6373-CA0C-4E51-A94D-4927FFF53E43}" name="Description" dataDxfId="10"/>
    <tableColumn id="9" xr3:uid="{D9F902DE-079B-4658-A26E-089747F06395}" name="Column4" dataDxfId="9"/>
    <tableColumn id="10" xr3:uid="{C56AEA91-38B0-4BB8-AA04-C3D1091FE881}" name="Column5" dataDxfId="8"/>
    <tableColumn id="11" xr3:uid="{56B66294-CCAF-4FC8-87AE-3080125B8E07}" name="Column6" dataDxfId="7"/>
    <tableColumn id="8" xr3:uid="{C1445579-8B84-4BA2-886C-BC0FD60B2383}" name="Column7" dataDxfId="6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2F9EA9A-3958-40A9-8F06-B41511A41CA6}" name="Table3" displayName="Table3" ref="A30:C35" totalsRowShown="0" headerRowDxfId="5" dataDxfId="3" headerRowBorderDxfId="4">
  <autoFilter ref="A30:C35" xr:uid="{964D139A-6BF5-4B3E-8719-4E4AEEB109EA}"/>
  <tableColumns count="3">
    <tableColumn id="1" xr3:uid="{821CC7F3-E8BB-4F1A-8856-A803DAEEAAE2}" name="NO" dataDxfId="2"/>
    <tableColumn id="2" xr3:uid="{9511BAF7-5327-483F-B8B9-37B18C6674E9}" name="UNIT" dataDxfId="1"/>
    <tableColumn id="3" xr3:uid="{8A5D4DB1-E8BE-4B48-8CB1-50DF43EA00D2}" name="$ / KM" dataDxfId="0" dataCellStyle="Currenc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1E23E3-0FA4-4AEF-BB24-9A119179F6A7}">
  <sheetPr>
    <tabColor rgb="FFFF0000"/>
  </sheetPr>
  <dimension ref="B2:N39"/>
  <sheetViews>
    <sheetView tabSelected="1" zoomScale="85" zoomScaleNormal="85" workbookViewId="0">
      <selection activeCell="N22" sqref="N22"/>
    </sheetView>
  </sheetViews>
  <sheetFormatPr defaultRowHeight="14.4" x14ac:dyDescent="0.3"/>
  <cols>
    <col min="1" max="1" width="8.88671875" style="12"/>
    <col min="2" max="2" width="5.77734375" style="12" customWidth="1"/>
    <col min="3" max="3" width="31.5546875" style="12" bestFit="1" customWidth="1"/>
    <col min="4" max="5" width="14.77734375" style="12" customWidth="1"/>
    <col min="6" max="6" width="13.77734375" style="12" customWidth="1"/>
    <col min="7" max="7" width="3.6640625" style="12" customWidth="1"/>
    <col min="8" max="8" width="28.109375" style="12" customWidth="1"/>
    <col min="9" max="9" width="10.44140625" style="12" customWidth="1"/>
    <col min="10" max="10" width="17.6640625" style="12" customWidth="1"/>
    <col min="11" max="11" width="9.109375" style="12" customWidth="1"/>
    <col min="12" max="12" width="5.77734375" style="12" customWidth="1"/>
    <col min="13" max="13" width="8.88671875" style="12"/>
    <col min="14" max="14" width="13.5546875" style="12" customWidth="1"/>
    <col min="15" max="16384" width="8.88671875" style="12"/>
  </cols>
  <sheetData>
    <row r="2" spans="2:12" ht="19.95" customHeight="1" x14ac:dyDescent="0.3">
      <c r="B2" s="184" t="s">
        <v>407</v>
      </c>
      <c r="C2" s="184"/>
      <c r="D2" s="184"/>
      <c r="E2" s="184"/>
      <c r="F2" s="184"/>
      <c r="G2" s="184"/>
      <c r="H2" s="184"/>
      <c r="I2" s="184"/>
      <c r="J2" s="184"/>
      <c r="K2" s="184"/>
      <c r="L2" s="184"/>
    </row>
    <row r="3" spans="2:12" ht="19.95" customHeight="1" x14ac:dyDescent="0.3">
      <c r="B3" s="184"/>
      <c r="C3" s="184"/>
      <c r="D3" s="184"/>
      <c r="E3" s="184"/>
      <c r="F3" s="184"/>
      <c r="G3" s="184"/>
      <c r="H3" s="184"/>
      <c r="I3" s="184"/>
      <c r="J3" s="184"/>
      <c r="K3" s="184"/>
      <c r="L3" s="184"/>
    </row>
    <row r="4" spans="2:12" x14ac:dyDescent="0.3">
      <c r="B4" s="107"/>
      <c r="C4" s="107"/>
      <c r="D4" s="107"/>
      <c r="E4" s="107"/>
      <c r="F4" s="107"/>
      <c r="G4" s="107"/>
      <c r="H4" s="107"/>
      <c r="I4" s="107"/>
      <c r="J4" s="107"/>
      <c r="K4" s="107"/>
      <c r="L4" s="107"/>
    </row>
    <row r="5" spans="2:12" ht="15" customHeight="1" x14ac:dyDescent="0.3">
      <c r="B5" s="107"/>
      <c r="C5" s="185" t="s">
        <v>185</v>
      </c>
      <c r="D5" s="186" t="s">
        <v>403</v>
      </c>
      <c r="E5" s="186"/>
      <c r="F5" s="186"/>
      <c r="G5" s="107"/>
      <c r="H5" s="187" t="s">
        <v>374</v>
      </c>
      <c r="I5" s="187"/>
      <c r="J5" s="187"/>
      <c r="K5" s="107"/>
      <c r="L5" s="107"/>
    </row>
    <row r="6" spans="2:12" ht="14.4" customHeight="1" x14ac:dyDescent="0.3">
      <c r="B6" s="107"/>
      <c r="C6" s="185"/>
      <c r="D6" s="186"/>
      <c r="E6" s="186"/>
      <c r="F6" s="186"/>
      <c r="G6" s="107"/>
      <c r="H6" s="187"/>
      <c r="I6" s="187"/>
      <c r="J6" s="187"/>
      <c r="K6" s="107"/>
      <c r="L6" s="107"/>
    </row>
    <row r="7" spans="2:12" ht="14.4" customHeight="1" x14ac:dyDescent="0.3">
      <c r="B7" s="107"/>
      <c r="C7" s="185"/>
      <c r="D7" s="186"/>
      <c r="E7" s="186"/>
      <c r="F7" s="186"/>
      <c r="G7" s="107"/>
      <c r="H7" s="187"/>
      <c r="I7" s="187"/>
      <c r="J7" s="187"/>
      <c r="K7" s="107"/>
      <c r="L7" s="107"/>
    </row>
    <row r="8" spans="2:12" ht="15.6" x14ac:dyDescent="0.3">
      <c r="B8" s="107"/>
      <c r="C8" s="107"/>
      <c r="D8" s="107"/>
      <c r="E8" s="107"/>
      <c r="F8" s="107"/>
      <c r="G8" s="107"/>
      <c r="H8" s="109"/>
      <c r="I8" s="109"/>
      <c r="J8" s="109"/>
      <c r="K8" s="107"/>
      <c r="L8" s="107"/>
    </row>
    <row r="9" spans="2:12" ht="15.6" x14ac:dyDescent="0.3">
      <c r="B9" s="107"/>
      <c r="C9" s="107"/>
      <c r="D9" s="155" t="s">
        <v>363</v>
      </c>
      <c r="E9" s="156" t="s">
        <v>364</v>
      </c>
      <c r="F9" s="155" t="s">
        <v>365</v>
      </c>
      <c r="G9" s="107"/>
      <c r="H9" s="109" t="s">
        <v>73</v>
      </c>
      <c r="I9" s="109"/>
      <c r="J9" s="116">
        <v>30</v>
      </c>
      <c r="K9" s="112" t="s">
        <v>366</v>
      </c>
      <c r="L9" s="107"/>
    </row>
    <row r="10" spans="2:12" ht="15.6" x14ac:dyDescent="0.3">
      <c r="B10" s="107"/>
      <c r="C10" s="109" t="s">
        <v>367</v>
      </c>
      <c r="D10" s="157">
        <v>168615.95520000003</v>
      </c>
      <c r="E10" s="158">
        <v>111460.29999999999</v>
      </c>
      <c r="F10" s="159">
        <f>E10/D10</f>
        <v>0.66103056420606143</v>
      </c>
      <c r="G10" s="107"/>
      <c r="H10" s="109" t="s">
        <v>75</v>
      </c>
      <c r="I10" s="109"/>
      <c r="J10" s="116">
        <f>9*J9</f>
        <v>270</v>
      </c>
      <c r="K10" s="112" t="s">
        <v>368</v>
      </c>
      <c r="L10" s="107"/>
    </row>
    <row r="11" spans="2:12" ht="15.6" x14ac:dyDescent="0.3">
      <c r="B11" s="107"/>
      <c r="C11" s="109" t="s">
        <v>76</v>
      </c>
      <c r="D11" s="160">
        <v>335342.13444000005</v>
      </c>
      <c r="E11" s="161">
        <f>'REPORT unit DT HAUL'!D79</f>
        <v>202342.57</v>
      </c>
      <c r="F11" s="162">
        <f t="shared" ref="F11:F12" si="0">E11/D11</f>
        <v>0.60339142988368932</v>
      </c>
      <c r="G11" s="107"/>
      <c r="H11" s="109" t="s">
        <v>369</v>
      </c>
      <c r="I11" s="111"/>
      <c r="J11" s="163">
        <v>0.85</v>
      </c>
      <c r="K11" s="112" t="s">
        <v>370</v>
      </c>
      <c r="L11" s="107"/>
    </row>
    <row r="12" spans="2:12" ht="15.6" x14ac:dyDescent="0.3">
      <c r="B12" s="107"/>
      <c r="C12" s="109" t="s">
        <v>183</v>
      </c>
      <c r="D12" s="160">
        <v>33723.191040000005</v>
      </c>
      <c r="E12" s="161">
        <v>22346.49</v>
      </c>
      <c r="F12" s="162">
        <f t="shared" si="0"/>
        <v>0.66264458702897411</v>
      </c>
      <c r="G12" s="107"/>
      <c r="H12" s="109"/>
      <c r="I12" s="111"/>
      <c r="J12" s="163"/>
      <c r="K12" s="112"/>
      <c r="L12" s="107"/>
    </row>
    <row r="13" spans="2:12" ht="15.6" x14ac:dyDescent="0.3">
      <c r="B13" s="107"/>
      <c r="C13" s="109" t="s">
        <v>78</v>
      </c>
      <c r="D13" s="160">
        <f>D10/D11</f>
        <v>0.50281768344314348</v>
      </c>
      <c r="E13" s="161">
        <f>E10/E11</f>
        <v>0.55084948263729172</v>
      </c>
      <c r="F13" s="162">
        <f>D13/E13</f>
        <v>0.91280413124073878</v>
      </c>
      <c r="G13" s="107"/>
      <c r="H13" s="109" t="s">
        <v>87</v>
      </c>
      <c r="I13" s="112"/>
      <c r="J13" s="164">
        <v>11500</v>
      </c>
      <c r="K13" s="164"/>
      <c r="L13" s="107"/>
    </row>
    <row r="14" spans="2:12" ht="15.6" x14ac:dyDescent="0.3">
      <c r="B14" s="107"/>
      <c r="C14" s="109" t="s">
        <v>371</v>
      </c>
      <c r="D14" s="160">
        <v>1.74</v>
      </c>
      <c r="E14" s="161">
        <f>J18/E11</f>
        <v>1.8479057570534958</v>
      </c>
      <c r="F14" s="162">
        <f>D14/E14</f>
        <v>0.941606460913054</v>
      </c>
      <c r="G14" s="107"/>
      <c r="H14" s="165" t="s">
        <v>372</v>
      </c>
      <c r="I14" s="112"/>
      <c r="J14" s="110"/>
      <c r="K14" s="107"/>
      <c r="L14" s="107"/>
    </row>
    <row r="15" spans="2:12" ht="15.6" x14ac:dyDescent="0.3">
      <c r="B15" s="107"/>
      <c r="C15" s="109"/>
      <c r="D15" s="166"/>
      <c r="E15" s="161"/>
      <c r="F15" s="167"/>
      <c r="G15" s="107"/>
      <c r="H15" s="165"/>
      <c r="I15" s="112"/>
      <c r="J15" s="110"/>
      <c r="K15" s="107"/>
      <c r="L15" s="107"/>
    </row>
    <row r="16" spans="2:12" ht="7.95" customHeight="1" x14ac:dyDescent="0.3">
      <c r="B16" s="107"/>
      <c r="C16" s="109"/>
      <c r="D16" s="166"/>
      <c r="E16" s="161"/>
      <c r="F16" s="167"/>
      <c r="G16" s="107"/>
      <c r="H16" s="165"/>
      <c r="I16" s="112"/>
      <c r="J16" s="110"/>
      <c r="K16" s="107"/>
      <c r="L16" s="107"/>
    </row>
    <row r="17" spans="2:14" ht="15.6" x14ac:dyDescent="0.3">
      <c r="B17" s="107"/>
      <c r="C17" s="109" t="s">
        <v>352</v>
      </c>
      <c r="D17" s="168"/>
      <c r="E17" s="169"/>
      <c r="F17" s="167"/>
      <c r="G17" s="107"/>
      <c r="H17" s="188" t="s">
        <v>141</v>
      </c>
      <c r="I17" s="171" t="s">
        <v>363</v>
      </c>
      <c r="J17" s="172">
        <v>583514.7074800001</v>
      </c>
      <c r="K17" s="173" t="s">
        <v>142</v>
      </c>
      <c r="L17" s="116"/>
    </row>
    <row r="18" spans="2:14" ht="15.6" x14ac:dyDescent="0.3">
      <c r="B18" s="107"/>
      <c r="C18" s="109" t="s">
        <v>165</v>
      </c>
      <c r="D18" s="174">
        <v>355</v>
      </c>
      <c r="E18" s="161">
        <f>(E10+E12)/('REPORT unit OB'!D8+'REPORT unit OB'!D9+'REPORT unit OB'!D10+'REPORT unit OB'!D11)</f>
        <v>182.79616120218577</v>
      </c>
      <c r="F18" s="162">
        <f t="shared" ref="F18" si="1">E18/D18</f>
        <v>0.51491876394981906</v>
      </c>
      <c r="G18" s="107"/>
      <c r="H18" s="188"/>
      <c r="I18" s="171" t="s">
        <v>364</v>
      </c>
      <c r="J18" s="172">
        <f>'REPORT unit OB'!G40+'REPORT unit QUARRY'!G26+'REPORT unit DEVELOP'!G11+'REPORT unit ORE GETTING'!G29+'REPORT unit DT HAUL'!H79+'REPORT unit LV &amp; support'!E37</f>
        <v>373910</v>
      </c>
      <c r="K18" s="175" t="s">
        <v>142</v>
      </c>
      <c r="L18" s="107"/>
    </row>
    <row r="19" spans="2:14" ht="15.6" x14ac:dyDescent="0.3">
      <c r="B19" s="107"/>
      <c r="C19" s="109"/>
      <c r="D19" s="109"/>
      <c r="E19" s="113"/>
      <c r="F19" s="107"/>
      <c r="G19" s="107"/>
      <c r="H19" s="188"/>
      <c r="I19" s="171" t="s">
        <v>365</v>
      </c>
      <c r="J19" s="162">
        <f>J17/J18</f>
        <v>1.5605752921291223</v>
      </c>
      <c r="K19" s="175"/>
      <c r="L19" s="107"/>
      <c r="N19" s="180"/>
    </row>
    <row r="20" spans="2:14" ht="7.95" customHeight="1" x14ac:dyDescent="0.3">
      <c r="B20" s="107"/>
      <c r="C20" s="109"/>
      <c r="D20" s="109"/>
      <c r="E20" s="113"/>
      <c r="F20" s="107"/>
      <c r="G20" s="107"/>
      <c r="H20" s="170"/>
      <c r="I20" s="116"/>
      <c r="J20" s="122"/>
      <c r="K20" s="112"/>
      <c r="L20" s="107"/>
    </row>
    <row r="21" spans="2:14" ht="17.399999999999999" x14ac:dyDescent="0.3">
      <c r="B21" s="107"/>
      <c r="C21" s="119" t="s">
        <v>171</v>
      </c>
      <c r="D21" s="119"/>
      <c r="E21" s="120"/>
      <c r="F21" s="107"/>
      <c r="G21" s="107"/>
      <c r="H21" s="176" t="s">
        <v>373</v>
      </c>
      <c r="I21" s="112"/>
      <c r="J21" s="122"/>
      <c r="K21" s="107"/>
      <c r="L21" s="107"/>
    </row>
    <row r="22" spans="2:14" ht="15.6" x14ac:dyDescent="0.3">
      <c r="B22" s="107"/>
      <c r="C22" s="123" t="s">
        <v>172</v>
      </c>
      <c r="D22" s="183">
        <f>'REPORT unit OB'!J40</f>
        <v>5863845675.0929871</v>
      </c>
      <c r="E22" s="183"/>
      <c r="F22" s="183"/>
      <c r="G22" s="107"/>
      <c r="H22" s="109" t="s">
        <v>181</v>
      </c>
      <c r="I22" s="125">
        <f>J22/$J$30</f>
        <v>0.31881979292043428</v>
      </c>
      <c r="J22" s="126">
        <f>D22/E11</f>
        <v>28979.792413889903</v>
      </c>
      <c r="K22" s="127">
        <f>J22/$J$32</f>
        <v>1.9517640364958178</v>
      </c>
      <c r="L22" s="127"/>
    </row>
    <row r="23" spans="2:14" ht="15.6" x14ac:dyDescent="0.3">
      <c r="B23" s="107"/>
      <c r="C23" s="123" t="s">
        <v>173</v>
      </c>
      <c r="D23" s="183">
        <f>'REPORT unit QUARRY'!J26</f>
        <v>913239430.08529866</v>
      </c>
      <c r="E23" s="183"/>
      <c r="F23" s="183"/>
      <c r="G23" s="107"/>
      <c r="H23" s="109" t="s">
        <v>182</v>
      </c>
      <c r="I23" s="125">
        <f t="shared" ref="I23:I27" si="2">J23/$J$30</f>
        <v>4.9653217720801161E-2</v>
      </c>
      <c r="J23" s="126">
        <f>D23/E11</f>
        <v>4513.333156168268</v>
      </c>
      <c r="K23" s="127">
        <f t="shared" ref="K23:K27" si="3">J23/$J$32</f>
        <v>0.30396909726348786</v>
      </c>
      <c r="L23" s="127"/>
    </row>
    <row r="24" spans="2:14" ht="15.6" x14ac:dyDescent="0.3">
      <c r="B24" s="107"/>
      <c r="C24" s="123" t="s">
        <v>174</v>
      </c>
      <c r="D24" s="183">
        <f>'REPORT unit DEVELOP'!J11</f>
        <v>50126000</v>
      </c>
      <c r="E24" s="183"/>
      <c r="F24" s="183"/>
      <c r="G24" s="107"/>
      <c r="H24" s="109" t="s">
        <v>177</v>
      </c>
      <c r="I24" s="125">
        <f t="shared" si="2"/>
        <v>2.7253720212676411E-3</v>
      </c>
      <c r="J24" s="126">
        <f>D24/E11</f>
        <v>247.72839447477611</v>
      </c>
      <c r="K24" s="127">
        <f t="shared" si="3"/>
        <v>1.6684293808915417E-2</v>
      </c>
      <c r="L24" s="127"/>
    </row>
    <row r="25" spans="2:14" ht="15.6" x14ac:dyDescent="0.3">
      <c r="B25" s="107"/>
      <c r="C25" s="123" t="s">
        <v>175</v>
      </c>
      <c r="D25" s="183">
        <f>'REPORT unit ORE GETTING'!J29</f>
        <v>1626803827.5208366</v>
      </c>
      <c r="E25" s="183"/>
      <c r="F25" s="183"/>
      <c r="G25" s="107"/>
      <c r="H25" s="109" t="s">
        <v>178</v>
      </c>
      <c r="I25" s="125">
        <f t="shared" si="2"/>
        <v>8.8450018665291411E-2</v>
      </c>
      <c r="J25" s="126">
        <f>D25/E11</f>
        <v>8039.8495853879713</v>
      </c>
      <c r="K25" s="127">
        <f t="shared" si="3"/>
        <v>0.54147693867106483</v>
      </c>
      <c r="L25" s="127"/>
    </row>
    <row r="26" spans="2:14" ht="15.6" x14ac:dyDescent="0.3">
      <c r="B26" s="107"/>
      <c r="C26" s="123" t="s">
        <v>176</v>
      </c>
      <c r="D26" s="183">
        <f>'REPORT unit DT HAUL'!M79</f>
        <v>9642996500</v>
      </c>
      <c r="E26" s="183"/>
      <c r="F26" s="183"/>
      <c r="G26" s="107"/>
      <c r="H26" s="109" t="s">
        <v>179</v>
      </c>
      <c r="I26" s="125">
        <f t="shared" si="2"/>
        <v>0.52429383677695773</v>
      </c>
      <c r="J26" s="126">
        <f>D26/E11</f>
        <v>47656.785717409832</v>
      </c>
      <c r="K26" s="127">
        <f t="shared" si="3"/>
        <v>3.2096434346315887</v>
      </c>
      <c r="L26" s="127"/>
    </row>
    <row r="27" spans="2:14" ht="15.6" x14ac:dyDescent="0.3">
      <c r="B27" s="107"/>
      <c r="C27" s="123" t="s">
        <v>83</v>
      </c>
      <c r="D27" s="183">
        <f>'REPORT unit LV &amp; support'!H37</f>
        <v>295340000</v>
      </c>
      <c r="E27" s="183"/>
      <c r="F27" s="183"/>
      <c r="G27" s="107"/>
      <c r="H27" s="109" t="s">
        <v>180</v>
      </c>
      <c r="I27" s="125">
        <f t="shared" si="2"/>
        <v>1.6057761895247678E-2</v>
      </c>
      <c r="J27" s="126">
        <f>D27/E11</f>
        <v>1459.6038787092602</v>
      </c>
      <c r="K27" s="127">
        <f t="shared" si="3"/>
        <v>9.8303062951862891E-2</v>
      </c>
      <c r="L27" s="127"/>
    </row>
    <row r="28" spans="2:14" ht="15.6" x14ac:dyDescent="0.3">
      <c r="B28" s="107"/>
      <c r="C28" s="123"/>
      <c r="D28" s="123"/>
      <c r="E28" s="124"/>
      <c r="F28" s="107"/>
      <c r="G28" s="107"/>
      <c r="H28" s="115"/>
      <c r="I28" s="128">
        <f>SUM(I22:I27)</f>
        <v>0.99999999999999989</v>
      </c>
      <c r="J28" s="129">
        <f t="shared" ref="J28:K28" si="4">SUM(J22:J27)</f>
        <v>90897.093146040002</v>
      </c>
      <c r="K28" s="130">
        <f t="shared" si="4"/>
        <v>6.1218408638227375</v>
      </c>
      <c r="L28" s="130"/>
    </row>
    <row r="29" spans="2:14" ht="15.6" x14ac:dyDescent="0.3">
      <c r="B29" s="107"/>
      <c r="C29" s="131"/>
      <c r="D29" s="131"/>
      <c r="E29" s="132"/>
      <c r="F29" s="107"/>
      <c r="G29" s="107"/>
      <c r="H29" s="133"/>
      <c r="I29" s="125"/>
      <c r="J29" s="134"/>
      <c r="K29" s="135"/>
      <c r="L29" s="135"/>
    </row>
    <row r="30" spans="2:14" ht="18" x14ac:dyDescent="0.3">
      <c r="B30" s="107"/>
      <c r="C30" s="136" t="s">
        <v>46</v>
      </c>
      <c r="D30" s="197">
        <f>SUM(D22:F27)</f>
        <v>18392351432.699123</v>
      </c>
      <c r="E30" s="197"/>
      <c r="F30" s="197"/>
      <c r="G30" s="138"/>
      <c r="H30" s="133" t="s">
        <v>95</v>
      </c>
      <c r="I30" s="139"/>
      <c r="J30" s="190">
        <f>D30/E11</f>
        <v>90897.093146040017</v>
      </c>
      <c r="K30" s="190"/>
      <c r="L30" s="135"/>
    </row>
    <row r="31" spans="2:14" ht="18" x14ac:dyDescent="0.3">
      <c r="B31" s="107"/>
      <c r="C31" s="136" t="s">
        <v>49</v>
      </c>
      <c r="D31" s="191">
        <f>E11*(J33*J32)</f>
        <v>31546016033.280003</v>
      </c>
      <c r="E31" s="191"/>
      <c r="F31" s="191"/>
      <c r="G31" s="138"/>
      <c r="H31" s="133" t="s">
        <v>85</v>
      </c>
      <c r="I31" s="139"/>
      <c r="J31" s="192">
        <f>J30/J32</f>
        <v>6.1218408638227384</v>
      </c>
      <c r="K31" s="192"/>
      <c r="L31" s="142"/>
    </row>
    <row r="32" spans="2:14" ht="18" x14ac:dyDescent="0.3">
      <c r="B32" s="107"/>
      <c r="C32" s="136"/>
      <c r="D32" s="191"/>
      <c r="E32" s="191"/>
      <c r="F32" s="191"/>
      <c r="G32" s="138"/>
      <c r="H32" s="143" t="s">
        <v>80</v>
      </c>
      <c r="I32" s="144"/>
      <c r="J32" s="193">
        <v>14848</v>
      </c>
      <c r="K32" s="193"/>
      <c r="L32" s="107"/>
    </row>
    <row r="33" spans="2:12" ht="18" x14ac:dyDescent="0.3">
      <c r="B33" s="107"/>
      <c r="C33" s="194" t="s">
        <v>81</v>
      </c>
      <c r="D33" s="195">
        <f>D31-D30</f>
        <v>13153664600.580879</v>
      </c>
      <c r="E33" s="195"/>
      <c r="F33" s="195"/>
      <c r="G33" s="107"/>
      <c r="H33" s="143" t="s">
        <v>86</v>
      </c>
      <c r="I33" s="144"/>
      <c r="J33" s="196">
        <v>10.5</v>
      </c>
      <c r="K33" s="196"/>
      <c r="L33" s="107"/>
    </row>
    <row r="34" spans="2:12" ht="18" x14ac:dyDescent="0.3">
      <c r="B34" s="107"/>
      <c r="C34" s="194"/>
      <c r="D34" s="195"/>
      <c r="E34" s="195"/>
      <c r="F34" s="195"/>
      <c r="G34" s="107"/>
      <c r="H34" s="143"/>
      <c r="I34" s="144"/>
      <c r="J34" s="150"/>
      <c r="K34" s="107"/>
      <c r="L34" s="107"/>
    </row>
    <row r="35" spans="2:12" ht="14.4" customHeight="1" x14ac:dyDescent="0.3">
      <c r="B35" s="189" t="str">
        <f>IF(D31&lt;D30,("….RUGI …..!!!!!"),("OKE….."))</f>
        <v>OKE…..</v>
      </c>
      <c r="C35" s="189"/>
      <c r="D35" s="189"/>
      <c r="E35" s="189"/>
      <c r="F35" s="189"/>
      <c r="G35" s="189"/>
      <c r="H35" s="189"/>
      <c r="I35" s="189"/>
      <c r="J35" s="189"/>
      <c r="K35" s="189"/>
      <c r="L35" s="189"/>
    </row>
    <row r="36" spans="2:12" ht="14.4" customHeight="1" x14ac:dyDescent="0.3">
      <c r="B36" s="189"/>
      <c r="C36" s="189"/>
      <c r="D36" s="189"/>
      <c r="E36" s="189"/>
      <c r="F36" s="189"/>
      <c r="G36" s="189"/>
      <c r="H36" s="189"/>
      <c r="I36" s="189"/>
      <c r="J36" s="189"/>
      <c r="K36" s="189"/>
      <c r="L36" s="189"/>
    </row>
    <row r="37" spans="2:12" ht="14.4" customHeight="1" x14ac:dyDescent="0.3">
      <c r="B37" s="189"/>
      <c r="C37" s="189"/>
      <c r="D37" s="189"/>
      <c r="E37" s="189"/>
      <c r="F37" s="189"/>
      <c r="G37" s="189"/>
      <c r="H37" s="189"/>
      <c r="I37" s="189"/>
      <c r="J37" s="189"/>
      <c r="K37" s="189"/>
      <c r="L37" s="189"/>
    </row>
    <row r="39" spans="2:12" x14ac:dyDescent="0.3">
      <c r="H39" s="153"/>
    </row>
  </sheetData>
  <mergeCells count="21">
    <mergeCell ref="B35:L37"/>
    <mergeCell ref="J30:K30"/>
    <mergeCell ref="D31:F31"/>
    <mergeCell ref="J31:K31"/>
    <mergeCell ref="D32:F32"/>
    <mergeCell ref="J32:K32"/>
    <mergeCell ref="C33:C34"/>
    <mergeCell ref="D33:F34"/>
    <mergeCell ref="J33:K33"/>
    <mergeCell ref="D30:F30"/>
    <mergeCell ref="D23:F23"/>
    <mergeCell ref="D24:F24"/>
    <mergeCell ref="D25:F25"/>
    <mergeCell ref="D26:F26"/>
    <mergeCell ref="D27:F27"/>
    <mergeCell ref="D22:F22"/>
    <mergeCell ref="B2:L3"/>
    <mergeCell ref="C5:C7"/>
    <mergeCell ref="D5:F7"/>
    <mergeCell ref="H5:J7"/>
    <mergeCell ref="H17:H19"/>
  </mergeCells>
  <conditionalFormatting sqref="D33">
    <cfRule type="iconSet" priority="7">
      <iconSet iconSet="3Arrows">
        <cfvo type="percent" val="0"/>
        <cfvo type="percent" val="33"/>
        <cfvo type="percent" val="50"/>
      </iconSet>
    </cfRule>
  </conditionalFormatting>
  <conditionalFormatting sqref="F10:F14 F18">
    <cfRule type="cellIs" dxfId="26" priority="4" operator="lessThan">
      <formula>0.7</formula>
    </cfRule>
    <cfRule type="cellIs" dxfId="25" priority="5" operator="between">
      <formula>1</formula>
      <formula>0.7</formula>
    </cfRule>
    <cfRule type="cellIs" dxfId="24" priority="6" operator="greaterThan">
      <formula>1</formula>
    </cfRule>
  </conditionalFormatting>
  <conditionalFormatting sqref="J19">
    <cfRule type="cellIs" dxfId="23" priority="1" operator="lessThan">
      <formula>0.7</formula>
    </cfRule>
    <cfRule type="cellIs" dxfId="22" priority="2" operator="between">
      <formula>1</formula>
      <formula>0.7</formula>
    </cfRule>
    <cfRule type="cellIs" dxfId="21" priority="3" operator="greaterThan">
      <formula>1</formula>
    </cfRule>
  </conditionalFormatting>
  <printOptions horizontalCentered="1" verticalCentered="1"/>
  <pageMargins left="0.2" right="0.2" top="0.25" bottom="0.25" header="0.3" footer="0.3"/>
  <pageSetup paperSize="9" scale="92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/>
  </sheetPr>
  <dimension ref="A1:AL40"/>
  <sheetViews>
    <sheetView zoomScale="85" zoomScaleNormal="85" workbookViewId="0">
      <pane xSplit="4" ySplit="3" topLeftCell="E4" activePane="bottomRight" state="frozenSplit"/>
      <selection activeCell="AI27" sqref="E4:AI27"/>
      <selection pane="topRight" activeCell="AI27" sqref="E4:AI27"/>
      <selection pane="bottomLeft" activeCell="AI27" sqref="E4:AI27"/>
      <selection pane="bottomRight" activeCell="AI27" sqref="E4:AI27"/>
    </sheetView>
  </sheetViews>
  <sheetFormatPr defaultRowHeight="14.4" x14ac:dyDescent="0.3"/>
  <cols>
    <col min="1" max="1" width="11.21875" style="4" customWidth="1"/>
    <col min="2" max="2" width="21" style="1" bestFit="1" customWidth="1"/>
    <col min="3" max="3" width="3.88671875" style="1" bestFit="1" customWidth="1"/>
    <col min="4" max="4" width="22.109375" style="1" customWidth="1"/>
    <col min="5" max="6" width="9.6640625" style="1" customWidth="1"/>
    <col min="7" max="7" width="10.33203125" style="1" bestFit="1" customWidth="1"/>
    <col min="8" max="8" width="9.6640625" style="1" customWidth="1"/>
    <col min="9" max="9" width="10.5546875" style="1" bestFit="1" customWidth="1"/>
    <col min="10" max="13" width="9.6640625" style="1" customWidth="1"/>
    <col min="14" max="14" width="11.33203125" style="1" bestFit="1" customWidth="1"/>
    <col min="15" max="24" width="9.6640625" style="1" customWidth="1"/>
    <col min="25" max="25" width="10.33203125" style="1" bestFit="1" customWidth="1"/>
    <col min="26" max="30" width="9.6640625" style="1" customWidth="1"/>
    <col min="31" max="31" width="10.5546875" style="1" customWidth="1"/>
    <col min="32" max="35" width="9.6640625" style="1" customWidth="1"/>
    <col min="36" max="36" width="14.88671875" style="2" bestFit="1" customWidth="1"/>
    <col min="37" max="37" width="15" style="1" bestFit="1" customWidth="1"/>
    <col min="38" max="256" width="9.109375" style="1"/>
    <col min="257" max="257" width="21" style="1" bestFit="1" customWidth="1"/>
    <col min="258" max="258" width="3.88671875" style="1" bestFit="1" customWidth="1"/>
    <col min="259" max="259" width="21" style="1" bestFit="1" customWidth="1"/>
    <col min="260" max="260" width="11.88671875" style="1" customWidth="1"/>
    <col min="261" max="261" width="11.5546875" style="1" customWidth="1"/>
    <col min="262" max="262" width="12" style="1" customWidth="1"/>
    <col min="263" max="263" width="11.5546875" style="1" customWidth="1"/>
    <col min="264" max="265" width="10.33203125" style="1" customWidth="1"/>
    <col min="266" max="280" width="8.88671875" style="1" customWidth="1"/>
    <col min="281" max="281" width="10.5546875" style="1" bestFit="1" customWidth="1"/>
    <col min="282" max="284" width="8.88671875" style="1" customWidth="1"/>
    <col min="285" max="286" width="9.109375" style="1"/>
    <col min="287" max="287" width="9.5546875" style="1" customWidth="1"/>
    <col min="288" max="288" width="10.33203125" style="1" customWidth="1"/>
    <col min="289" max="289" width="9.6640625" style="1" customWidth="1"/>
    <col min="290" max="290" width="10.33203125" style="1" customWidth="1"/>
    <col min="291" max="291" width="14.88671875" style="1" bestFit="1" customWidth="1"/>
    <col min="292" max="512" width="9.109375" style="1"/>
    <col min="513" max="513" width="21" style="1" bestFit="1" customWidth="1"/>
    <col min="514" max="514" width="3.88671875" style="1" bestFit="1" customWidth="1"/>
    <col min="515" max="515" width="21" style="1" bestFit="1" customWidth="1"/>
    <col min="516" max="516" width="11.88671875" style="1" customWidth="1"/>
    <col min="517" max="517" width="11.5546875" style="1" customWidth="1"/>
    <col min="518" max="518" width="12" style="1" customWidth="1"/>
    <col min="519" max="519" width="11.5546875" style="1" customWidth="1"/>
    <col min="520" max="521" width="10.33203125" style="1" customWidth="1"/>
    <col min="522" max="536" width="8.88671875" style="1" customWidth="1"/>
    <col min="537" max="537" width="10.5546875" style="1" bestFit="1" customWidth="1"/>
    <col min="538" max="540" width="8.88671875" style="1" customWidth="1"/>
    <col min="541" max="542" width="9.109375" style="1"/>
    <col min="543" max="543" width="9.5546875" style="1" customWidth="1"/>
    <col min="544" max="544" width="10.33203125" style="1" customWidth="1"/>
    <col min="545" max="545" width="9.6640625" style="1" customWidth="1"/>
    <col min="546" max="546" width="10.33203125" style="1" customWidth="1"/>
    <col min="547" max="547" width="14.88671875" style="1" bestFit="1" customWidth="1"/>
    <col min="548" max="768" width="9.109375" style="1"/>
    <col min="769" max="769" width="21" style="1" bestFit="1" customWidth="1"/>
    <col min="770" max="770" width="3.88671875" style="1" bestFit="1" customWidth="1"/>
    <col min="771" max="771" width="21" style="1" bestFit="1" customWidth="1"/>
    <col min="772" max="772" width="11.88671875" style="1" customWidth="1"/>
    <col min="773" max="773" width="11.5546875" style="1" customWidth="1"/>
    <col min="774" max="774" width="12" style="1" customWidth="1"/>
    <col min="775" max="775" width="11.5546875" style="1" customWidth="1"/>
    <col min="776" max="777" width="10.33203125" style="1" customWidth="1"/>
    <col min="778" max="792" width="8.88671875" style="1" customWidth="1"/>
    <col min="793" max="793" width="10.5546875" style="1" bestFit="1" customWidth="1"/>
    <col min="794" max="796" width="8.88671875" style="1" customWidth="1"/>
    <col min="797" max="798" width="9.109375" style="1"/>
    <col min="799" max="799" width="9.5546875" style="1" customWidth="1"/>
    <col min="800" max="800" width="10.33203125" style="1" customWidth="1"/>
    <col min="801" max="801" width="9.6640625" style="1" customWidth="1"/>
    <col min="802" max="802" width="10.33203125" style="1" customWidth="1"/>
    <col min="803" max="803" width="14.88671875" style="1" bestFit="1" customWidth="1"/>
    <col min="804" max="1024" width="9.109375" style="1"/>
    <col min="1025" max="1025" width="21" style="1" bestFit="1" customWidth="1"/>
    <col min="1026" max="1026" width="3.88671875" style="1" bestFit="1" customWidth="1"/>
    <col min="1027" max="1027" width="21" style="1" bestFit="1" customWidth="1"/>
    <col min="1028" max="1028" width="11.88671875" style="1" customWidth="1"/>
    <col min="1029" max="1029" width="11.5546875" style="1" customWidth="1"/>
    <col min="1030" max="1030" width="12" style="1" customWidth="1"/>
    <col min="1031" max="1031" width="11.5546875" style="1" customWidth="1"/>
    <col min="1032" max="1033" width="10.33203125" style="1" customWidth="1"/>
    <col min="1034" max="1048" width="8.88671875" style="1" customWidth="1"/>
    <col min="1049" max="1049" width="10.5546875" style="1" bestFit="1" customWidth="1"/>
    <col min="1050" max="1052" width="8.88671875" style="1" customWidth="1"/>
    <col min="1053" max="1054" width="9.109375" style="1"/>
    <col min="1055" max="1055" width="9.5546875" style="1" customWidth="1"/>
    <col min="1056" max="1056" width="10.33203125" style="1" customWidth="1"/>
    <col min="1057" max="1057" width="9.6640625" style="1" customWidth="1"/>
    <col min="1058" max="1058" width="10.33203125" style="1" customWidth="1"/>
    <col min="1059" max="1059" width="14.88671875" style="1" bestFit="1" customWidth="1"/>
    <col min="1060" max="1280" width="9.109375" style="1"/>
    <col min="1281" max="1281" width="21" style="1" bestFit="1" customWidth="1"/>
    <col min="1282" max="1282" width="3.88671875" style="1" bestFit="1" customWidth="1"/>
    <col min="1283" max="1283" width="21" style="1" bestFit="1" customWidth="1"/>
    <col min="1284" max="1284" width="11.88671875" style="1" customWidth="1"/>
    <col min="1285" max="1285" width="11.5546875" style="1" customWidth="1"/>
    <col min="1286" max="1286" width="12" style="1" customWidth="1"/>
    <col min="1287" max="1287" width="11.5546875" style="1" customWidth="1"/>
    <col min="1288" max="1289" width="10.33203125" style="1" customWidth="1"/>
    <col min="1290" max="1304" width="8.88671875" style="1" customWidth="1"/>
    <col min="1305" max="1305" width="10.5546875" style="1" bestFit="1" customWidth="1"/>
    <col min="1306" max="1308" width="8.88671875" style="1" customWidth="1"/>
    <col min="1309" max="1310" width="9.109375" style="1"/>
    <col min="1311" max="1311" width="9.5546875" style="1" customWidth="1"/>
    <col min="1312" max="1312" width="10.33203125" style="1" customWidth="1"/>
    <col min="1313" max="1313" width="9.6640625" style="1" customWidth="1"/>
    <col min="1314" max="1314" width="10.33203125" style="1" customWidth="1"/>
    <col min="1315" max="1315" width="14.88671875" style="1" bestFit="1" customWidth="1"/>
    <col min="1316" max="1536" width="9.109375" style="1"/>
    <col min="1537" max="1537" width="21" style="1" bestFit="1" customWidth="1"/>
    <col min="1538" max="1538" width="3.88671875" style="1" bestFit="1" customWidth="1"/>
    <col min="1539" max="1539" width="21" style="1" bestFit="1" customWidth="1"/>
    <col min="1540" max="1540" width="11.88671875" style="1" customWidth="1"/>
    <col min="1541" max="1541" width="11.5546875" style="1" customWidth="1"/>
    <col min="1542" max="1542" width="12" style="1" customWidth="1"/>
    <col min="1543" max="1543" width="11.5546875" style="1" customWidth="1"/>
    <col min="1544" max="1545" width="10.33203125" style="1" customWidth="1"/>
    <col min="1546" max="1560" width="8.88671875" style="1" customWidth="1"/>
    <col min="1561" max="1561" width="10.5546875" style="1" bestFit="1" customWidth="1"/>
    <col min="1562" max="1564" width="8.88671875" style="1" customWidth="1"/>
    <col min="1565" max="1566" width="9.109375" style="1"/>
    <col min="1567" max="1567" width="9.5546875" style="1" customWidth="1"/>
    <col min="1568" max="1568" width="10.33203125" style="1" customWidth="1"/>
    <col min="1569" max="1569" width="9.6640625" style="1" customWidth="1"/>
    <col min="1570" max="1570" width="10.33203125" style="1" customWidth="1"/>
    <col min="1571" max="1571" width="14.88671875" style="1" bestFit="1" customWidth="1"/>
    <col min="1572" max="1792" width="9.109375" style="1"/>
    <col min="1793" max="1793" width="21" style="1" bestFit="1" customWidth="1"/>
    <col min="1794" max="1794" width="3.88671875" style="1" bestFit="1" customWidth="1"/>
    <col min="1795" max="1795" width="21" style="1" bestFit="1" customWidth="1"/>
    <col min="1796" max="1796" width="11.88671875" style="1" customWidth="1"/>
    <col min="1797" max="1797" width="11.5546875" style="1" customWidth="1"/>
    <col min="1798" max="1798" width="12" style="1" customWidth="1"/>
    <col min="1799" max="1799" width="11.5546875" style="1" customWidth="1"/>
    <col min="1800" max="1801" width="10.33203125" style="1" customWidth="1"/>
    <col min="1802" max="1816" width="8.88671875" style="1" customWidth="1"/>
    <col min="1817" max="1817" width="10.5546875" style="1" bestFit="1" customWidth="1"/>
    <col min="1818" max="1820" width="8.88671875" style="1" customWidth="1"/>
    <col min="1821" max="1822" width="9.109375" style="1"/>
    <col min="1823" max="1823" width="9.5546875" style="1" customWidth="1"/>
    <col min="1824" max="1824" width="10.33203125" style="1" customWidth="1"/>
    <col min="1825" max="1825" width="9.6640625" style="1" customWidth="1"/>
    <col min="1826" max="1826" width="10.33203125" style="1" customWidth="1"/>
    <col min="1827" max="1827" width="14.88671875" style="1" bestFit="1" customWidth="1"/>
    <col min="1828" max="2048" width="9.109375" style="1"/>
    <col min="2049" max="2049" width="21" style="1" bestFit="1" customWidth="1"/>
    <col min="2050" max="2050" width="3.88671875" style="1" bestFit="1" customWidth="1"/>
    <col min="2051" max="2051" width="21" style="1" bestFit="1" customWidth="1"/>
    <col min="2052" max="2052" width="11.88671875" style="1" customWidth="1"/>
    <col min="2053" max="2053" width="11.5546875" style="1" customWidth="1"/>
    <col min="2054" max="2054" width="12" style="1" customWidth="1"/>
    <col min="2055" max="2055" width="11.5546875" style="1" customWidth="1"/>
    <col min="2056" max="2057" width="10.33203125" style="1" customWidth="1"/>
    <col min="2058" max="2072" width="8.88671875" style="1" customWidth="1"/>
    <col min="2073" max="2073" width="10.5546875" style="1" bestFit="1" customWidth="1"/>
    <col min="2074" max="2076" width="8.88671875" style="1" customWidth="1"/>
    <col min="2077" max="2078" width="9.109375" style="1"/>
    <col min="2079" max="2079" width="9.5546875" style="1" customWidth="1"/>
    <col min="2080" max="2080" width="10.33203125" style="1" customWidth="1"/>
    <col min="2081" max="2081" width="9.6640625" style="1" customWidth="1"/>
    <col min="2082" max="2082" width="10.33203125" style="1" customWidth="1"/>
    <col min="2083" max="2083" width="14.88671875" style="1" bestFit="1" customWidth="1"/>
    <col min="2084" max="2304" width="9.109375" style="1"/>
    <col min="2305" max="2305" width="21" style="1" bestFit="1" customWidth="1"/>
    <col min="2306" max="2306" width="3.88671875" style="1" bestFit="1" customWidth="1"/>
    <col min="2307" max="2307" width="21" style="1" bestFit="1" customWidth="1"/>
    <col min="2308" max="2308" width="11.88671875" style="1" customWidth="1"/>
    <col min="2309" max="2309" width="11.5546875" style="1" customWidth="1"/>
    <col min="2310" max="2310" width="12" style="1" customWidth="1"/>
    <col min="2311" max="2311" width="11.5546875" style="1" customWidth="1"/>
    <col min="2312" max="2313" width="10.33203125" style="1" customWidth="1"/>
    <col min="2314" max="2328" width="8.88671875" style="1" customWidth="1"/>
    <col min="2329" max="2329" width="10.5546875" style="1" bestFit="1" customWidth="1"/>
    <col min="2330" max="2332" width="8.88671875" style="1" customWidth="1"/>
    <col min="2333" max="2334" width="9.109375" style="1"/>
    <col min="2335" max="2335" width="9.5546875" style="1" customWidth="1"/>
    <col min="2336" max="2336" width="10.33203125" style="1" customWidth="1"/>
    <col min="2337" max="2337" width="9.6640625" style="1" customWidth="1"/>
    <col min="2338" max="2338" width="10.33203125" style="1" customWidth="1"/>
    <col min="2339" max="2339" width="14.88671875" style="1" bestFit="1" customWidth="1"/>
    <col min="2340" max="2560" width="9.109375" style="1"/>
    <col min="2561" max="2561" width="21" style="1" bestFit="1" customWidth="1"/>
    <col min="2562" max="2562" width="3.88671875" style="1" bestFit="1" customWidth="1"/>
    <col min="2563" max="2563" width="21" style="1" bestFit="1" customWidth="1"/>
    <col min="2564" max="2564" width="11.88671875" style="1" customWidth="1"/>
    <col min="2565" max="2565" width="11.5546875" style="1" customWidth="1"/>
    <col min="2566" max="2566" width="12" style="1" customWidth="1"/>
    <col min="2567" max="2567" width="11.5546875" style="1" customWidth="1"/>
    <col min="2568" max="2569" width="10.33203125" style="1" customWidth="1"/>
    <col min="2570" max="2584" width="8.88671875" style="1" customWidth="1"/>
    <col min="2585" max="2585" width="10.5546875" style="1" bestFit="1" customWidth="1"/>
    <col min="2586" max="2588" width="8.88671875" style="1" customWidth="1"/>
    <col min="2589" max="2590" width="9.109375" style="1"/>
    <col min="2591" max="2591" width="9.5546875" style="1" customWidth="1"/>
    <col min="2592" max="2592" width="10.33203125" style="1" customWidth="1"/>
    <col min="2593" max="2593" width="9.6640625" style="1" customWidth="1"/>
    <col min="2594" max="2594" width="10.33203125" style="1" customWidth="1"/>
    <col min="2595" max="2595" width="14.88671875" style="1" bestFit="1" customWidth="1"/>
    <col min="2596" max="2816" width="9.109375" style="1"/>
    <col min="2817" max="2817" width="21" style="1" bestFit="1" customWidth="1"/>
    <col min="2818" max="2818" width="3.88671875" style="1" bestFit="1" customWidth="1"/>
    <col min="2819" max="2819" width="21" style="1" bestFit="1" customWidth="1"/>
    <col min="2820" max="2820" width="11.88671875" style="1" customWidth="1"/>
    <col min="2821" max="2821" width="11.5546875" style="1" customWidth="1"/>
    <col min="2822" max="2822" width="12" style="1" customWidth="1"/>
    <col min="2823" max="2823" width="11.5546875" style="1" customWidth="1"/>
    <col min="2824" max="2825" width="10.33203125" style="1" customWidth="1"/>
    <col min="2826" max="2840" width="8.88671875" style="1" customWidth="1"/>
    <col min="2841" max="2841" width="10.5546875" style="1" bestFit="1" customWidth="1"/>
    <col min="2842" max="2844" width="8.88671875" style="1" customWidth="1"/>
    <col min="2845" max="2846" width="9.109375" style="1"/>
    <col min="2847" max="2847" width="9.5546875" style="1" customWidth="1"/>
    <col min="2848" max="2848" width="10.33203125" style="1" customWidth="1"/>
    <col min="2849" max="2849" width="9.6640625" style="1" customWidth="1"/>
    <col min="2850" max="2850" width="10.33203125" style="1" customWidth="1"/>
    <col min="2851" max="2851" width="14.88671875" style="1" bestFit="1" customWidth="1"/>
    <col min="2852" max="3072" width="9.109375" style="1"/>
    <col min="3073" max="3073" width="21" style="1" bestFit="1" customWidth="1"/>
    <col min="3074" max="3074" width="3.88671875" style="1" bestFit="1" customWidth="1"/>
    <col min="3075" max="3075" width="21" style="1" bestFit="1" customWidth="1"/>
    <col min="3076" max="3076" width="11.88671875" style="1" customWidth="1"/>
    <col min="3077" max="3077" width="11.5546875" style="1" customWidth="1"/>
    <col min="3078" max="3078" width="12" style="1" customWidth="1"/>
    <col min="3079" max="3079" width="11.5546875" style="1" customWidth="1"/>
    <col min="3080" max="3081" width="10.33203125" style="1" customWidth="1"/>
    <col min="3082" max="3096" width="8.88671875" style="1" customWidth="1"/>
    <col min="3097" max="3097" width="10.5546875" style="1" bestFit="1" customWidth="1"/>
    <col min="3098" max="3100" width="8.88671875" style="1" customWidth="1"/>
    <col min="3101" max="3102" width="9.109375" style="1"/>
    <col min="3103" max="3103" width="9.5546875" style="1" customWidth="1"/>
    <col min="3104" max="3104" width="10.33203125" style="1" customWidth="1"/>
    <col min="3105" max="3105" width="9.6640625" style="1" customWidth="1"/>
    <col min="3106" max="3106" width="10.33203125" style="1" customWidth="1"/>
    <col min="3107" max="3107" width="14.88671875" style="1" bestFit="1" customWidth="1"/>
    <col min="3108" max="3328" width="9.109375" style="1"/>
    <col min="3329" max="3329" width="21" style="1" bestFit="1" customWidth="1"/>
    <col min="3330" max="3330" width="3.88671875" style="1" bestFit="1" customWidth="1"/>
    <col min="3331" max="3331" width="21" style="1" bestFit="1" customWidth="1"/>
    <col min="3332" max="3332" width="11.88671875" style="1" customWidth="1"/>
    <col min="3333" max="3333" width="11.5546875" style="1" customWidth="1"/>
    <col min="3334" max="3334" width="12" style="1" customWidth="1"/>
    <col min="3335" max="3335" width="11.5546875" style="1" customWidth="1"/>
    <col min="3336" max="3337" width="10.33203125" style="1" customWidth="1"/>
    <col min="3338" max="3352" width="8.88671875" style="1" customWidth="1"/>
    <col min="3353" max="3353" width="10.5546875" style="1" bestFit="1" customWidth="1"/>
    <col min="3354" max="3356" width="8.88671875" style="1" customWidth="1"/>
    <col min="3357" max="3358" width="9.109375" style="1"/>
    <col min="3359" max="3359" width="9.5546875" style="1" customWidth="1"/>
    <col min="3360" max="3360" width="10.33203125" style="1" customWidth="1"/>
    <col min="3361" max="3361" width="9.6640625" style="1" customWidth="1"/>
    <col min="3362" max="3362" width="10.33203125" style="1" customWidth="1"/>
    <col min="3363" max="3363" width="14.88671875" style="1" bestFit="1" customWidth="1"/>
    <col min="3364" max="3584" width="9.109375" style="1"/>
    <col min="3585" max="3585" width="21" style="1" bestFit="1" customWidth="1"/>
    <col min="3586" max="3586" width="3.88671875" style="1" bestFit="1" customWidth="1"/>
    <col min="3587" max="3587" width="21" style="1" bestFit="1" customWidth="1"/>
    <col min="3588" max="3588" width="11.88671875" style="1" customWidth="1"/>
    <col min="3589" max="3589" width="11.5546875" style="1" customWidth="1"/>
    <col min="3590" max="3590" width="12" style="1" customWidth="1"/>
    <col min="3591" max="3591" width="11.5546875" style="1" customWidth="1"/>
    <col min="3592" max="3593" width="10.33203125" style="1" customWidth="1"/>
    <col min="3594" max="3608" width="8.88671875" style="1" customWidth="1"/>
    <col min="3609" max="3609" width="10.5546875" style="1" bestFit="1" customWidth="1"/>
    <col min="3610" max="3612" width="8.88671875" style="1" customWidth="1"/>
    <col min="3613" max="3614" width="9.109375" style="1"/>
    <col min="3615" max="3615" width="9.5546875" style="1" customWidth="1"/>
    <col min="3616" max="3616" width="10.33203125" style="1" customWidth="1"/>
    <col min="3617" max="3617" width="9.6640625" style="1" customWidth="1"/>
    <col min="3618" max="3618" width="10.33203125" style="1" customWidth="1"/>
    <col min="3619" max="3619" width="14.88671875" style="1" bestFit="1" customWidth="1"/>
    <col min="3620" max="3840" width="9.109375" style="1"/>
    <col min="3841" max="3841" width="21" style="1" bestFit="1" customWidth="1"/>
    <col min="3842" max="3842" width="3.88671875" style="1" bestFit="1" customWidth="1"/>
    <col min="3843" max="3843" width="21" style="1" bestFit="1" customWidth="1"/>
    <col min="3844" max="3844" width="11.88671875" style="1" customWidth="1"/>
    <col min="3845" max="3845" width="11.5546875" style="1" customWidth="1"/>
    <col min="3846" max="3846" width="12" style="1" customWidth="1"/>
    <col min="3847" max="3847" width="11.5546875" style="1" customWidth="1"/>
    <col min="3848" max="3849" width="10.33203125" style="1" customWidth="1"/>
    <col min="3850" max="3864" width="8.88671875" style="1" customWidth="1"/>
    <col min="3865" max="3865" width="10.5546875" style="1" bestFit="1" customWidth="1"/>
    <col min="3866" max="3868" width="8.88671875" style="1" customWidth="1"/>
    <col min="3869" max="3870" width="9.109375" style="1"/>
    <col min="3871" max="3871" width="9.5546875" style="1" customWidth="1"/>
    <col min="3872" max="3872" width="10.33203125" style="1" customWidth="1"/>
    <col min="3873" max="3873" width="9.6640625" style="1" customWidth="1"/>
    <col min="3874" max="3874" width="10.33203125" style="1" customWidth="1"/>
    <col min="3875" max="3875" width="14.88671875" style="1" bestFit="1" customWidth="1"/>
    <col min="3876" max="4096" width="9.109375" style="1"/>
    <col min="4097" max="4097" width="21" style="1" bestFit="1" customWidth="1"/>
    <col min="4098" max="4098" width="3.88671875" style="1" bestFit="1" customWidth="1"/>
    <col min="4099" max="4099" width="21" style="1" bestFit="1" customWidth="1"/>
    <col min="4100" max="4100" width="11.88671875" style="1" customWidth="1"/>
    <col min="4101" max="4101" width="11.5546875" style="1" customWidth="1"/>
    <col min="4102" max="4102" width="12" style="1" customWidth="1"/>
    <col min="4103" max="4103" width="11.5546875" style="1" customWidth="1"/>
    <col min="4104" max="4105" width="10.33203125" style="1" customWidth="1"/>
    <col min="4106" max="4120" width="8.88671875" style="1" customWidth="1"/>
    <col min="4121" max="4121" width="10.5546875" style="1" bestFit="1" customWidth="1"/>
    <col min="4122" max="4124" width="8.88671875" style="1" customWidth="1"/>
    <col min="4125" max="4126" width="9.109375" style="1"/>
    <col min="4127" max="4127" width="9.5546875" style="1" customWidth="1"/>
    <col min="4128" max="4128" width="10.33203125" style="1" customWidth="1"/>
    <col min="4129" max="4129" width="9.6640625" style="1" customWidth="1"/>
    <col min="4130" max="4130" width="10.33203125" style="1" customWidth="1"/>
    <col min="4131" max="4131" width="14.88671875" style="1" bestFit="1" customWidth="1"/>
    <col min="4132" max="4352" width="9.109375" style="1"/>
    <col min="4353" max="4353" width="21" style="1" bestFit="1" customWidth="1"/>
    <col min="4354" max="4354" width="3.88671875" style="1" bestFit="1" customWidth="1"/>
    <col min="4355" max="4355" width="21" style="1" bestFit="1" customWidth="1"/>
    <col min="4356" max="4356" width="11.88671875" style="1" customWidth="1"/>
    <col min="4357" max="4357" width="11.5546875" style="1" customWidth="1"/>
    <col min="4358" max="4358" width="12" style="1" customWidth="1"/>
    <col min="4359" max="4359" width="11.5546875" style="1" customWidth="1"/>
    <col min="4360" max="4361" width="10.33203125" style="1" customWidth="1"/>
    <col min="4362" max="4376" width="8.88671875" style="1" customWidth="1"/>
    <col min="4377" max="4377" width="10.5546875" style="1" bestFit="1" customWidth="1"/>
    <col min="4378" max="4380" width="8.88671875" style="1" customWidth="1"/>
    <col min="4381" max="4382" width="9.109375" style="1"/>
    <col min="4383" max="4383" width="9.5546875" style="1" customWidth="1"/>
    <col min="4384" max="4384" width="10.33203125" style="1" customWidth="1"/>
    <col min="4385" max="4385" width="9.6640625" style="1" customWidth="1"/>
    <col min="4386" max="4386" width="10.33203125" style="1" customWidth="1"/>
    <col min="4387" max="4387" width="14.88671875" style="1" bestFit="1" customWidth="1"/>
    <col min="4388" max="4608" width="9.109375" style="1"/>
    <col min="4609" max="4609" width="21" style="1" bestFit="1" customWidth="1"/>
    <col min="4610" max="4610" width="3.88671875" style="1" bestFit="1" customWidth="1"/>
    <col min="4611" max="4611" width="21" style="1" bestFit="1" customWidth="1"/>
    <col min="4612" max="4612" width="11.88671875" style="1" customWidth="1"/>
    <col min="4613" max="4613" width="11.5546875" style="1" customWidth="1"/>
    <col min="4614" max="4614" width="12" style="1" customWidth="1"/>
    <col min="4615" max="4615" width="11.5546875" style="1" customWidth="1"/>
    <col min="4616" max="4617" width="10.33203125" style="1" customWidth="1"/>
    <col min="4618" max="4632" width="8.88671875" style="1" customWidth="1"/>
    <col min="4633" max="4633" width="10.5546875" style="1" bestFit="1" customWidth="1"/>
    <col min="4634" max="4636" width="8.88671875" style="1" customWidth="1"/>
    <col min="4637" max="4638" width="9.109375" style="1"/>
    <col min="4639" max="4639" width="9.5546875" style="1" customWidth="1"/>
    <col min="4640" max="4640" width="10.33203125" style="1" customWidth="1"/>
    <col min="4641" max="4641" width="9.6640625" style="1" customWidth="1"/>
    <col min="4642" max="4642" width="10.33203125" style="1" customWidth="1"/>
    <col min="4643" max="4643" width="14.88671875" style="1" bestFit="1" customWidth="1"/>
    <col min="4644" max="4864" width="9.109375" style="1"/>
    <col min="4865" max="4865" width="21" style="1" bestFit="1" customWidth="1"/>
    <col min="4866" max="4866" width="3.88671875" style="1" bestFit="1" customWidth="1"/>
    <col min="4867" max="4867" width="21" style="1" bestFit="1" customWidth="1"/>
    <col min="4868" max="4868" width="11.88671875" style="1" customWidth="1"/>
    <col min="4869" max="4869" width="11.5546875" style="1" customWidth="1"/>
    <col min="4870" max="4870" width="12" style="1" customWidth="1"/>
    <col min="4871" max="4871" width="11.5546875" style="1" customWidth="1"/>
    <col min="4872" max="4873" width="10.33203125" style="1" customWidth="1"/>
    <col min="4874" max="4888" width="8.88671875" style="1" customWidth="1"/>
    <col min="4889" max="4889" width="10.5546875" style="1" bestFit="1" customWidth="1"/>
    <col min="4890" max="4892" width="8.88671875" style="1" customWidth="1"/>
    <col min="4893" max="4894" width="9.109375" style="1"/>
    <col min="4895" max="4895" width="9.5546875" style="1" customWidth="1"/>
    <col min="4896" max="4896" width="10.33203125" style="1" customWidth="1"/>
    <col min="4897" max="4897" width="9.6640625" style="1" customWidth="1"/>
    <col min="4898" max="4898" width="10.33203125" style="1" customWidth="1"/>
    <col min="4899" max="4899" width="14.88671875" style="1" bestFit="1" customWidth="1"/>
    <col min="4900" max="5120" width="9.109375" style="1"/>
    <col min="5121" max="5121" width="21" style="1" bestFit="1" customWidth="1"/>
    <col min="5122" max="5122" width="3.88671875" style="1" bestFit="1" customWidth="1"/>
    <col min="5123" max="5123" width="21" style="1" bestFit="1" customWidth="1"/>
    <col min="5124" max="5124" width="11.88671875" style="1" customWidth="1"/>
    <col min="5125" max="5125" width="11.5546875" style="1" customWidth="1"/>
    <col min="5126" max="5126" width="12" style="1" customWidth="1"/>
    <col min="5127" max="5127" width="11.5546875" style="1" customWidth="1"/>
    <col min="5128" max="5129" width="10.33203125" style="1" customWidth="1"/>
    <col min="5130" max="5144" width="8.88671875" style="1" customWidth="1"/>
    <col min="5145" max="5145" width="10.5546875" style="1" bestFit="1" customWidth="1"/>
    <col min="5146" max="5148" width="8.88671875" style="1" customWidth="1"/>
    <col min="5149" max="5150" width="9.109375" style="1"/>
    <col min="5151" max="5151" width="9.5546875" style="1" customWidth="1"/>
    <col min="5152" max="5152" width="10.33203125" style="1" customWidth="1"/>
    <col min="5153" max="5153" width="9.6640625" style="1" customWidth="1"/>
    <col min="5154" max="5154" width="10.33203125" style="1" customWidth="1"/>
    <col min="5155" max="5155" width="14.88671875" style="1" bestFit="1" customWidth="1"/>
    <col min="5156" max="5376" width="9.109375" style="1"/>
    <col min="5377" max="5377" width="21" style="1" bestFit="1" customWidth="1"/>
    <col min="5378" max="5378" width="3.88671875" style="1" bestFit="1" customWidth="1"/>
    <col min="5379" max="5379" width="21" style="1" bestFit="1" customWidth="1"/>
    <col min="5380" max="5380" width="11.88671875" style="1" customWidth="1"/>
    <col min="5381" max="5381" width="11.5546875" style="1" customWidth="1"/>
    <col min="5382" max="5382" width="12" style="1" customWidth="1"/>
    <col min="5383" max="5383" width="11.5546875" style="1" customWidth="1"/>
    <col min="5384" max="5385" width="10.33203125" style="1" customWidth="1"/>
    <col min="5386" max="5400" width="8.88671875" style="1" customWidth="1"/>
    <col min="5401" max="5401" width="10.5546875" style="1" bestFit="1" customWidth="1"/>
    <col min="5402" max="5404" width="8.88671875" style="1" customWidth="1"/>
    <col min="5405" max="5406" width="9.109375" style="1"/>
    <col min="5407" max="5407" width="9.5546875" style="1" customWidth="1"/>
    <col min="5408" max="5408" width="10.33203125" style="1" customWidth="1"/>
    <col min="5409" max="5409" width="9.6640625" style="1" customWidth="1"/>
    <col min="5410" max="5410" width="10.33203125" style="1" customWidth="1"/>
    <col min="5411" max="5411" width="14.88671875" style="1" bestFit="1" customWidth="1"/>
    <col min="5412" max="5632" width="9.109375" style="1"/>
    <col min="5633" max="5633" width="21" style="1" bestFit="1" customWidth="1"/>
    <col min="5634" max="5634" width="3.88671875" style="1" bestFit="1" customWidth="1"/>
    <col min="5635" max="5635" width="21" style="1" bestFit="1" customWidth="1"/>
    <col min="5636" max="5636" width="11.88671875" style="1" customWidth="1"/>
    <col min="5637" max="5637" width="11.5546875" style="1" customWidth="1"/>
    <col min="5638" max="5638" width="12" style="1" customWidth="1"/>
    <col min="5639" max="5639" width="11.5546875" style="1" customWidth="1"/>
    <col min="5640" max="5641" width="10.33203125" style="1" customWidth="1"/>
    <col min="5642" max="5656" width="8.88671875" style="1" customWidth="1"/>
    <col min="5657" max="5657" width="10.5546875" style="1" bestFit="1" customWidth="1"/>
    <col min="5658" max="5660" width="8.88671875" style="1" customWidth="1"/>
    <col min="5661" max="5662" width="9.109375" style="1"/>
    <col min="5663" max="5663" width="9.5546875" style="1" customWidth="1"/>
    <col min="5664" max="5664" width="10.33203125" style="1" customWidth="1"/>
    <col min="5665" max="5665" width="9.6640625" style="1" customWidth="1"/>
    <col min="5666" max="5666" width="10.33203125" style="1" customWidth="1"/>
    <col min="5667" max="5667" width="14.88671875" style="1" bestFit="1" customWidth="1"/>
    <col min="5668" max="5888" width="9.109375" style="1"/>
    <col min="5889" max="5889" width="21" style="1" bestFit="1" customWidth="1"/>
    <col min="5890" max="5890" width="3.88671875" style="1" bestFit="1" customWidth="1"/>
    <col min="5891" max="5891" width="21" style="1" bestFit="1" customWidth="1"/>
    <col min="5892" max="5892" width="11.88671875" style="1" customWidth="1"/>
    <col min="5893" max="5893" width="11.5546875" style="1" customWidth="1"/>
    <col min="5894" max="5894" width="12" style="1" customWidth="1"/>
    <col min="5895" max="5895" width="11.5546875" style="1" customWidth="1"/>
    <col min="5896" max="5897" width="10.33203125" style="1" customWidth="1"/>
    <col min="5898" max="5912" width="8.88671875" style="1" customWidth="1"/>
    <col min="5913" max="5913" width="10.5546875" style="1" bestFit="1" customWidth="1"/>
    <col min="5914" max="5916" width="8.88671875" style="1" customWidth="1"/>
    <col min="5917" max="5918" width="9.109375" style="1"/>
    <col min="5919" max="5919" width="9.5546875" style="1" customWidth="1"/>
    <col min="5920" max="5920" width="10.33203125" style="1" customWidth="1"/>
    <col min="5921" max="5921" width="9.6640625" style="1" customWidth="1"/>
    <col min="5922" max="5922" width="10.33203125" style="1" customWidth="1"/>
    <col min="5923" max="5923" width="14.88671875" style="1" bestFit="1" customWidth="1"/>
    <col min="5924" max="6144" width="9.109375" style="1"/>
    <col min="6145" max="6145" width="21" style="1" bestFit="1" customWidth="1"/>
    <col min="6146" max="6146" width="3.88671875" style="1" bestFit="1" customWidth="1"/>
    <col min="6147" max="6147" width="21" style="1" bestFit="1" customWidth="1"/>
    <col min="6148" max="6148" width="11.88671875" style="1" customWidth="1"/>
    <col min="6149" max="6149" width="11.5546875" style="1" customWidth="1"/>
    <col min="6150" max="6150" width="12" style="1" customWidth="1"/>
    <col min="6151" max="6151" width="11.5546875" style="1" customWidth="1"/>
    <col min="6152" max="6153" width="10.33203125" style="1" customWidth="1"/>
    <col min="6154" max="6168" width="8.88671875" style="1" customWidth="1"/>
    <col min="6169" max="6169" width="10.5546875" style="1" bestFit="1" customWidth="1"/>
    <col min="6170" max="6172" width="8.88671875" style="1" customWidth="1"/>
    <col min="6173" max="6174" width="9.109375" style="1"/>
    <col min="6175" max="6175" width="9.5546875" style="1" customWidth="1"/>
    <col min="6176" max="6176" width="10.33203125" style="1" customWidth="1"/>
    <col min="6177" max="6177" width="9.6640625" style="1" customWidth="1"/>
    <col min="6178" max="6178" width="10.33203125" style="1" customWidth="1"/>
    <col min="6179" max="6179" width="14.88671875" style="1" bestFit="1" customWidth="1"/>
    <col min="6180" max="6400" width="9.109375" style="1"/>
    <col min="6401" max="6401" width="21" style="1" bestFit="1" customWidth="1"/>
    <col min="6402" max="6402" width="3.88671875" style="1" bestFit="1" customWidth="1"/>
    <col min="6403" max="6403" width="21" style="1" bestFit="1" customWidth="1"/>
    <col min="6404" max="6404" width="11.88671875" style="1" customWidth="1"/>
    <col min="6405" max="6405" width="11.5546875" style="1" customWidth="1"/>
    <col min="6406" max="6406" width="12" style="1" customWidth="1"/>
    <col min="6407" max="6407" width="11.5546875" style="1" customWidth="1"/>
    <col min="6408" max="6409" width="10.33203125" style="1" customWidth="1"/>
    <col min="6410" max="6424" width="8.88671875" style="1" customWidth="1"/>
    <col min="6425" max="6425" width="10.5546875" style="1" bestFit="1" customWidth="1"/>
    <col min="6426" max="6428" width="8.88671875" style="1" customWidth="1"/>
    <col min="6429" max="6430" width="9.109375" style="1"/>
    <col min="6431" max="6431" width="9.5546875" style="1" customWidth="1"/>
    <col min="6432" max="6432" width="10.33203125" style="1" customWidth="1"/>
    <col min="6433" max="6433" width="9.6640625" style="1" customWidth="1"/>
    <col min="6434" max="6434" width="10.33203125" style="1" customWidth="1"/>
    <col min="6435" max="6435" width="14.88671875" style="1" bestFit="1" customWidth="1"/>
    <col min="6436" max="6656" width="9.109375" style="1"/>
    <col min="6657" max="6657" width="21" style="1" bestFit="1" customWidth="1"/>
    <col min="6658" max="6658" width="3.88671875" style="1" bestFit="1" customWidth="1"/>
    <col min="6659" max="6659" width="21" style="1" bestFit="1" customWidth="1"/>
    <col min="6660" max="6660" width="11.88671875" style="1" customWidth="1"/>
    <col min="6661" max="6661" width="11.5546875" style="1" customWidth="1"/>
    <col min="6662" max="6662" width="12" style="1" customWidth="1"/>
    <col min="6663" max="6663" width="11.5546875" style="1" customWidth="1"/>
    <col min="6664" max="6665" width="10.33203125" style="1" customWidth="1"/>
    <col min="6666" max="6680" width="8.88671875" style="1" customWidth="1"/>
    <col min="6681" max="6681" width="10.5546875" style="1" bestFit="1" customWidth="1"/>
    <col min="6682" max="6684" width="8.88671875" style="1" customWidth="1"/>
    <col min="6685" max="6686" width="9.109375" style="1"/>
    <col min="6687" max="6687" width="9.5546875" style="1" customWidth="1"/>
    <col min="6688" max="6688" width="10.33203125" style="1" customWidth="1"/>
    <col min="6689" max="6689" width="9.6640625" style="1" customWidth="1"/>
    <col min="6690" max="6690" width="10.33203125" style="1" customWidth="1"/>
    <col min="6691" max="6691" width="14.88671875" style="1" bestFit="1" customWidth="1"/>
    <col min="6692" max="6912" width="9.109375" style="1"/>
    <col min="6913" max="6913" width="21" style="1" bestFit="1" customWidth="1"/>
    <col min="6914" max="6914" width="3.88671875" style="1" bestFit="1" customWidth="1"/>
    <col min="6915" max="6915" width="21" style="1" bestFit="1" customWidth="1"/>
    <col min="6916" max="6916" width="11.88671875" style="1" customWidth="1"/>
    <col min="6917" max="6917" width="11.5546875" style="1" customWidth="1"/>
    <col min="6918" max="6918" width="12" style="1" customWidth="1"/>
    <col min="6919" max="6919" width="11.5546875" style="1" customWidth="1"/>
    <col min="6920" max="6921" width="10.33203125" style="1" customWidth="1"/>
    <col min="6922" max="6936" width="8.88671875" style="1" customWidth="1"/>
    <col min="6937" max="6937" width="10.5546875" style="1" bestFit="1" customWidth="1"/>
    <col min="6938" max="6940" width="8.88671875" style="1" customWidth="1"/>
    <col min="6941" max="6942" width="9.109375" style="1"/>
    <col min="6943" max="6943" width="9.5546875" style="1" customWidth="1"/>
    <col min="6944" max="6944" width="10.33203125" style="1" customWidth="1"/>
    <col min="6945" max="6945" width="9.6640625" style="1" customWidth="1"/>
    <col min="6946" max="6946" width="10.33203125" style="1" customWidth="1"/>
    <col min="6947" max="6947" width="14.88671875" style="1" bestFit="1" customWidth="1"/>
    <col min="6948" max="7168" width="9.109375" style="1"/>
    <col min="7169" max="7169" width="21" style="1" bestFit="1" customWidth="1"/>
    <col min="7170" max="7170" width="3.88671875" style="1" bestFit="1" customWidth="1"/>
    <col min="7171" max="7171" width="21" style="1" bestFit="1" customWidth="1"/>
    <col min="7172" max="7172" width="11.88671875" style="1" customWidth="1"/>
    <col min="7173" max="7173" width="11.5546875" style="1" customWidth="1"/>
    <col min="7174" max="7174" width="12" style="1" customWidth="1"/>
    <col min="7175" max="7175" width="11.5546875" style="1" customWidth="1"/>
    <col min="7176" max="7177" width="10.33203125" style="1" customWidth="1"/>
    <col min="7178" max="7192" width="8.88671875" style="1" customWidth="1"/>
    <col min="7193" max="7193" width="10.5546875" style="1" bestFit="1" customWidth="1"/>
    <col min="7194" max="7196" width="8.88671875" style="1" customWidth="1"/>
    <col min="7197" max="7198" width="9.109375" style="1"/>
    <col min="7199" max="7199" width="9.5546875" style="1" customWidth="1"/>
    <col min="7200" max="7200" width="10.33203125" style="1" customWidth="1"/>
    <col min="7201" max="7201" width="9.6640625" style="1" customWidth="1"/>
    <col min="7202" max="7202" width="10.33203125" style="1" customWidth="1"/>
    <col min="7203" max="7203" width="14.88671875" style="1" bestFit="1" customWidth="1"/>
    <col min="7204" max="7424" width="9.109375" style="1"/>
    <col min="7425" max="7425" width="21" style="1" bestFit="1" customWidth="1"/>
    <col min="7426" max="7426" width="3.88671875" style="1" bestFit="1" customWidth="1"/>
    <col min="7427" max="7427" width="21" style="1" bestFit="1" customWidth="1"/>
    <col min="7428" max="7428" width="11.88671875" style="1" customWidth="1"/>
    <col min="7429" max="7429" width="11.5546875" style="1" customWidth="1"/>
    <col min="7430" max="7430" width="12" style="1" customWidth="1"/>
    <col min="7431" max="7431" width="11.5546875" style="1" customWidth="1"/>
    <col min="7432" max="7433" width="10.33203125" style="1" customWidth="1"/>
    <col min="7434" max="7448" width="8.88671875" style="1" customWidth="1"/>
    <col min="7449" max="7449" width="10.5546875" style="1" bestFit="1" customWidth="1"/>
    <col min="7450" max="7452" width="8.88671875" style="1" customWidth="1"/>
    <col min="7453" max="7454" width="9.109375" style="1"/>
    <col min="7455" max="7455" width="9.5546875" style="1" customWidth="1"/>
    <col min="7456" max="7456" width="10.33203125" style="1" customWidth="1"/>
    <col min="7457" max="7457" width="9.6640625" style="1" customWidth="1"/>
    <col min="7458" max="7458" width="10.33203125" style="1" customWidth="1"/>
    <col min="7459" max="7459" width="14.88671875" style="1" bestFit="1" customWidth="1"/>
    <col min="7460" max="7680" width="9.109375" style="1"/>
    <col min="7681" max="7681" width="21" style="1" bestFit="1" customWidth="1"/>
    <col min="7682" max="7682" width="3.88671875" style="1" bestFit="1" customWidth="1"/>
    <col min="7683" max="7683" width="21" style="1" bestFit="1" customWidth="1"/>
    <col min="7684" max="7684" width="11.88671875" style="1" customWidth="1"/>
    <col min="7685" max="7685" width="11.5546875" style="1" customWidth="1"/>
    <col min="7686" max="7686" width="12" style="1" customWidth="1"/>
    <col min="7687" max="7687" width="11.5546875" style="1" customWidth="1"/>
    <col min="7688" max="7689" width="10.33203125" style="1" customWidth="1"/>
    <col min="7690" max="7704" width="8.88671875" style="1" customWidth="1"/>
    <col min="7705" max="7705" width="10.5546875" style="1" bestFit="1" customWidth="1"/>
    <col min="7706" max="7708" width="8.88671875" style="1" customWidth="1"/>
    <col min="7709" max="7710" width="9.109375" style="1"/>
    <col min="7711" max="7711" width="9.5546875" style="1" customWidth="1"/>
    <col min="7712" max="7712" width="10.33203125" style="1" customWidth="1"/>
    <col min="7713" max="7713" width="9.6640625" style="1" customWidth="1"/>
    <col min="7714" max="7714" width="10.33203125" style="1" customWidth="1"/>
    <col min="7715" max="7715" width="14.88671875" style="1" bestFit="1" customWidth="1"/>
    <col min="7716" max="7936" width="9.109375" style="1"/>
    <col min="7937" max="7937" width="21" style="1" bestFit="1" customWidth="1"/>
    <col min="7938" max="7938" width="3.88671875" style="1" bestFit="1" customWidth="1"/>
    <col min="7939" max="7939" width="21" style="1" bestFit="1" customWidth="1"/>
    <col min="7940" max="7940" width="11.88671875" style="1" customWidth="1"/>
    <col min="7941" max="7941" width="11.5546875" style="1" customWidth="1"/>
    <col min="7942" max="7942" width="12" style="1" customWidth="1"/>
    <col min="7943" max="7943" width="11.5546875" style="1" customWidth="1"/>
    <col min="7944" max="7945" width="10.33203125" style="1" customWidth="1"/>
    <col min="7946" max="7960" width="8.88671875" style="1" customWidth="1"/>
    <col min="7961" max="7961" width="10.5546875" style="1" bestFit="1" customWidth="1"/>
    <col min="7962" max="7964" width="8.88671875" style="1" customWidth="1"/>
    <col min="7965" max="7966" width="9.109375" style="1"/>
    <col min="7967" max="7967" width="9.5546875" style="1" customWidth="1"/>
    <col min="7968" max="7968" width="10.33203125" style="1" customWidth="1"/>
    <col min="7969" max="7969" width="9.6640625" style="1" customWidth="1"/>
    <col min="7970" max="7970" width="10.33203125" style="1" customWidth="1"/>
    <col min="7971" max="7971" width="14.88671875" style="1" bestFit="1" customWidth="1"/>
    <col min="7972" max="8192" width="9.109375" style="1"/>
    <col min="8193" max="8193" width="21" style="1" bestFit="1" customWidth="1"/>
    <col min="8194" max="8194" width="3.88671875" style="1" bestFit="1" customWidth="1"/>
    <col min="8195" max="8195" width="21" style="1" bestFit="1" customWidth="1"/>
    <col min="8196" max="8196" width="11.88671875" style="1" customWidth="1"/>
    <col min="8197" max="8197" width="11.5546875" style="1" customWidth="1"/>
    <col min="8198" max="8198" width="12" style="1" customWidth="1"/>
    <col min="8199" max="8199" width="11.5546875" style="1" customWidth="1"/>
    <col min="8200" max="8201" width="10.33203125" style="1" customWidth="1"/>
    <col min="8202" max="8216" width="8.88671875" style="1" customWidth="1"/>
    <col min="8217" max="8217" width="10.5546875" style="1" bestFit="1" customWidth="1"/>
    <col min="8218" max="8220" width="8.88671875" style="1" customWidth="1"/>
    <col min="8221" max="8222" width="9.109375" style="1"/>
    <col min="8223" max="8223" width="9.5546875" style="1" customWidth="1"/>
    <col min="8224" max="8224" width="10.33203125" style="1" customWidth="1"/>
    <col min="8225" max="8225" width="9.6640625" style="1" customWidth="1"/>
    <col min="8226" max="8226" width="10.33203125" style="1" customWidth="1"/>
    <col min="8227" max="8227" width="14.88671875" style="1" bestFit="1" customWidth="1"/>
    <col min="8228" max="8448" width="9.109375" style="1"/>
    <col min="8449" max="8449" width="21" style="1" bestFit="1" customWidth="1"/>
    <col min="8450" max="8450" width="3.88671875" style="1" bestFit="1" customWidth="1"/>
    <col min="8451" max="8451" width="21" style="1" bestFit="1" customWidth="1"/>
    <col min="8452" max="8452" width="11.88671875" style="1" customWidth="1"/>
    <col min="8453" max="8453" width="11.5546875" style="1" customWidth="1"/>
    <col min="8454" max="8454" width="12" style="1" customWidth="1"/>
    <col min="8455" max="8455" width="11.5546875" style="1" customWidth="1"/>
    <col min="8456" max="8457" width="10.33203125" style="1" customWidth="1"/>
    <col min="8458" max="8472" width="8.88671875" style="1" customWidth="1"/>
    <col min="8473" max="8473" width="10.5546875" style="1" bestFit="1" customWidth="1"/>
    <col min="8474" max="8476" width="8.88671875" style="1" customWidth="1"/>
    <col min="8477" max="8478" width="9.109375" style="1"/>
    <col min="8479" max="8479" width="9.5546875" style="1" customWidth="1"/>
    <col min="8480" max="8480" width="10.33203125" style="1" customWidth="1"/>
    <col min="8481" max="8481" width="9.6640625" style="1" customWidth="1"/>
    <col min="8482" max="8482" width="10.33203125" style="1" customWidth="1"/>
    <col min="8483" max="8483" width="14.88671875" style="1" bestFit="1" customWidth="1"/>
    <col min="8484" max="8704" width="9.109375" style="1"/>
    <col min="8705" max="8705" width="21" style="1" bestFit="1" customWidth="1"/>
    <col min="8706" max="8706" width="3.88671875" style="1" bestFit="1" customWidth="1"/>
    <col min="8707" max="8707" width="21" style="1" bestFit="1" customWidth="1"/>
    <col min="8708" max="8708" width="11.88671875" style="1" customWidth="1"/>
    <col min="8709" max="8709" width="11.5546875" style="1" customWidth="1"/>
    <col min="8710" max="8710" width="12" style="1" customWidth="1"/>
    <col min="8711" max="8711" width="11.5546875" style="1" customWidth="1"/>
    <col min="8712" max="8713" width="10.33203125" style="1" customWidth="1"/>
    <col min="8714" max="8728" width="8.88671875" style="1" customWidth="1"/>
    <col min="8729" max="8729" width="10.5546875" style="1" bestFit="1" customWidth="1"/>
    <col min="8730" max="8732" width="8.88671875" style="1" customWidth="1"/>
    <col min="8733" max="8734" width="9.109375" style="1"/>
    <col min="8735" max="8735" width="9.5546875" style="1" customWidth="1"/>
    <col min="8736" max="8736" width="10.33203125" style="1" customWidth="1"/>
    <col min="8737" max="8737" width="9.6640625" style="1" customWidth="1"/>
    <col min="8738" max="8738" width="10.33203125" style="1" customWidth="1"/>
    <col min="8739" max="8739" width="14.88671875" style="1" bestFit="1" customWidth="1"/>
    <col min="8740" max="8960" width="9.109375" style="1"/>
    <col min="8961" max="8961" width="21" style="1" bestFit="1" customWidth="1"/>
    <col min="8962" max="8962" width="3.88671875" style="1" bestFit="1" customWidth="1"/>
    <col min="8963" max="8963" width="21" style="1" bestFit="1" customWidth="1"/>
    <col min="8964" max="8964" width="11.88671875" style="1" customWidth="1"/>
    <col min="8965" max="8965" width="11.5546875" style="1" customWidth="1"/>
    <col min="8966" max="8966" width="12" style="1" customWidth="1"/>
    <col min="8967" max="8967" width="11.5546875" style="1" customWidth="1"/>
    <col min="8968" max="8969" width="10.33203125" style="1" customWidth="1"/>
    <col min="8970" max="8984" width="8.88671875" style="1" customWidth="1"/>
    <col min="8985" max="8985" width="10.5546875" style="1" bestFit="1" customWidth="1"/>
    <col min="8986" max="8988" width="8.88671875" style="1" customWidth="1"/>
    <col min="8989" max="8990" width="9.109375" style="1"/>
    <col min="8991" max="8991" width="9.5546875" style="1" customWidth="1"/>
    <col min="8992" max="8992" width="10.33203125" style="1" customWidth="1"/>
    <col min="8993" max="8993" width="9.6640625" style="1" customWidth="1"/>
    <col min="8994" max="8994" width="10.33203125" style="1" customWidth="1"/>
    <col min="8995" max="8995" width="14.88671875" style="1" bestFit="1" customWidth="1"/>
    <col min="8996" max="9216" width="9.109375" style="1"/>
    <col min="9217" max="9217" width="21" style="1" bestFit="1" customWidth="1"/>
    <col min="9218" max="9218" width="3.88671875" style="1" bestFit="1" customWidth="1"/>
    <col min="9219" max="9219" width="21" style="1" bestFit="1" customWidth="1"/>
    <col min="9220" max="9220" width="11.88671875" style="1" customWidth="1"/>
    <col min="9221" max="9221" width="11.5546875" style="1" customWidth="1"/>
    <col min="9222" max="9222" width="12" style="1" customWidth="1"/>
    <col min="9223" max="9223" width="11.5546875" style="1" customWidth="1"/>
    <col min="9224" max="9225" width="10.33203125" style="1" customWidth="1"/>
    <col min="9226" max="9240" width="8.88671875" style="1" customWidth="1"/>
    <col min="9241" max="9241" width="10.5546875" style="1" bestFit="1" customWidth="1"/>
    <col min="9242" max="9244" width="8.88671875" style="1" customWidth="1"/>
    <col min="9245" max="9246" width="9.109375" style="1"/>
    <col min="9247" max="9247" width="9.5546875" style="1" customWidth="1"/>
    <col min="9248" max="9248" width="10.33203125" style="1" customWidth="1"/>
    <col min="9249" max="9249" width="9.6640625" style="1" customWidth="1"/>
    <col min="9250" max="9250" width="10.33203125" style="1" customWidth="1"/>
    <col min="9251" max="9251" width="14.88671875" style="1" bestFit="1" customWidth="1"/>
    <col min="9252" max="9472" width="9.109375" style="1"/>
    <col min="9473" max="9473" width="21" style="1" bestFit="1" customWidth="1"/>
    <col min="9474" max="9474" width="3.88671875" style="1" bestFit="1" customWidth="1"/>
    <col min="9475" max="9475" width="21" style="1" bestFit="1" customWidth="1"/>
    <col min="9476" max="9476" width="11.88671875" style="1" customWidth="1"/>
    <col min="9477" max="9477" width="11.5546875" style="1" customWidth="1"/>
    <col min="9478" max="9478" width="12" style="1" customWidth="1"/>
    <col min="9479" max="9479" width="11.5546875" style="1" customWidth="1"/>
    <col min="9480" max="9481" width="10.33203125" style="1" customWidth="1"/>
    <col min="9482" max="9496" width="8.88671875" style="1" customWidth="1"/>
    <col min="9497" max="9497" width="10.5546875" style="1" bestFit="1" customWidth="1"/>
    <col min="9498" max="9500" width="8.88671875" style="1" customWidth="1"/>
    <col min="9501" max="9502" width="9.109375" style="1"/>
    <col min="9503" max="9503" width="9.5546875" style="1" customWidth="1"/>
    <col min="9504" max="9504" width="10.33203125" style="1" customWidth="1"/>
    <col min="9505" max="9505" width="9.6640625" style="1" customWidth="1"/>
    <col min="9506" max="9506" width="10.33203125" style="1" customWidth="1"/>
    <col min="9507" max="9507" width="14.88671875" style="1" bestFit="1" customWidth="1"/>
    <col min="9508" max="9728" width="9.109375" style="1"/>
    <col min="9729" max="9729" width="21" style="1" bestFit="1" customWidth="1"/>
    <col min="9730" max="9730" width="3.88671875" style="1" bestFit="1" customWidth="1"/>
    <col min="9731" max="9731" width="21" style="1" bestFit="1" customWidth="1"/>
    <col min="9732" max="9732" width="11.88671875" style="1" customWidth="1"/>
    <col min="9733" max="9733" width="11.5546875" style="1" customWidth="1"/>
    <col min="9734" max="9734" width="12" style="1" customWidth="1"/>
    <col min="9735" max="9735" width="11.5546875" style="1" customWidth="1"/>
    <col min="9736" max="9737" width="10.33203125" style="1" customWidth="1"/>
    <col min="9738" max="9752" width="8.88671875" style="1" customWidth="1"/>
    <col min="9753" max="9753" width="10.5546875" style="1" bestFit="1" customWidth="1"/>
    <col min="9754" max="9756" width="8.88671875" style="1" customWidth="1"/>
    <col min="9757" max="9758" width="9.109375" style="1"/>
    <col min="9759" max="9759" width="9.5546875" style="1" customWidth="1"/>
    <col min="9760" max="9760" width="10.33203125" style="1" customWidth="1"/>
    <col min="9761" max="9761" width="9.6640625" style="1" customWidth="1"/>
    <col min="9762" max="9762" width="10.33203125" style="1" customWidth="1"/>
    <col min="9763" max="9763" width="14.88671875" style="1" bestFit="1" customWidth="1"/>
    <col min="9764" max="9984" width="9.109375" style="1"/>
    <col min="9985" max="9985" width="21" style="1" bestFit="1" customWidth="1"/>
    <col min="9986" max="9986" width="3.88671875" style="1" bestFit="1" customWidth="1"/>
    <col min="9987" max="9987" width="21" style="1" bestFit="1" customWidth="1"/>
    <col min="9988" max="9988" width="11.88671875" style="1" customWidth="1"/>
    <col min="9989" max="9989" width="11.5546875" style="1" customWidth="1"/>
    <col min="9990" max="9990" width="12" style="1" customWidth="1"/>
    <col min="9991" max="9991" width="11.5546875" style="1" customWidth="1"/>
    <col min="9992" max="9993" width="10.33203125" style="1" customWidth="1"/>
    <col min="9994" max="10008" width="8.88671875" style="1" customWidth="1"/>
    <col min="10009" max="10009" width="10.5546875" style="1" bestFit="1" customWidth="1"/>
    <col min="10010" max="10012" width="8.88671875" style="1" customWidth="1"/>
    <col min="10013" max="10014" width="9.109375" style="1"/>
    <col min="10015" max="10015" width="9.5546875" style="1" customWidth="1"/>
    <col min="10016" max="10016" width="10.33203125" style="1" customWidth="1"/>
    <col min="10017" max="10017" width="9.6640625" style="1" customWidth="1"/>
    <col min="10018" max="10018" width="10.33203125" style="1" customWidth="1"/>
    <col min="10019" max="10019" width="14.88671875" style="1" bestFit="1" customWidth="1"/>
    <col min="10020" max="10240" width="9.109375" style="1"/>
    <col min="10241" max="10241" width="21" style="1" bestFit="1" customWidth="1"/>
    <col min="10242" max="10242" width="3.88671875" style="1" bestFit="1" customWidth="1"/>
    <col min="10243" max="10243" width="21" style="1" bestFit="1" customWidth="1"/>
    <col min="10244" max="10244" width="11.88671875" style="1" customWidth="1"/>
    <col min="10245" max="10245" width="11.5546875" style="1" customWidth="1"/>
    <col min="10246" max="10246" width="12" style="1" customWidth="1"/>
    <col min="10247" max="10247" width="11.5546875" style="1" customWidth="1"/>
    <col min="10248" max="10249" width="10.33203125" style="1" customWidth="1"/>
    <col min="10250" max="10264" width="8.88671875" style="1" customWidth="1"/>
    <col min="10265" max="10265" width="10.5546875" style="1" bestFit="1" customWidth="1"/>
    <col min="10266" max="10268" width="8.88671875" style="1" customWidth="1"/>
    <col min="10269" max="10270" width="9.109375" style="1"/>
    <col min="10271" max="10271" width="9.5546875" style="1" customWidth="1"/>
    <col min="10272" max="10272" width="10.33203125" style="1" customWidth="1"/>
    <col min="10273" max="10273" width="9.6640625" style="1" customWidth="1"/>
    <col min="10274" max="10274" width="10.33203125" style="1" customWidth="1"/>
    <col min="10275" max="10275" width="14.88671875" style="1" bestFit="1" customWidth="1"/>
    <col min="10276" max="10496" width="9.109375" style="1"/>
    <col min="10497" max="10497" width="21" style="1" bestFit="1" customWidth="1"/>
    <col min="10498" max="10498" width="3.88671875" style="1" bestFit="1" customWidth="1"/>
    <col min="10499" max="10499" width="21" style="1" bestFit="1" customWidth="1"/>
    <col min="10500" max="10500" width="11.88671875" style="1" customWidth="1"/>
    <col min="10501" max="10501" width="11.5546875" style="1" customWidth="1"/>
    <col min="10502" max="10502" width="12" style="1" customWidth="1"/>
    <col min="10503" max="10503" width="11.5546875" style="1" customWidth="1"/>
    <col min="10504" max="10505" width="10.33203125" style="1" customWidth="1"/>
    <col min="10506" max="10520" width="8.88671875" style="1" customWidth="1"/>
    <col min="10521" max="10521" width="10.5546875" style="1" bestFit="1" customWidth="1"/>
    <col min="10522" max="10524" width="8.88671875" style="1" customWidth="1"/>
    <col min="10525" max="10526" width="9.109375" style="1"/>
    <col min="10527" max="10527" width="9.5546875" style="1" customWidth="1"/>
    <col min="10528" max="10528" width="10.33203125" style="1" customWidth="1"/>
    <col min="10529" max="10529" width="9.6640625" style="1" customWidth="1"/>
    <col min="10530" max="10530" width="10.33203125" style="1" customWidth="1"/>
    <col min="10531" max="10531" width="14.88671875" style="1" bestFit="1" customWidth="1"/>
    <col min="10532" max="10752" width="9.109375" style="1"/>
    <col min="10753" max="10753" width="21" style="1" bestFit="1" customWidth="1"/>
    <col min="10754" max="10754" width="3.88671875" style="1" bestFit="1" customWidth="1"/>
    <col min="10755" max="10755" width="21" style="1" bestFit="1" customWidth="1"/>
    <col min="10756" max="10756" width="11.88671875" style="1" customWidth="1"/>
    <col min="10757" max="10757" width="11.5546875" style="1" customWidth="1"/>
    <col min="10758" max="10758" width="12" style="1" customWidth="1"/>
    <col min="10759" max="10759" width="11.5546875" style="1" customWidth="1"/>
    <col min="10760" max="10761" width="10.33203125" style="1" customWidth="1"/>
    <col min="10762" max="10776" width="8.88671875" style="1" customWidth="1"/>
    <col min="10777" max="10777" width="10.5546875" style="1" bestFit="1" customWidth="1"/>
    <col min="10778" max="10780" width="8.88671875" style="1" customWidth="1"/>
    <col min="10781" max="10782" width="9.109375" style="1"/>
    <col min="10783" max="10783" width="9.5546875" style="1" customWidth="1"/>
    <col min="10784" max="10784" width="10.33203125" style="1" customWidth="1"/>
    <col min="10785" max="10785" width="9.6640625" style="1" customWidth="1"/>
    <col min="10786" max="10786" width="10.33203125" style="1" customWidth="1"/>
    <col min="10787" max="10787" width="14.88671875" style="1" bestFit="1" customWidth="1"/>
    <col min="10788" max="11008" width="9.109375" style="1"/>
    <col min="11009" max="11009" width="21" style="1" bestFit="1" customWidth="1"/>
    <col min="11010" max="11010" width="3.88671875" style="1" bestFit="1" customWidth="1"/>
    <col min="11011" max="11011" width="21" style="1" bestFit="1" customWidth="1"/>
    <col min="11012" max="11012" width="11.88671875" style="1" customWidth="1"/>
    <col min="11013" max="11013" width="11.5546875" style="1" customWidth="1"/>
    <col min="11014" max="11014" width="12" style="1" customWidth="1"/>
    <col min="11015" max="11015" width="11.5546875" style="1" customWidth="1"/>
    <col min="11016" max="11017" width="10.33203125" style="1" customWidth="1"/>
    <col min="11018" max="11032" width="8.88671875" style="1" customWidth="1"/>
    <col min="11033" max="11033" width="10.5546875" style="1" bestFit="1" customWidth="1"/>
    <col min="11034" max="11036" width="8.88671875" style="1" customWidth="1"/>
    <col min="11037" max="11038" width="9.109375" style="1"/>
    <col min="11039" max="11039" width="9.5546875" style="1" customWidth="1"/>
    <col min="11040" max="11040" width="10.33203125" style="1" customWidth="1"/>
    <col min="11041" max="11041" width="9.6640625" style="1" customWidth="1"/>
    <col min="11042" max="11042" width="10.33203125" style="1" customWidth="1"/>
    <col min="11043" max="11043" width="14.88671875" style="1" bestFit="1" customWidth="1"/>
    <col min="11044" max="11264" width="9.109375" style="1"/>
    <col min="11265" max="11265" width="21" style="1" bestFit="1" customWidth="1"/>
    <col min="11266" max="11266" width="3.88671875" style="1" bestFit="1" customWidth="1"/>
    <col min="11267" max="11267" width="21" style="1" bestFit="1" customWidth="1"/>
    <col min="11268" max="11268" width="11.88671875" style="1" customWidth="1"/>
    <col min="11269" max="11269" width="11.5546875" style="1" customWidth="1"/>
    <col min="11270" max="11270" width="12" style="1" customWidth="1"/>
    <col min="11271" max="11271" width="11.5546875" style="1" customWidth="1"/>
    <col min="11272" max="11273" width="10.33203125" style="1" customWidth="1"/>
    <col min="11274" max="11288" width="8.88671875" style="1" customWidth="1"/>
    <col min="11289" max="11289" width="10.5546875" style="1" bestFit="1" customWidth="1"/>
    <col min="11290" max="11292" width="8.88671875" style="1" customWidth="1"/>
    <col min="11293" max="11294" width="9.109375" style="1"/>
    <col min="11295" max="11295" width="9.5546875" style="1" customWidth="1"/>
    <col min="11296" max="11296" width="10.33203125" style="1" customWidth="1"/>
    <col min="11297" max="11297" width="9.6640625" style="1" customWidth="1"/>
    <col min="11298" max="11298" width="10.33203125" style="1" customWidth="1"/>
    <col min="11299" max="11299" width="14.88671875" style="1" bestFit="1" customWidth="1"/>
    <col min="11300" max="11520" width="9.109375" style="1"/>
    <col min="11521" max="11521" width="21" style="1" bestFit="1" customWidth="1"/>
    <col min="11522" max="11522" width="3.88671875" style="1" bestFit="1" customWidth="1"/>
    <col min="11523" max="11523" width="21" style="1" bestFit="1" customWidth="1"/>
    <col min="11524" max="11524" width="11.88671875" style="1" customWidth="1"/>
    <col min="11525" max="11525" width="11.5546875" style="1" customWidth="1"/>
    <col min="11526" max="11526" width="12" style="1" customWidth="1"/>
    <col min="11527" max="11527" width="11.5546875" style="1" customWidth="1"/>
    <col min="11528" max="11529" width="10.33203125" style="1" customWidth="1"/>
    <col min="11530" max="11544" width="8.88671875" style="1" customWidth="1"/>
    <col min="11545" max="11545" width="10.5546875" style="1" bestFit="1" customWidth="1"/>
    <col min="11546" max="11548" width="8.88671875" style="1" customWidth="1"/>
    <col min="11549" max="11550" width="9.109375" style="1"/>
    <col min="11551" max="11551" width="9.5546875" style="1" customWidth="1"/>
    <col min="11552" max="11552" width="10.33203125" style="1" customWidth="1"/>
    <col min="11553" max="11553" width="9.6640625" style="1" customWidth="1"/>
    <col min="11554" max="11554" width="10.33203125" style="1" customWidth="1"/>
    <col min="11555" max="11555" width="14.88671875" style="1" bestFit="1" customWidth="1"/>
    <col min="11556" max="11776" width="9.109375" style="1"/>
    <col min="11777" max="11777" width="21" style="1" bestFit="1" customWidth="1"/>
    <col min="11778" max="11778" width="3.88671875" style="1" bestFit="1" customWidth="1"/>
    <col min="11779" max="11779" width="21" style="1" bestFit="1" customWidth="1"/>
    <col min="11780" max="11780" width="11.88671875" style="1" customWidth="1"/>
    <col min="11781" max="11781" width="11.5546875" style="1" customWidth="1"/>
    <col min="11782" max="11782" width="12" style="1" customWidth="1"/>
    <col min="11783" max="11783" width="11.5546875" style="1" customWidth="1"/>
    <col min="11784" max="11785" width="10.33203125" style="1" customWidth="1"/>
    <col min="11786" max="11800" width="8.88671875" style="1" customWidth="1"/>
    <col min="11801" max="11801" width="10.5546875" style="1" bestFit="1" customWidth="1"/>
    <col min="11802" max="11804" width="8.88671875" style="1" customWidth="1"/>
    <col min="11805" max="11806" width="9.109375" style="1"/>
    <col min="11807" max="11807" width="9.5546875" style="1" customWidth="1"/>
    <col min="11808" max="11808" width="10.33203125" style="1" customWidth="1"/>
    <col min="11809" max="11809" width="9.6640625" style="1" customWidth="1"/>
    <col min="11810" max="11810" width="10.33203125" style="1" customWidth="1"/>
    <col min="11811" max="11811" width="14.88671875" style="1" bestFit="1" customWidth="1"/>
    <col min="11812" max="12032" width="9.109375" style="1"/>
    <col min="12033" max="12033" width="21" style="1" bestFit="1" customWidth="1"/>
    <col min="12034" max="12034" width="3.88671875" style="1" bestFit="1" customWidth="1"/>
    <col min="12035" max="12035" width="21" style="1" bestFit="1" customWidth="1"/>
    <col min="12036" max="12036" width="11.88671875" style="1" customWidth="1"/>
    <col min="12037" max="12037" width="11.5546875" style="1" customWidth="1"/>
    <col min="12038" max="12038" width="12" style="1" customWidth="1"/>
    <col min="12039" max="12039" width="11.5546875" style="1" customWidth="1"/>
    <col min="12040" max="12041" width="10.33203125" style="1" customWidth="1"/>
    <col min="12042" max="12056" width="8.88671875" style="1" customWidth="1"/>
    <col min="12057" max="12057" width="10.5546875" style="1" bestFit="1" customWidth="1"/>
    <col min="12058" max="12060" width="8.88671875" style="1" customWidth="1"/>
    <col min="12061" max="12062" width="9.109375" style="1"/>
    <col min="12063" max="12063" width="9.5546875" style="1" customWidth="1"/>
    <col min="12064" max="12064" width="10.33203125" style="1" customWidth="1"/>
    <col min="12065" max="12065" width="9.6640625" style="1" customWidth="1"/>
    <col min="12066" max="12066" width="10.33203125" style="1" customWidth="1"/>
    <col min="12067" max="12067" width="14.88671875" style="1" bestFit="1" customWidth="1"/>
    <col min="12068" max="12288" width="9.109375" style="1"/>
    <col min="12289" max="12289" width="21" style="1" bestFit="1" customWidth="1"/>
    <col min="12290" max="12290" width="3.88671875" style="1" bestFit="1" customWidth="1"/>
    <col min="12291" max="12291" width="21" style="1" bestFit="1" customWidth="1"/>
    <col min="12292" max="12292" width="11.88671875" style="1" customWidth="1"/>
    <col min="12293" max="12293" width="11.5546875" style="1" customWidth="1"/>
    <col min="12294" max="12294" width="12" style="1" customWidth="1"/>
    <col min="12295" max="12295" width="11.5546875" style="1" customWidth="1"/>
    <col min="12296" max="12297" width="10.33203125" style="1" customWidth="1"/>
    <col min="12298" max="12312" width="8.88671875" style="1" customWidth="1"/>
    <col min="12313" max="12313" width="10.5546875" style="1" bestFit="1" customWidth="1"/>
    <col min="12314" max="12316" width="8.88671875" style="1" customWidth="1"/>
    <col min="12317" max="12318" width="9.109375" style="1"/>
    <col min="12319" max="12319" width="9.5546875" style="1" customWidth="1"/>
    <col min="12320" max="12320" width="10.33203125" style="1" customWidth="1"/>
    <col min="12321" max="12321" width="9.6640625" style="1" customWidth="1"/>
    <col min="12322" max="12322" width="10.33203125" style="1" customWidth="1"/>
    <col min="12323" max="12323" width="14.88671875" style="1" bestFit="1" customWidth="1"/>
    <col min="12324" max="12544" width="9.109375" style="1"/>
    <col min="12545" max="12545" width="21" style="1" bestFit="1" customWidth="1"/>
    <col min="12546" max="12546" width="3.88671875" style="1" bestFit="1" customWidth="1"/>
    <col min="12547" max="12547" width="21" style="1" bestFit="1" customWidth="1"/>
    <col min="12548" max="12548" width="11.88671875" style="1" customWidth="1"/>
    <col min="12549" max="12549" width="11.5546875" style="1" customWidth="1"/>
    <col min="12550" max="12550" width="12" style="1" customWidth="1"/>
    <col min="12551" max="12551" width="11.5546875" style="1" customWidth="1"/>
    <col min="12552" max="12553" width="10.33203125" style="1" customWidth="1"/>
    <col min="12554" max="12568" width="8.88671875" style="1" customWidth="1"/>
    <col min="12569" max="12569" width="10.5546875" style="1" bestFit="1" customWidth="1"/>
    <col min="12570" max="12572" width="8.88671875" style="1" customWidth="1"/>
    <col min="12573" max="12574" width="9.109375" style="1"/>
    <col min="12575" max="12575" width="9.5546875" style="1" customWidth="1"/>
    <col min="12576" max="12576" width="10.33203125" style="1" customWidth="1"/>
    <col min="12577" max="12577" width="9.6640625" style="1" customWidth="1"/>
    <col min="12578" max="12578" width="10.33203125" style="1" customWidth="1"/>
    <col min="12579" max="12579" width="14.88671875" style="1" bestFit="1" customWidth="1"/>
    <col min="12580" max="12800" width="9.109375" style="1"/>
    <col min="12801" max="12801" width="21" style="1" bestFit="1" customWidth="1"/>
    <col min="12802" max="12802" width="3.88671875" style="1" bestFit="1" customWidth="1"/>
    <col min="12803" max="12803" width="21" style="1" bestFit="1" customWidth="1"/>
    <col min="12804" max="12804" width="11.88671875" style="1" customWidth="1"/>
    <col min="12805" max="12805" width="11.5546875" style="1" customWidth="1"/>
    <col min="12806" max="12806" width="12" style="1" customWidth="1"/>
    <col min="12807" max="12807" width="11.5546875" style="1" customWidth="1"/>
    <col min="12808" max="12809" width="10.33203125" style="1" customWidth="1"/>
    <col min="12810" max="12824" width="8.88671875" style="1" customWidth="1"/>
    <col min="12825" max="12825" width="10.5546875" style="1" bestFit="1" customWidth="1"/>
    <col min="12826" max="12828" width="8.88671875" style="1" customWidth="1"/>
    <col min="12829" max="12830" width="9.109375" style="1"/>
    <col min="12831" max="12831" width="9.5546875" style="1" customWidth="1"/>
    <col min="12832" max="12832" width="10.33203125" style="1" customWidth="1"/>
    <col min="12833" max="12833" width="9.6640625" style="1" customWidth="1"/>
    <col min="12834" max="12834" width="10.33203125" style="1" customWidth="1"/>
    <col min="12835" max="12835" width="14.88671875" style="1" bestFit="1" customWidth="1"/>
    <col min="12836" max="13056" width="9.109375" style="1"/>
    <col min="13057" max="13057" width="21" style="1" bestFit="1" customWidth="1"/>
    <col min="13058" max="13058" width="3.88671875" style="1" bestFit="1" customWidth="1"/>
    <col min="13059" max="13059" width="21" style="1" bestFit="1" customWidth="1"/>
    <col min="13060" max="13060" width="11.88671875" style="1" customWidth="1"/>
    <col min="13061" max="13061" width="11.5546875" style="1" customWidth="1"/>
    <col min="13062" max="13062" width="12" style="1" customWidth="1"/>
    <col min="13063" max="13063" width="11.5546875" style="1" customWidth="1"/>
    <col min="13064" max="13065" width="10.33203125" style="1" customWidth="1"/>
    <col min="13066" max="13080" width="8.88671875" style="1" customWidth="1"/>
    <col min="13081" max="13081" width="10.5546875" style="1" bestFit="1" customWidth="1"/>
    <col min="13082" max="13084" width="8.88671875" style="1" customWidth="1"/>
    <col min="13085" max="13086" width="9.109375" style="1"/>
    <col min="13087" max="13087" width="9.5546875" style="1" customWidth="1"/>
    <col min="13088" max="13088" width="10.33203125" style="1" customWidth="1"/>
    <col min="13089" max="13089" width="9.6640625" style="1" customWidth="1"/>
    <col min="13090" max="13090" width="10.33203125" style="1" customWidth="1"/>
    <col min="13091" max="13091" width="14.88671875" style="1" bestFit="1" customWidth="1"/>
    <col min="13092" max="13312" width="9.109375" style="1"/>
    <col min="13313" max="13313" width="21" style="1" bestFit="1" customWidth="1"/>
    <col min="13314" max="13314" width="3.88671875" style="1" bestFit="1" customWidth="1"/>
    <col min="13315" max="13315" width="21" style="1" bestFit="1" customWidth="1"/>
    <col min="13316" max="13316" width="11.88671875" style="1" customWidth="1"/>
    <col min="13317" max="13317" width="11.5546875" style="1" customWidth="1"/>
    <col min="13318" max="13318" width="12" style="1" customWidth="1"/>
    <col min="13319" max="13319" width="11.5546875" style="1" customWidth="1"/>
    <col min="13320" max="13321" width="10.33203125" style="1" customWidth="1"/>
    <col min="13322" max="13336" width="8.88671875" style="1" customWidth="1"/>
    <col min="13337" max="13337" width="10.5546875" style="1" bestFit="1" customWidth="1"/>
    <col min="13338" max="13340" width="8.88671875" style="1" customWidth="1"/>
    <col min="13341" max="13342" width="9.109375" style="1"/>
    <col min="13343" max="13343" width="9.5546875" style="1" customWidth="1"/>
    <col min="13344" max="13344" width="10.33203125" style="1" customWidth="1"/>
    <col min="13345" max="13345" width="9.6640625" style="1" customWidth="1"/>
    <col min="13346" max="13346" width="10.33203125" style="1" customWidth="1"/>
    <col min="13347" max="13347" width="14.88671875" style="1" bestFit="1" customWidth="1"/>
    <col min="13348" max="13568" width="9.109375" style="1"/>
    <col min="13569" max="13569" width="21" style="1" bestFit="1" customWidth="1"/>
    <col min="13570" max="13570" width="3.88671875" style="1" bestFit="1" customWidth="1"/>
    <col min="13571" max="13571" width="21" style="1" bestFit="1" customWidth="1"/>
    <col min="13572" max="13572" width="11.88671875" style="1" customWidth="1"/>
    <col min="13573" max="13573" width="11.5546875" style="1" customWidth="1"/>
    <col min="13574" max="13574" width="12" style="1" customWidth="1"/>
    <col min="13575" max="13575" width="11.5546875" style="1" customWidth="1"/>
    <col min="13576" max="13577" width="10.33203125" style="1" customWidth="1"/>
    <col min="13578" max="13592" width="8.88671875" style="1" customWidth="1"/>
    <col min="13593" max="13593" width="10.5546875" style="1" bestFit="1" customWidth="1"/>
    <col min="13594" max="13596" width="8.88671875" style="1" customWidth="1"/>
    <col min="13597" max="13598" width="9.109375" style="1"/>
    <col min="13599" max="13599" width="9.5546875" style="1" customWidth="1"/>
    <col min="13600" max="13600" width="10.33203125" style="1" customWidth="1"/>
    <col min="13601" max="13601" width="9.6640625" style="1" customWidth="1"/>
    <col min="13602" max="13602" width="10.33203125" style="1" customWidth="1"/>
    <col min="13603" max="13603" width="14.88671875" style="1" bestFit="1" customWidth="1"/>
    <col min="13604" max="13824" width="9.109375" style="1"/>
    <col min="13825" max="13825" width="21" style="1" bestFit="1" customWidth="1"/>
    <col min="13826" max="13826" width="3.88671875" style="1" bestFit="1" customWidth="1"/>
    <col min="13827" max="13827" width="21" style="1" bestFit="1" customWidth="1"/>
    <col min="13828" max="13828" width="11.88671875" style="1" customWidth="1"/>
    <col min="13829" max="13829" width="11.5546875" style="1" customWidth="1"/>
    <col min="13830" max="13830" width="12" style="1" customWidth="1"/>
    <col min="13831" max="13831" width="11.5546875" style="1" customWidth="1"/>
    <col min="13832" max="13833" width="10.33203125" style="1" customWidth="1"/>
    <col min="13834" max="13848" width="8.88671875" style="1" customWidth="1"/>
    <col min="13849" max="13849" width="10.5546875" style="1" bestFit="1" customWidth="1"/>
    <col min="13850" max="13852" width="8.88671875" style="1" customWidth="1"/>
    <col min="13853" max="13854" width="9.109375" style="1"/>
    <col min="13855" max="13855" width="9.5546875" style="1" customWidth="1"/>
    <col min="13856" max="13856" width="10.33203125" style="1" customWidth="1"/>
    <col min="13857" max="13857" width="9.6640625" style="1" customWidth="1"/>
    <col min="13858" max="13858" width="10.33203125" style="1" customWidth="1"/>
    <col min="13859" max="13859" width="14.88671875" style="1" bestFit="1" customWidth="1"/>
    <col min="13860" max="14080" width="9.109375" style="1"/>
    <col min="14081" max="14081" width="21" style="1" bestFit="1" customWidth="1"/>
    <col min="14082" max="14082" width="3.88671875" style="1" bestFit="1" customWidth="1"/>
    <col min="14083" max="14083" width="21" style="1" bestFit="1" customWidth="1"/>
    <col min="14084" max="14084" width="11.88671875" style="1" customWidth="1"/>
    <col min="14085" max="14085" width="11.5546875" style="1" customWidth="1"/>
    <col min="14086" max="14086" width="12" style="1" customWidth="1"/>
    <col min="14087" max="14087" width="11.5546875" style="1" customWidth="1"/>
    <col min="14088" max="14089" width="10.33203125" style="1" customWidth="1"/>
    <col min="14090" max="14104" width="8.88671875" style="1" customWidth="1"/>
    <col min="14105" max="14105" width="10.5546875" style="1" bestFit="1" customWidth="1"/>
    <col min="14106" max="14108" width="8.88671875" style="1" customWidth="1"/>
    <col min="14109" max="14110" width="9.109375" style="1"/>
    <col min="14111" max="14111" width="9.5546875" style="1" customWidth="1"/>
    <col min="14112" max="14112" width="10.33203125" style="1" customWidth="1"/>
    <col min="14113" max="14113" width="9.6640625" style="1" customWidth="1"/>
    <col min="14114" max="14114" width="10.33203125" style="1" customWidth="1"/>
    <col min="14115" max="14115" width="14.88671875" style="1" bestFit="1" customWidth="1"/>
    <col min="14116" max="14336" width="9.109375" style="1"/>
    <col min="14337" max="14337" width="21" style="1" bestFit="1" customWidth="1"/>
    <col min="14338" max="14338" width="3.88671875" style="1" bestFit="1" customWidth="1"/>
    <col min="14339" max="14339" width="21" style="1" bestFit="1" customWidth="1"/>
    <col min="14340" max="14340" width="11.88671875" style="1" customWidth="1"/>
    <col min="14341" max="14341" width="11.5546875" style="1" customWidth="1"/>
    <col min="14342" max="14342" width="12" style="1" customWidth="1"/>
    <col min="14343" max="14343" width="11.5546875" style="1" customWidth="1"/>
    <col min="14344" max="14345" width="10.33203125" style="1" customWidth="1"/>
    <col min="14346" max="14360" width="8.88671875" style="1" customWidth="1"/>
    <col min="14361" max="14361" width="10.5546875" style="1" bestFit="1" customWidth="1"/>
    <col min="14362" max="14364" width="8.88671875" style="1" customWidth="1"/>
    <col min="14365" max="14366" width="9.109375" style="1"/>
    <col min="14367" max="14367" width="9.5546875" style="1" customWidth="1"/>
    <col min="14368" max="14368" width="10.33203125" style="1" customWidth="1"/>
    <col min="14369" max="14369" width="9.6640625" style="1" customWidth="1"/>
    <col min="14370" max="14370" width="10.33203125" style="1" customWidth="1"/>
    <col min="14371" max="14371" width="14.88671875" style="1" bestFit="1" customWidth="1"/>
    <col min="14372" max="14592" width="9.109375" style="1"/>
    <col min="14593" max="14593" width="21" style="1" bestFit="1" customWidth="1"/>
    <col min="14594" max="14594" width="3.88671875" style="1" bestFit="1" customWidth="1"/>
    <col min="14595" max="14595" width="21" style="1" bestFit="1" customWidth="1"/>
    <col min="14596" max="14596" width="11.88671875" style="1" customWidth="1"/>
    <col min="14597" max="14597" width="11.5546875" style="1" customWidth="1"/>
    <col min="14598" max="14598" width="12" style="1" customWidth="1"/>
    <col min="14599" max="14599" width="11.5546875" style="1" customWidth="1"/>
    <col min="14600" max="14601" width="10.33203125" style="1" customWidth="1"/>
    <col min="14602" max="14616" width="8.88671875" style="1" customWidth="1"/>
    <col min="14617" max="14617" width="10.5546875" style="1" bestFit="1" customWidth="1"/>
    <col min="14618" max="14620" width="8.88671875" style="1" customWidth="1"/>
    <col min="14621" max="14622" width="9.109375" style="1"/>
    <col min="14623" max="14623" width="9.5546875" style="1" customWidth="1"/>
    <col min="14624" max="14624" width="10.33203125" style="1" customWidth="1"/>
    <col min="14625" max="14625" width="9.6640625" style="1" customWidth="1"/>
    <col min="14626" max="14626" width="10.33203125" style="1" customWidth="1"/>
    <col min="14627" max="14627" width="14.88671875" style="1" bestFit="1" customWidth="1"/>
    <col min="14628" max="14848" width="9.109375" style="1"/>
    <col min="14849" max="14849" width="21" style="1" bestFit="1" customWidth="1"/>
    <col min="14850" max="14850" width="3.88671875" style="1" bestFit="1" customWidth="1"/>
    <col min="14851" max="14851" width="21" style="1" bestFit="1" customWidth="1"/>
    <col min="14852" max="14852" width="11.88671875" style="1" customWidth="1"/>
    <col min="14853" max="14853" width="11.5546875" style="1" customWidth="1"/>
    <col min="14854" max="14854" width="12" style="1" customWidth="1"/>
    <col min="14855" max="14855" width="11.5546875" style="1" customWidth="1"/>
    <col min="14856" max="14857" width="10.33203125" style="1" customWidth="1"/>
    <col min="14858" max="14872" width="8.88671875" style="1" customWidth="1"/>
    <col min="14873" max="14873" width="10.5546875" style="1" bestFit="1" customWidth="1"/>
    <col min="14874" max="14876" width="8.88671875" style="1" customWidth="1"/>
    <col min="14877" max="14878" width="9.109375" style="1"/>
    <col min="14879" max="14879" width="9.5546875" style="1" customWidth="1"/>
    <col min="14880" max="14880" width="10.33203125" style="1" customWidth="1"/>
    <col min="14881" max="14881" width="9.6640625" style="1" customWidth="1"/>
    <col min="14882" max="14882" width="10.33203125" style="1" customWidth="1"/>
    <col min="14883" max="14883" width="14.88671875" style="1" bestFit="1" customWidth="1"/>
    <col min="14884" max="15104" width="9.109375" style="1"/>
    <col min="15105" max="15105" width="21" style="1" bestFit="1" customWidth="1"/>
    <col min="15106" max="15106" width="3.88671875" style="1" bestFit="1" customWidth="1"/>
    <col min="15107" max="15107" width="21" style="1" bestFit="1" customWidth="1"/>
    <col min="15108" max="15108" width="11.88671875" style="1" customWidth="1"/>
    <col min="15109" max="15109" width="11.5546875" style="1" customWidth="1"/>
    <col min="15110" max="15110" width="12" style="1" customWidth="1"/>
    <col min="15111" max="15111" width="11.5546875" style="1" customWidth="1"/>
    <col min="15112" max="15113" width="10.33203125" style="1" customWidth="1"/>
    <col min="15114" max="15128" width="8.88671875" style="1" customWidth="1"/>
    <col min="15129" max="15129" width="10.5546875" style="1" bestFit="1" customWidth="1"/>
    <col min="15130" max="15132" width="8.88671875" style="1" customWidth="1"/>
    <col min="15133" max="15134" width="9.109375" style="1"/>
    <col min="15135" max="15135" width="9.5546875" style="1" customWidth="1"/>
    <col min="15136" max="15136" width="10.33203125" style="1" customWidth="1"/>
    <col min="15137" max="15137" width="9.6640625" style="1" customWidth="1"/>
    <col min="15138" max="15138" width="10.33203125" style="1" customWidth="1"/>
    <col min="15139" max="15139" width="14.88671875" style="1" bestFit="1" customWidth="1"/>
    <col min="15140" max="15360" width="9.109375" style="1"/>
    <col min="15361" max="15361" width="21" style="1" bestFit="1" customWidth="1"/>
    <col min="15362" max="15362" width="3.88671875" style="1" bestFit="1" customWidth="1"/>
    <col min="15363" max="15363" width="21" style="1" bestFit="1" customWidth="1"/>
    <col min="15364" max="15364" width="11.88671875" style="1" customWidth="1"/>
    <col min="15365" max="15365" width="11.5546875" style="1" customWidth="1"/>
    <col min="15366" max="15366" width="12" style="1" customWidth="1"/>
    <col min="15367" max="15367" width="11.5546875" style="1" customWidth="1"/>
    <col min="15368" max="15369" width="10.33203125" style="1" customWidth="1"/>
    <col min="15370" max="15384" width="8.88671875" style="1" customWidth="1"/>
    <col min="15385" max="15385" width="10.5546875" style="1" bestFit="1" customWidth="1"/>
    <col min="15386" max="15388" width="8.88671875" style="1" customWidth="1"/>
    <col min="15389" max="15390" width="9.109375" style="1"/>
    <col min="15391" max="15391" width="9.5546875" style="1" customWidth="1"/>
    <col min="15392" max="15392" width="10.33203125" style="1" customWidth="1"/>
    <col min="15393" max="15393" width="9.6640625" style="1" customWidth="1"/>
    <col min="15394" max="15394" width="10.33203125" style="1" customWidth="1"/>
    <col min="15395" max="15395" width="14.88671875" style="1" bestFit="1" customWidth="1"/>
    <col min="15396" max="15616" width="9.109375" style="1"/>
    <col min="15617" max="15617" width="21" style="1" bestFit="1" customWidth="1"/>
    <col min="15618" max="15618" width="3.88671875" style="1" bestFit="1" customWidth="1"/>
    <col min="15619" max="15619" width="21" style="1" bestFit="1" customWidth="1"/>
    <col min="15620" max="15620" width="11.88671875" style="1" customWidth="1"/>
    <col min="15621" max="15621" width="11.5546875" style="1" customWidth="1"/>
    <col min="15622" max="15622" width="12" style="1" customWidth="1"/>
    <col min="15623" max="15623" width="11.5546875" style="1" customWidth="1"/>
    <col min="15624" max="15625" width="10.33203125" style="1" customWidth="1"/>
    <col min="15626" max="15640" width="8.88671875" style="1" customWidth="1"/>
    <col min="15641" max="15641" width="10.5546875" style="1" bestFit="1" customWidth="1"/>
    <col min="15642" max="15644" width="8.88671875" style="1" customWidth="1"/>
    <col min="15645" max="15646" width="9.109375" style="1"/>
    <col min="15647" max="15647" width="9.5546875" style="1" customWidth="1"/>
    <col min="15648" max="15648" width="10.33203125" style="1" customWidth="1"/>
    <col min="15649" max="15649" width="9.6640625" style="1" customWidth="1"/>
    <col min="15650" max="15650" width="10.33203125" style="1" customWidth="1"/>
    <col min="15651" max="15651" width="14.88671875" style="1" bestFit="1" customWidth="1"/>
    <col min="15652" max="15872" width="9.109375" style="1"/>
    <col min="15873" max="15873" width="21" style="1" bestFit="1" customWidth="1"/>
    <col min="15874" max="15874" width="3.88671875" style="1" bestFit="1" customWidth="1"/>
    <col min="15875" max="15875" width="21" style="1" bestFit="1" customWidth="1"/>
    <col min="15876" max="15876" width="11.88671875" style="1" customWidth="1"/>
    <col min="15877" max="15877" width="11.5546875" style="1" customWidth="1"/>
    <col min="15878" max="15878" width="12" style="1" customWidth="1"/>
    <col min="15879" max="15879" width="11.5546875" style="1" customWidth="1"/>
    <col min="15880" max="15881" width="10.33203125" style="1" customWidth="1"/>
    <col min="15882" max="15896" width="8.88671875" style="1" customWidth="1"/>
    <col min="15897" max="15897" width="10.5546875" style="1" bestFit="1" customWidth="1"/>
    <col min="15898" max="15900" width="8.88671875" style="1" customWidth="1"/>
    <col min="15901" max="15902" width="9.109375" style="1"/>
    <col min="15903" max="15903" width="9.5546875" style="1" customWidth="1"/>
    <col min="15904" max="15904" width="10.33203125" style="1" customWidth="1"/>
    <col min="15905" max="15905" width="9.6640625" style="1" customWidth="1"/>
    <col min="15906" max="15906" width="10.33203125" style="1" customWidth="1"/>
    <col min="15907" max="15907" width="14.88671875" style="1" bestFit="1" customWidth="1"/>
    <col min="15908" max="16128" width="9.109375" style="1"/>
    <col min="16129" max="16129" width="21" style="1" bestFit="1" customWidth="1"/>
    <col min="16130" max="16130" width="3.88671875" style="1" bestFit="1" customWidth="1"/>
    <col min="16131" max="16131" width="21" style="1" bestFit="1" customWidth="1"/>
    <col min="16132" max="16132" width="11.88671875" style="1" customWidth="1"/>
    <col min="16133" max="16133" width="11.5546875" style="1" customWidth="1"/>
    <col min="16134" max="16134" width="12" style="1" customWidth="1"/>
    <col min="16135" max="16135" width="11.5546875" style="1" customWidth="1"/>
    <col min="16136" max="16137" width="10.33203125" style="1" customWidth="1"/>
    <col min="16138" max="16152" width="8.88671875" style="1" customWidth="1"/>
    <col min="16153" max="16153" width="10.5546875" style="1" bestFit="1" customWidth="1"/>
    <col min="16154" max="16156" width="8.88671875" style="1" customWidth="1"/>
    <col min="16157" max="16158" width="9.109375" style="1"/>
    <col min="16159" max="16159" width="9.5546875" style="1" customWidth="1"/>
    <col min="16160" max="16160" width="10.33203125" style="1" customWidth="1"/>
    <col min="16161" max="16161" width="9.6640625" style="1" customWidth="1"/>
    <col min="16162" max="16162" width="10.33203125" style="1" customWidth="1"/>
    <col min="16163" max="16163" width="14.88671875" style="1" bestFit="1" customWidth="1"/>
    <col min="16164" max="16383" width="9.109375" style="1"/>
    <col min="16384" max="16384" width="9.109375" style="1" customWidth="1"/>
  </cols>
  <sheetData>
    <row r="1" spans="2:38" x14ac:dyDescent="0.3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</row>
    <row r="2" spans="2:38" ht="15" customHeight="1" x14ac:dyDescent="0.3">
      <c r="B2" s="1" t="s">
        <v>0</v>
      </c>
      <c r="C2" s="207" t="s">
        <v>1</v>
      </c>
      <c r="D2" s="207" t="s">
        <v>2</v>
      </c>
      <c r="E2" s="207" t="s">
        <v>3</v>
      </c>
      <c r="F2" s="207"/>
      <c r="G2" s="207"/>
      <c r="H2" s="207"/>
      <c r="I2" s="207"/>
      <c r="J2" s="207"/>
      <c r="K2" s="207"/>
      <c r="L2" s="207"/>
      <c r="M2" s="207"/>
      <c r="N2" s="207"/>
      <c r="O2" s="207"/>
      <c r="P2" s="207"/>
      <c r="Q2" s="207"/>
      <c r="R2" s="207"/>
      <c r="S2" s="207"/>
      <c r="T2" s="207"/>
      <c r="U2" s="207"/>
      <c r="V2" s="207"/>
      <c r="W2" s="207"/>
      <c r="X2" s="207"/>
      <c r="Y2" s="207"/>
      <c r="Z2" s="207"/>
      <c r="AA2" s="207"/>
      <c r="AB2" s="207"/>
      <c r="AC2" s="207"/>
      <c r="AD2" s="207"/>
      <c r="AE2" s="207"/>
      <c r="AF2" s="207"/>
      <c r="AG2" s="207"/>
      <c r="AH2" s="207"/>
      <c r="AI2" s="207"/>
      <c r="AJ2" s="206" t="s">
        <v>4</v>
      </c>
      <c r="AK2" s="206" t="s">
        <v>57</v>
      </c>
      <c r="AL2" s="3"/>
    </row>
    <row r="3" spans="2:38" s="4" customFormat="1" x14ac:dyDescent="0.3">
      <c r="B3" s="4" t="s">
        <v>5</v>
      </c>
      <c r="C3" s="207"/>
      <c r="D3" s="207"/>
      <c r="E3" s="4">
        <v>1</v>
      </c>
      <c r="F3" s="4">
        <v>2</v>
      </c>
      <c r="G3" s="4">
        <v>3</v>
      </c>
      <c r="H3" s="4">
        <v>4</v>
      </c>
      <c r="I3" s="4">
        <v>5</v>
      </c>
      <c r="J3" s="4">
        <v>6</v>
      </c>
      <c r="K3" s="4">
        <v>7</v>
      </c>
      <c r="L3" s="4">
        <v>8</v>
      </c>
      <c r="M3" s="4">
        <v>9</v>
      </c>
      <c r="N3" s="4">
        <v>10</v>
      </c>
      <c r="O3" s="4">
        <v>11</v>
      </c>
      <c r="P3" s="4">
        <v>12</v>
      </c>
      <c r="Q3" s="4">
        <v>13</v>
      </c>
      <c r="R3" s="4">
        <v>14</v>
      </c>
      <c r="S3" s="4">
        <v>15</v>
      </c>
      <c r="T3" s="4">
        <v>16</v>
      </c>
      <c r="U3" s="4">
        <v>17</v>
      </c>
      <c r="V3" s="4">
        <v>18</v>
      </c>
      <c r="W3" s="4">
        <v>19</v>
      </c>
      <c r="X3" s="4">
        <v>20</v>
      </c>
      <c r="Y3" s="4">
        <v>21</v>
      </c>
      <c r="Z3" s="4">
        <v>22</v>
      </c>
      <c r="AA3" s="4">
        <v>23</v>
      </c>
      <c r="AB3" s="4">
        <v>24</v>
      </c>
      <c r="AC3" s="4">
        <v>25</v>
      </c>
      <c r="AD3" s="4">
        <v>26</v>
      </c>
      <c r="AE3" s="4">
        <v>27</v>
      </c>
      <c r="AF3" s="4">
        <v>28</v>
      </c>
      <c r="AG3" s="4">
        <v>29</v>
      </c>
      <c r="AH3" s="4">
        <v>30</v>
      </c>
      <c r="AI3" s="4">
        <v>31</v>
      </c>
      <c r="AJ3" s="206"/>
      <c r="AK3" s="206"/>
    </row>
    <row r="4" spans="2:38" ht="15" customHeight="1" x14ac:dyDescent="0.3">
      <c r="B4" s="1" t="s">
        <v>59</v>
      </c>
      <c r="C4" s="1">
        <v>1</v>
      </c>
      <c r="D4" s="1" t="str">
        <f>B4</f>
        <v>TAP PC 400-03</v>
      </c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6">
        <f t="shared" ref="AJ4:AJ23" si="0">SUM(E4:AI4)</f>
        <v>0</v>
      </c>
      <c r="AK4" s="16">
        <f>VLOOKUP(B4,'FUEL UNIT'!C:AL,35,FALSE)</f>
        <v>0</v>
      </c>
    </row>
    <row r="5" spans="2:38" ht="15" customHeight="1" x14ac:dyDescent="0.3">
      <c r="B5" s="1" t="s">
        <v>60</v>
      </c>
      <c r="C5" s="1">
        <v>2</v>
      </c>
      <c r="D5" s="1" t="str">
        <f t="shared" ref="D5:D27" si="1">B5</f>
        <v>TAP PC 400-06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6">
        <f t="shared" si="0"/>
        <v>0</v>
      </c>
      <c r="AK5" s="16">
        <f>VLOOKUP(B5,'FUEL UNIT'!C:AL,35,FALSE)</f>
        <v>0</v>
      </c>
      <c r="AL5" s="5"/>
    </row>
    <row r="6" spans="2:38" ht="15" customHeight="1" x14ac:dyDescent="0.3">
      <c r="B6" s="1" t="s">
        <v>68</v>
      </c>
      <c r="C6" s="1">
        <v>3</v>
      </c>
      <c r="D6" s="1" t="str">
        <f t="shared" si="1"/>
        <v>TAP PC 300-11</v>
      </c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6">
        <f t="shared" si="0"/>
        <v>0</v>
      </c>
      <c r="AK6" s="16">
        <f>VLOOKUP(B6,'FUEL UNIT'!C:AL,35,FALSE)</f>
        <v>0</v>
      </c>
      <c r="AL6" s="5"/>
    </row>
    <row r="7" spans="2:38" ht="15" customHeight="1" x14ac:dyDescent="0.3">
      <c r="B7" s="1" t="s">
        <v>145</v>
      </c>
      <c r="C7" s="1">
        <v>4</v>
      </c>
      <c r="D7" s="1" t="str">
        <f t="shared" si="1"/>
        <v>TAP PC 300-12</v>
      </c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6">
        <f t="shared" si="0"/>
        <v>0</v>
      </c>
      <c r="AK7" s="16">
        <f>VLOOKUP(B7,'FUEL UNIT'!C:AL,35,FALSE)</f>
        <v>0</v>
      </c>
      <c r="AL7" s="5"/>
    </row>
    <row r="8" spans="2:38" ht="15" customHeight="1" x14ac:dyDescent="0.3">
      <c r="B8" s="1" t="s">
        <v>146</v>
      </c>
      <c r="C8" s="1">
        <v>5</v>
      </c>
      <c r="D8" s="1" t="str">
        <f t="shared" si="1"/>
        <v>TAP PC 300-14</v>
      </c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6">
        <f t="shared" si="0"/>
        <v>0</v>
      </c>
      <c r="AK8" s="16">
        <f>VLOOKUP(B8,'FUEL UNIT'!C:AL,35,FALSE)</f>
        <v>0</v>
      </c>
      <c r="AL8" s="5"/>
    </row>
    <row r="9" spans="2:38" ht="15" customHeight="1" x14ac:dyDescent="0.3">
      <c r="B9" s="1" t="s">
        <v>61</v>
      </c>
      <c r="C9" s="1">
        <v>6</v>
      </c>
      <c r="D9" s="1" t="str">
        <f t="shared" si="1"/>
        <v>TAP PC 200-11</v>
      </c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6">
        <f t="shared" si="0"/>
        <v>0</v>
      </c>
      <c r="AK9" s="16">
        <f>VLOOKUP(B9,'FUEL UNIT'!C:AL,35,FALSE)</f>
        <v>0</v>
      </c>
      <c r="AL9" s="5"/>
    </row>
    <row r="10" spans="2:38" ht="15" customHeight="1" x14ac:dyDescent="0.3">
      <c r="B10" s="1" t="s">
        <v>143</v>
      </c>
      <c r="C10" s="1">
        <v>7</v>
      </c>
      <c r="D10" s="1" t="str">
        <f t="shared" si="1"/>
        <v>TAP PC 200-12</v>
      </c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6">
        <f t="shared" si="0"/>
        <v>0</v>
      </c>
      <c r="AK10" s="16">
        <f>VLOOKUP(B10,'FUEL UNIT'!C:AL,35,FALSE)</f>
        <v>0</v>
      </c>
      <c r="AL10" s="5"/>
    </row>
    <row r="11" spans="2:38" ht="15" customHeight="1" x14ac:dyDescent="0.3">
      <c r="B11" s="1" t="s">
        <v>144</v>
      </c>
      <c r="C11" s="1">
        <v>8</v>
      </c>
      <c r="D11" s="1" t="str">
        <f t="shared" si="1"/>
        <v>TAP PC 200-14</v>
      </c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6">
        <f t="shared" si="0"/>
        <v>0</v>
      </c>
      <c r="AK11" s="16">
        <f>VLOOKUP(B11,'FUEL UNIT'!C:AL,35,FALSE)</f>
        <v>0</v>
      </c>
      <c r="AL11" s="5"/>
    </row>
    <row r="12" spans="2:38" ht="15" customHeight="1" x14ac:dyDescent="0.3">
      <c r="B12" s="1" t="s">
        <v>147</v>
      </c>
      <c r="C12" s="1">
        <v>9</v>
      </c>
      <c r="D12" s="1" t="str">
        <f t="shared" si="1"/>
        <v>TAP PC 200-15</v>
      </c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6">
        <f t="shared" si="0"/>
        <v>0</v>
      </c>
      <c r="AK12" s="16">
        <f>VLOOKUP(B12,'FUEL UNIT'!C:AL,35,FALSE)</f>
        <v>0</v>
      </c>
      <c r="AL12" s="5"/>
    </row>
    <row r="13" spans="2:38" ht="15" customHeight="1" x14ac:dyDescent="0.3">
      <c r="B13" s="1" t="s">
        <v>148</v>
      </c>
      <c r="C13" s="1">
        <v>10</v>
      </c>
      <c r="D13" s="1" t="str">
        <f t="shared" si="1"/>
        <v>TAP PC 200-16</v>
      </c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6">
        <f t="shared" si="0"/>
        <v>0</v>
      </c>
      <c r="AK13" s="16">
        <f>VLOOKUP(B13,'FUEL UNIT'!C:AL,35,FALSE)</f>
        <v>0</v>
      </c>
      <c r="AL13" s="5"/>
    </row>
    <row r="14" spans="2:38" ht="15" customHeight="1" x14ac:dyDescent="0.3">
      <c r="B14" s="1" t="s">
        <v>149</v>
      </c>
      <c r="C14" s="1">
        <v>11</v>
      </c>
      <c r="D14" s="1" t="str">
        <f t="shared" si="1"/>
        <v>ADT HM 400-01</v>
      </c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6">
        <f t="shared" si="0"/>
        <v>0</v>
      </c>
      <c r="AK14" s="16">
        <f>VLOOKUP(B14,'FUEL UNIT'!C:AL,35,FALSE)</f>
        <v>0</v>
      </c>
      <c r="AL14" s="5"/>
    </row>
    <row r="15" spans="2:38" ht="15" customHeight="1" x14ac:dyDescent="0.3">
      <c r="B15" s="1" t="s">
        <v>62</v>
      </c>
      <c r="C15" s="1">
        <v>12</v>
      </c>
      <c r="D15" s="1" t="str">
        <f t="shared" si="1"/>
        <v>ADT HM 400-02</v>
      </c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6">
        <f t="shared" si="0"/>
        <v>0</v>
      </c>
      <c r="AK15" s="16">
        <f>VLOOKUP(B15,'FUEL UNIT'!C:AL,35,FALSE)</f>
        <v>0</v>
      </c>
      <c r="AL15" s="5"/>
    </row>
    <row r="16" spans="2:38" ht="15" customHeight="1" x14ac:dyDescent="0.3">
      <c r="B16" s="1" t="s">
        <v>63</v>
      </c>
      <c r="C16" s="1">
        <v>13</v>
      </c>
      <c r="D16" s="1" t="str">
        <f t="shared" si="1"/>
        <v>ADT HM 400-03</v>
      </c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6">
        <f t="shared" si="0"/>
        <v>0</v>
      </c>
      <c r="AK16" s="16">
        <f>VLOOKUP(B16,'FUEL UNIT'!C:AL,35,FALSE)</f>
        <v>0</v>
      </c>
      <c r="AL16" s="5"/>
    </row>
    <row r="17" spans="1:38" ht="15" customHeight="1" x14ac:dyDescent="0.3">
      <c r="B17" s="1" t="s">
        <v>64</v>
      </c>
      <c r="C17" s="1">
        <v>14</v>
      </c>
      <c r="D17" s="1" t="str">
        <f t="shared" si="1"/>
        <v>ADT HM 400-05</v>
      </c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6">
        <f t="shared" si="0"/>
        <v>0</v>
      </c>
      <c r="AK17" s="16">
        <f>VLOOKUP(B17,'FUEL UNIT'!C:AL,35,FALSE)</f>
        <v>0</v>
      </c>
      <c r="AL17" s="5"/>
    </row>
    <row r="18" spans="1:38" ht="15" customHeight="1" x14ac:dyDescent="0.3">
      <c r="B18" s="1" t="s">
        <v>69</v>
      </c>
      <c r="C18" s="1">
        <v>15</v>
      </c>
      <c r="D18" s="1" t="str">
        <f t="shared" si="1"/>
        <v>ADT HM 400-06</v>
      </c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6">
        <f t="shared" si="0"/>
        <v>0</v>
      </c>
      <c r="AK18" s="16">
        <f>VLOOKUP(B18,'FUEL UNIT'!C:AL,35,FALSE)</f>
        <v>0</v>
      </c>
      <c r="AL18" s="5"/>
    </row>
    <row r="19" spans="1:38" ht="15" customHeight="1" x14ac:dyDescent="0.3">
      <c r="B19" s="1" t="s">
        <v>70</v>
      </c>
      <c r="C19" s="1">
        <v>16</v>
      </c>
      <c r="D19" s="1" t="str">
        <f t="shared" si="1"/>
        <v>ADT HM 400-07</v>
      </c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6">
        <f t="shared" si="0"/>
        <v>0</v>
      </c>
      <c r="AK19" s="16">
        <f>VLOOKUP(B19,'FUEL UNIT'!C:AL,35,FALSE)</f>
        <v>0</v>
      </c>
      <c r="AL19" s="5"/>
    </row>
    <row r="20" spans="1:38" ht="15" customHeight="1" x14ac:dyDescent="0.3">
      <c r="B20" s="1" t="s">
        <v>71</v>
      </c>
      <c r="C20" s="1">
        <v>17</v>
      </c>
      <c r="D20" s="1" t="str">
        <f t="shared" si="1"/>
        <v>ADT HM 400-08</v>
      </c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6">
        <f t="shared" si="0"/>
        <v>0</v>
      </c>
      <c r="AK20" s="16">
        <f>VLOOKUP(B20,'FUEL UNIT'!C:AL,35,FALSE)</f>
        <v>0</v>
      </c>
      <c r="AL20" s="5"/>
    </row>
    <row r="21" spans="1:38" ht="15" customHeight="1" x14ac:dyDescent="0.3">
      <c r="B21" s="1" t="s">
        <v>65</v>
      </c>
      <c r="C21" s="1">
        <v>18</v>
      </c>
      <c r="D21" s="1" t="str">
        <f t="shared" si="1"/>
        <v>DOZER D65P-04</v>
      </c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6">
        <f t="shared" si="0"/>
        <v>0</v>
      </c>
      <c r="AK21" s="16">
        <f>VLOOKUP(B21,'FUEL UNIT'!C:AL,35,FALSE)</f>
        <v>0</v>
      </c>
      <c r="AL21" s="5"/>
    </row>
    <row r="22" spans="1:38" ht="15" customHeight="1" x14ac:dyDescent="0.3">
      <c r="B22" s="1" t="s">
        <v>72</v>
      </c>
      <c r="C22" s="1">
        <v>19</v>
      </c>
      <c r="D22" s="1" t="str">
        <f t="shared" si="1"/>
        <v>DOZER D65P-05</v>
      </c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6">
        <f t="shared" si="0"/>
        <v>0</v>
      </c>
      <c r="AK22" s="16">
        <f>VLOOKUP(B22,'FUEL UNIT'!C:AL,35,FALSE)</f>
        <v>0</v>
      </c>
      <c r="AL22" s="5"/>
    </row>
    <row r="23" spans="1:38" ht="15" customHeight="1" x14ac:dyDescent="0.3">
      <c r="B23" s="1" t="s">
        <v>92</v>
      </c>
      <c r="C23" s="1">
        <v>20</v>
      </c>
      <c r="D23" s="1" t="str">
        <f t="shared" si="1"/>
        <v>DOZER D65P-11</v>
      </c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6">
        <f t="shared" si="0"/>
        <v>0</v>
      </c>
      <c r="AK23" s="16">
        <f>VLOOKUP(B23,'FUEL UNIT'!C:AL,35,FALSE)</f>
        <v>0</v>
      </c>
      <c r="AL23" s="5"/>
    </row>
    <row r="24" spans="1:38" ht="15" customHeight="1" x14ac:dyDescent="0.3">
      <c r="B24" s="1" t="s">
        <v>66</v>
      </c>
      <c r="C24" s="1">
        <v>21</v>
      </c>
      <c r="D24" s="1" t="str">
        <f t="shared" si="1"/>
        <v>DOZER D85SS-02</v>
      </c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6">
        <f t="shared" ref="AJ24" si="2">SUM(E24:AI24)</f>
        <v>0</v>
      </c>
      <c r="AK24" s="16">
        <f>VLOOKUP(B24,'FUEL UNIT'!C:AL,35,FALSE)</f>
        <v>0</v>
      </c>
      <c r="AL24" s="5"/>
    </row>
    <row r="25" spans="1:38" ht="15" customHeight="1" x14ac:dyDescent="0.3">
      <c r="B25" s="1" t="s">
        <v>93</v>
      </c>
      <c r="C25" s="1">
        <v>22</v>
      </c>
      <c r="D25" s="1" t="str">
        <f t="shared" si="1"/>
        <v>DOZER D85SS-11</v>
      </c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6">
        <f t="shared" ref="AJ25:AJ27" si="3">SUM(E25:AI25)</f>
        <v>0</v>
      </c>
      <c r="AK25" s="16">
        <f>VLOOKUP(B25,'FUEL UNIT'!C:AL,35,FALSE)</f>
        <v>0</v>
      </c>
      <c r="AL25" s="5"/>
    </row>
    <row r="26" spans="1:38" ht="15" customHeight="1" x14ac:dyDescent="0.3">
      <c r="B26" s="1" t="s">
        <v>94</v>
      </c>
      <c r="C26" s="1">
        <v>23</v>
      </c>
      <c r="D26" s="1" t="str">
        <f t="shared" si="1"/>
        <v>TAP GRADER-11</v>
      </c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6">
        <f t="shared" si="3"/>
        <v>0</v>
      </c>
      <c r="AK26" s="16">
        <f>VLOOKUP(B26,'FUEL UNIT'!C:AL,35,FALSE)</f>
        <v>0</v>
      </c>
      <c r="AL26" s="5"/>
    </row>
    <row r="27" spans="1:38" ht="15" customHeight="1" x14ac:dyDescent="0.3">
      <c r="B27" s="1" t="s">
        <v>67</v>
      </c>
      <c r="C27" s="1">
        <v>24</v>
      </c>
      <c r="D27" s="1" t="str">
        <f t="shared" si="1"/>
        <v>TAP SAKAI-03</v>
      </c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6">
        <f t="shared" si="3"/>
        <v>0</v>
      </c>
      <c r="AK27" s="16">
        <f>VLOOKUP(B27,'FUEL UNIT'!C:AL,35,FALSE)</f>
        <v>0</v>
      </c>
      <c r="AL27" s="5"/>
    </row>
    <row r="28" spans="1:38" x14ac:dyDescent="0.3"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6"/>
      <c r="AK28" s="13"/>
      <c r="AL28" s="5"/>
    </row>
    <row r="29" spans="1:38" s="2" customFormat="1" x14ac:dyDescent="0.3">
      <c r="A29" s="19"/>
      <c r="B29" s="207" t="s">
        <v>21</v>
      </c>
      <c r="C29" s="207"/>
      <c r="D29" s="207"/>
      <c r="E29" s="6">
        <f t="shared" ref="E29:AK29" si="4">SUM(E4:E27)</f>
        <v>0</v>
      </c>
      <c r="F29" s="6">
        <f t="shared" si="4"/>
        <v>0</v>
      </c>
      <c r="G29" s="6">
        <f t="shared" si="4"/>
        <v>0</v>
      </c>
      <c r="H29" s="6">
        <f t="shared" si="4"/>
        <v>0</v>
      </c>
      <c r="I29" s="6">
        <f t="shared" si="4"/>
        <v>0</v>
      </c>
      <c r="J29" s="6">
        <f t="shared" si="4"/>
        <v>0</v>
      </c>
      <c r="K29" s="6">
        <f t="shared" si="4"/>
        <v>0</v>
      </c>
      <c r="L29" s="6">
        <f t="shared" si="4"/>
        <v>0</v>
      </c>
      <c r="M29" s="6">
        <f t="shared" si="4"/>
        <v>0</v>
      </c>
      <c r="N29" s="6">
        <f t="shared" si="4"/>
        <v>0</v>
      </c>
      <c r="O29" s="6">
        <f t="shared" si="4"/>
        <v>0</v>
      </c>
      <c r="P29" s="6">
        <f t="shared" si="4"/>
        <v>0</v>
      </c>
      <c r="Q29" s="6">
        <f t="shared" si="4"/>
        <v>0</v>
      </c>
      <c r="R29" s="6">
        <f t="shared" si="4"/>
        <v>0</v>
      </c>
      <c r="S29" s="6">
        <f t="shared" si="4"/>
        <v>0</v>
      </c>
      <c r="T29" s="6">
        <f t="shared" si="4"/>
        <v>0</v>
      </c>
      <c r="U29" s="6">
        <f t="shared" si="4"/>
        <v>0</v>
      </c>
      <c r="V29" s="6">
        <f t="shared" si="4"/>
        <v>0</v>
      </c>
      <c r="W29" s="6">
        <f t="shared" si="4"/>
        <v>0</v>
      </c>
      <c r="X29" s="6">
        <f t="shared" si="4"/>
        <v>0</v>
      </c>
      <c r="Y29" s="6">
        <f t="shared" si="4"/>
        <v>0</v>
      </c>
      <c r="Z29" s="6">
        <f t="shared" si="4"/>
        <v>0</v>
      </c>
      <c r="AA29" s="6">
        <f t="shared" si="4"/>
        <v>0</v>
      </c>
      <c r="AB29" s="6">
        <f t="shared" si="4"/>
        <v>0</v>
      </c>
      <c r="AC29" s="6">
        <f t="shared" si="4"/>
        <v>0</v>
      </c>
      <c r="AD29" s="6">
        <f t="shared" si="4"/>
        <v>0</v>
      </c>
      <c r="AE29" s="6">
        <f t="shared" si="4"/>
        <v>0</v>
      </c>
      <c r="AF29" s="6">
        <f t="shared" si="4"/>
        <v>0</v>
      </c>
      <c r="AG29" s="6">
        <f t="shared" si="4"/>
        <v>0</v>
      </c>
      <c r="AH29" s="6">
        <f t="shared" si="4"/>
        <v>0</v>
      </c>
      <c r="AI29" s="6">
        <f t="shared" si="4"/>
        <v>0</v>
      </c>
      <c r="AJ29" s="6">
        <f t="shared" si="4"/>
        <v>0</v>
      </c>
      <c r="AK29" s="6">
        <f t="shared" si="4"/>
        <v>0</v>
      </c>
      <c r="AL29" s="6"/>
    </row>
    <row r="30" spans="1:38" s="2" customFormat="1" x14ac:dyDescent="0.3">
      <c r="A30" s="19"/>
      <c r="B30" s="14"/>
      <c r="C30" s="14"/>
      <c r="D30" s="14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</row>
    <row r="31" spans="1:38" x14ac:dyDescent="0.3">
      <c r="D31" s="7"/>
      <c r="P31" s="5"/>
      <c r="Q31" s="5"/>
      <c r="Z31" s="6"/>
      <c r="AA31" s="6"/>
      <c r="AB31" s="6"/>
      <c r="AG31" s="6"/>
      <c r="AH31" s="2"/>
      <c r="AI31" s="2"/>
      <c r="AJ31" s="6"/>
      <c r="AK31" s="5"/>
      <c r="AL31" s="5"/>
    </row>
    <row r="32" spans="1:38" ht="19.95" customHeight="1" x14ac:dyDescent="0.3">
      <c r="B32" s="2" t="s">
        <v>10</v>
      </c>
      <c r="C32" s="2" t="s">
        <v>11</v>
      </c>
      <c r="D32" s="8">
        <f>SUM(E29:I29)</f>
        <v>0</v>
      </c>
      <c r="Z32" s="208" t="s">
        <v>12</v>
      </c>
      <c r="AA32" s="208"/>
      <c r="AB32" s="208"/>
      <c r="AG32" s="208" t="s">
        <v>13</v>
      </c>
      <c r="AH32" s="208"/>
      <c r="AI32" s="208"/>
    </row>
    <row r="33" spans="2:36" ht="19.95" customHeight="1" x14ac:dyDescent="0.3">
      <c r="B33" s="2" t="s">
        <v>14</v>
      </c>
      <c r="C33" s="2" t="s">
        <v>11</v>
      </c>
      <c r="D33" s="8">
        <f>SUM(J29:P29)</f>
        <v>0</v>
      </c>
      <c r="AJ33" s="9"/>
    </row>
    <row r="34" spans="2:36" ht="19.95" customHeight="1" x14ac:dyDescent="0.3">
      <c r="B34" s="2" t="s">
        <v>15</v>
      </c>
      <c r="C34" s="2" t="s">
        <v>11</v>
      </c>
      <c r="D34" s="8">
        <f>SUM(Q29:W29)</f>
        <v>0</v>
      </c>
      <c r="S34" s="12"/>
      <c r="T34" s="12"/>
      <c r="U34" s="12"/>
    </row>
    <row r="35" spans="2:36" ht="19.95" customHeight="1" x14ac:dyDescent="0.3">
      <c r="B35" s="2" t="s">
        <v>16</v>
      </c>
      <c r="C35" s="2" t="s">
        <v>11</v>
      </c>
      <c r="D35" s="8">
        <f>SUM(X29:AD29)</f>
        <v>0</v>
      </c>
      <c r="I35" s="1" t="s">
        <v>17</v>
      </c>
    </row>
    <row r="36" spans="2:36" ht="19.95" customHeight="1" x14ac:dyDescent="0.3">
      <c r="B36" s="2" t="s">
        <v>18</v>
      </c>
      <c r="C36" s="2" t="s">
        <v>11</v>
      </c>
      <c r="D36" s="8">
        <f>SUM(AE29:AI29)</f>
        <v>0</v>
      </c>
      <c r="Z36" s="208" t="s">
        <v>19</v>
      </c>
      <c r="AA36" s="208"/>
      <c r="AB36" s="208"/>
      <c r="AG36" s="208" t="s">
        <v>20</v>
      </c>
      <c r="AH36" s="208"/>
      <c r="AI36" s="208"/>
    </row>
    <row r="37" spans="2:36" ht="19.95" customHeight="1" x14ac:dyDescent="0.3">
      <c r="B37" s="2"/>
      <c r="C37" s="2"/>
      <c r="D37" s="8"/>
    </row>
    <row r="38" spans="2:36" ht="19.95" customHeight="1" x14ac:dyDescent="0.3">
      <c r="B38" s="2"/>
      <c r="C38" s="2"/>
      <c r="D38" s="10">
        <f>SUM(D32:D36)</f>
        <v>0</v>
      </c>
    </row>
    <row r="39" spans="2:36" ht="19.95" customHeight="1" x14ac:dyDescent="0.3"/>
    <row r="40" spans="2:36" ht="19.95" customHeight="1" x14ac:dyDescent="0.3">
      <c r="D40" s="11" t="str">
        <f>IF(D38=AJ29,"BENAR","SALAH")</f>
        <v>BENAR</v>
      </c>
    </row>
  </sheetData>
  <mergeCells count="10">
    <mergeCell ref="AK2:AK3"/>
    <mergeCell ref="AJ2:AJ3"/>
    <mergeCell ref="B29:D29"/>
    <mergeCell ref="AG36:AI36"/>
    <mergeCell ref="Z36:AB36"/>
    <mergeCell ref="AG32:AI32"/>
    <mergeCell ref="Z32:AB32"/>
    <mergeCell ref="C2:C3"/>
    <mergeCell ref="D2:D3"/>
    <mergeCell ref="E2:AI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/>
  </sheetPr>
  <dimension ref="A1:AN50"/>
  <sheetViews>
    <sheetView topLeftCell="B1" zoomScale="85" zoomScaleNormal="85" workbookViewId="0">
      <pane xSplit="4" ySplit="3" topLeftCell="F4" activePane="bottomRight" state="frozenSplit"/>
      <selection activeCell="AI27" sqref="E4:AI27"/>
      <selection pane="topRight" activeCell="AI27" sqref="E4:AI27"/>
      <selection pane="bottomLeft" activeCell="AI27" sqref="E4:AI27"/>
      <selection pane="bottomRight" activeCell="AI27" sqref="E4:AI27"/>
    </sheetView>
  </sheetViews>
  <sheetFormatPr defaultRowHeight="14.4" x14ac:dyDescent="0.3"/>
  <cols>
    <col min="1" max="1" width="13.88671875" style="1" bestFit="1" customWidth="1"/>
    <col min="2" max="2" width="13.88671875" style="1" customWidth="1"/>
    <col min="3" max="3" width="22.44140625" style="1" customWidth="1"/>
    <col min="4" max="4" width="4.109375" style="1" bestFit="1" customWidth="1"/>
    <col min="5" max="5" width="22.44140625" style="1" bestFit="1" customWidth="1"/>
    <col min="6" max="7" width="9.5546875" style="1" bestFit="1" customWidth="1"/>
    <col min="8" max="11" width="10.5546875" style="1" bestFit="1" customWidth="1"/>
    <col min="12" max="12" width="9.5546875" style="1" bestFit="1" customWidth="1"/>
    <col min="13" max="34" width="10.5546875" style="1" bestFit="1" customWidth="1"/>
    <col min="35" max="35" width="11.33203125" style="1" bestFit="1" customWidth="1"/>
    <col min="36" max="36" width="10.5546875" style="1" bestFit="1" customWidth="1"/>
    <col min="37" max="37" width="11.5546875" style="2" bestFit="1" customWidth="1"/>
    <col min="38" max="38" width="15" style="1" bestFit="1" customWidth="1"/>
    <col min="39" max="257" width="9.109375" style="1"/>
    <col min="258" max="258" width="8.88671875" style="1" customWidth="1"/>
    <col min="259" max="259" width="21" style="1" bestFit="1" customWidth="1"/>
    <col min="260" max="260" width="3.88671875" style="1" bestFit="1" customWidth="1"/>
    <col min="261" max="261" width="21" style="1" bestFit="1" customWidth="1"/>
    <col min="262" max="262" width="11.88671875" style="1" customWidth="1"/>
    <col min="263" max="263" width="11.5546875" style="1" customWidth="1"/>
    <col min="264" max="264" width="12" style="1" customWidth="1"/>
    <col min="265" max="265" width="11.5546875" style="1" customWidth="1"/>
    <col min="266" max="267" width="10.33203125" style="1" customWidth="1"/>
    <col min="268" max="282" width="8.88671875" style="1" customWidth="1"/>
    <col min="283" max="283" width="10.5546875" style="1" bestFit="1" customWidth="1"/>
    <col min="284" max="286" width="8.88671875" style="1" customWidth="1"/>
    <col min="287" max="288" width="9.109375" style="1"/>
    <col min="289" max="289" width="9.5546875" style="1" customWidth="1"/>
    <col min="290" max="290" width="10.33203125" style="1" customWidth="1"/>
    <col min="291" max="291" width="9.6640625" style="1" customWidth="1"/>
    <col min="292" max="292" width="10.33203125" style="1" customWidth="1"/>
    <col min="293" max="293" width="14.88671875" style="1" bestFit="1" customWidth="1"/>
    <col min="294" max="294" width="8.88671875" style="1" customWidth="1"/>
    <col min="295" max="513" width="9.109375" style="1"/>
    <col min="514" max="514" width="8.88671875" style="1" customWidth="1"/>
    <col min="515" max="515" width="21" style="1" bestFit="1" customWidth="1"/>
    <col min="516" max="516" width="3.88671875" style="1" bestFit="1" customWidth="1"/>
    <col min="517" max="517" width="21" style="1" bestFit="1" customWidth="1"/>
    <col min="518" max="518" width="11.88671875" style="1" customWidth="1"/>
    <col min="519" max="519" width="11.5546875" style="1" customWidth="1"/>
    <col min="520" max="520" width="12" style="1" customWidth="1"/>
    <col min="521" max="521" width="11.5546875" style="1" customWidth="1"/>
    <col min="522" max="523" width="10.33203125" style="1" customWidth="1"/>
    <col min="524" max="538" width="8.88671875" style="1" customWidth="1"/>
    <col min="539" max="539" width="10.5546875" style="1" bestFit="1" customWidth="1"/>
    <col min="540" max="542" width="8.88671875" style="1" customWidth="1"/>
    <col min="543" max="544" width="9.109375" style="1"/>
    <col min="545" max="545" width="9.5546875" style="1" customWidth="1"/>
    <col min="546" max="546" width="10.33203125" style="1" customWidth="1"/>
    <col min="547" max="547" width="9.6640625" style="1" customWidth="1"/>
    <col min="548" max="548" width="10.33203125" style="1" customWidth="1"/>
    <col min="549" max="549" width="14.88671875" style="1" bestFit="1" customWidth="1"/>
    <col min="550" max="550" width="8.88671875" style="1" customWidth="1"/>
    <col min="551" max="769" width="9.109375" style="1"/>
    <col min="770" max="770" width="8.88671875" style="1" customWidth="1"/>
    <col min="771" max="771" width="21" style="1" bestFit="1" customWidth="1"/>
    <col min="772" max="772" width="3.88671875" style="1" bestFit="1" customWidth="1"/>
    <col min="773" max="773" width="21" style="1" bestFit="1" customWidth="1"/>
    <col min="774" max="774" width="11.88671875" style="1" customWidth="1"/>
    <col min="775" max="775" width="11.5546875" style="1" customWidth="1"/>
    <col min="776" max="776" width="12" style="1" customWidth="1"/>
    <col min="777" max="777" width="11.5546875" style="1" customWidth="1"/>
    <col min="778" max="779" width="10.33203125" style="1" customWidth="1"/>
    <col min="780" max="794" width="8.88671875" style="1" customWidth="1"/>
    <col min="795" max="795" width="10.5546875" style="1" bestFit="1" customWidth="1"/>
    <col min="796" max="798" width="8.88671875" style="1" customWidth="1"/>
    <col min="799" max="800" width="9.109375" style="1"/>
    <col min="801" max="801" width="9.5546875" style="1" customWidth="1"/>
    <col min="802" max="802" width="10.33203125" style="1" customWidth="1"/>
    <col min="803" max="803" width="9.6640625" style="1" customWidth="1"/>
    <col min="804" max="804" width="10.33203125" style="1" customWidth="1"/>
    <col min="805" max="805" width="14.88671875" style="1" bestFit="1" customWidth="1"/>
    <col min="806" max="806" width="8.88671875" style="1" customWidth="1"/>
    <col min="807" max="1025" width="9.109375" style="1"/>
    <col min="1026" max="1026" width="8.88671875" style="1" customWidth="1"/>
    <col min="1027" max="1027" width="21" style="1" bestFit="1" customWidth="1"/>
    <col min="1028" max="1028" width="3.88671875" style="1" bestFit="1" customWidth="1"/>
    <col min="1029" max="1029" width="21" style="1" bestFit="1" customWidth="1"/>
    <col min="1030" max="1030" width="11.88671875" style="1" customWidth="1"/>
    <col min="1031" max="1031" width="11.5546875" style="1" customWidth="1"/>
    <col min="1032" max="1032" width="12" style="1" customWidth="1"/>
    <col min="1033" max="1033" width="11.5546875" style="1" customWidth="1"/>
    <col min="1034" max="1035" width="10.33203125" style="1" customWidth="1"/>
    <col min="1036" max="1050" width="8.88671875" style="1" customWidth="1"/>
    <col min="1051" max="1051" width="10.5546875" style="1" bestFit="1" customWidth="1"/>
    <col min="1052" max="1054" width="8.88671875" style="1" customWidth="1"/>
    <col min="1055" max="1056" width="9.109375" style="1"/>
    <col min="1057" max="1057" width="9.5546875" style="1" customWidth="1"/>
    <col min="1058" max="1058" width="10.33203125" style="1" customWidth="1"/>
    <col min="1059" max="1059" width="9.6640625" style="1" customWidth="1"/>
    <col min="1060" max="1060" width="10.33203125" style="1" customWidth="1"/>
    <col min="1061" max="1061" width="14.88671875" style="1" bestFit="1" customWidth="1"/>
    <col min="1062" max="1062" width="8.88671875" style="1" customWidth="1"/>
    <col min="1063" max="1281" width="9.109375" style="1"/>
    <col min="1282" max="1282" width="8.88671875" style="1" customWidth="1"/>
    <col min="1283" max="1283" width="21" style="1" bestFit="1" customWidth="1"/>
    <col min="1284" max="1284" width="3.88671875" style="1" bestFit="1" customWidth="1"/>
    <col min="1285" max="1285" width="21" style="1" bestFit="1" customWidth="1"/>
    <col min="1286" max="1286" width="11.88671875" style="1" customWidth="1"/>
    <col min="1287" max="1287" width="11.5546875" style="1" customWidth="1"/>
    <col min="1288" max="1288" width="12" style="1" customWidth="1"/>
    <col min="1289" max="1289" width="11.5546875" style="1" customWidth="1"/>
    <col min="1290" max="1291" width="10.33203125" style="1" customWidth="1"/>
    <col min="1292" max="1306" width="8.88671875" style="1" customWidth="1"/>
    <col min="1307" max="1307" width="10.5546875" style="1" bestFit="1" customWidth="1"/>
    <col min="1308" max="1310" width="8.88671875" style="1" customWidth="1"/>
    <col min="1311" max="1312" width="9.109375" style="1"/>
    <col min="1313" max="1313" width="9.5546875" style="1" customWidth="1"/>
    <col min="1314" max="1314" width="10.33203125" style="1" customWidth="1"/>
    <col min="1315" max="1315" width="9.6640625" style="1" customWidth="1"/>
    <col min="1316" max="1316" width="10.33203125" style="1" customWidth="1"/>
    <col min="1317" max="1317" width="14.88671875" style="1" bestFit="1" customWidth="1"/>
    <col min="1318" max="1318" width="8.88671875" style="1" customWidth="1"/>
    <col min="1319" max="1537" width="9.109375" style="1"/>
    <col min="1538" max="1538" width="8.88671875" style="1" customWidth="1"/>
    <col min="1539" max="1539" width="21" style="1" bestFit="1" customWidth="1"/>
    <col min="1540" max="1540" width="3.88671875" style="1" bestFit="1" customWidth="1"/>
    <col min="1541" max="1541" width="21" style="1" bestFit="1" customWidth="1"/>
    <col min="1542" max="1542" width="11.88671875" style="1" customWidth="1"/>
    <col min="1543" max="1543" width="11.5546875" style="1" customWidth="1"/>
    <col min="1544" max="1544" width="12" style="1" customWidth="1"/>
    <col min="1545" max="1545" width="11.5546875" style="1" customWidth="1"/>
    <col min="1546" max="1547" width="10.33203125" style="1" customWidth="1"/>
    <col min="1548" max="1562" width="8.88671875" style="1" customWidth="1"/>
    <col min="1563" max="1563" width="10.5546875" style="1" bestFit="1" customWidth="1"/>
    <col min="1564" max="1566" width="8.88671875" style="1" customWidth="1"/>
    <col min="1567" max="1568" width="9.109375" style="1"/>
    <col min="1569" max="1569" width="9.5546875" style="1" customWidth="1"/>
    <col min="1570" max="1570" width="10.33203125" style="1" customWidth="1"/>
    <col min="1571" max="1571" width="9.6640625" style="1" customWidth="1"/>
    <col min="1572" max="1572" width="10.33203125" style="1" customWidth="1"/>
    <col min="1573" max="1573" width="14.88671875" style="1" bestFit="1" customWidth="1"/>
    <col min="1574" max="1574" width="8.88671875" style="1" customWidth="1"/>
    <col min="1575" max="1793" width="9.109375" style="1"/>
    <col min="1794" max="1794" width="8.88671875" style="1" customWidth="1"/>
    <col min="1795" max="1795" width="21" style="1" bestFit="1" customWidth="1"/>
    <col min="1796" max="1796" width="3.88671875" style="1" bestFit="1" customWidth="1"/>
    <col min="1797" max="1797" width="21" style="1" bestFit="1" customWidth="1"/>
    <col min="1798" max="1798" width="11.88671875" style="1" customWidth="1"/>
    <col min="1799" max="1799" width="11.5546875" style="1" customWidth="1"/>
    <col min="1800" max="1800" width="12" style="1" customWidth="1"/>
    <col min="1801" max="1801" width="11.5546875" style="1" customWidth="1"/>
    <col min="1802" max="1803" width="10.33203125" style="1" customWidth="1"/>
    <col min="1804" max="1818" width="8.88671875" style="1" customWidth="1"/>
    <col min="1819" max="1819" width="10.5546875" style="1" bestFit="1" customWidth="1"/>
    <col min="1820" max="1822" width="8.88671875" style="1" customWidth="1"/>
    <col min="1823" max="1824" width="9.109375" style="1"/>
    <col min="1825" max="1825" width="9.5546875" style="1" customWidth="1"/>
    <col min="1826" max="1826" width="10.33203125" style="1" customWidth="1"/>
    <col min="1827" max="1827" width="9.6640625" style="1" customWidth="1"/>
    <col min="1828" max="1828" width="10.33203125" style="1" customWidth="1"/>
    <col min="1829" max="1829" width="14.88671875" style="1" bestFit="1" customWidth="1"/>
    <col min="1830" max="1830" width="8.88671875" style="1" customWidth="1"/>
    <col min="1831" max="2049" width="9.109375" style="1"/>
    <col min="2050" max="2050" width="8.88671875" style="1" customWidth="1"/>
    <col min="2051" max="2051" width="21" style="1" bestFit="1" customWidth="1"/>
    <col min="2052" max="2052" width="3.88671875" style="1" bestFit="1" customWidth="1"/>
    <col min="2053" max="2053" width="21" style="1" bestFit="1" customWidth="1"/>
    <col min="2054" max="2054" width="11.88671875" style="1" customWidth="1"/>
    <col min="2055" max="2055" width="11.5546875" style="1" customWidth="1"/>
    <col min="2056" max="2056" width="12" style="1" customWidth="1"/>
    <col min="2057" max="2057" width="11.5546875" style="1" customWidth="1"/>
    <col min="2058" max="2059" width="10.33203125" style="1" customWidth="1"/>
    <col min="2060" max="2074" width="8.88671875" style="1" customWidth="1"/>
    <col min="2075" max="2075" width="10.5546875" style="1" bestFit="1" customWidth="1"/>
    <col min="2076" max="2078" width="8.88671875" style="1" customWidth="1"/>
    <col min="2079" max="2080" width="9.109375" style="1"/>
    <col min="2081" max="2081" width="9.5546875" style="1" customWidth="1"/>
    <col min="2082" max="2082" width="10.33203125" style="1" customWidth="1"/>
    <col min="2083" max="2083" width="9.6640625" style="1" customWidth="1"/>
    <col min="2084" max="2084" width="10.33203125" style="1" customWidth="1"/>
    <col min="2085" max="2085" width="14.88671875" style="1" bestFit="1" customWidth="1"/>
    <col min="2086" max="2086" width="8.88671875" style="1" customWidth="1"/>
    <col min="2087" max="2305" width="9.109375" style="1"/>
    <col min="2306" max="2306" width="8.88671875" style="1" customWidth="1"/>
    <col min="2307" max="2307" width="21" style="1" bestFit="1" customWidth="1"/>
    <col min="2308" max="2308" width="3.88671875" style="1" bestFit="1" customWidth="1"/>
    <col min="2309" max="2309" width="21" style="1" bestFit="1" customWidth="1"/>
    <col min="2310" max="2310" width="11.88671875" style="1" customWidth="1"/>
    <col min="2311" max="2311" width="11.5546875" style="1" customWidth="1"/>
    <col min="2312" max="2312" width="12" style="1" customWidth="1"/>
    <col min="2313" max="2313" width="11.5546875" style="1" customWidth="1"/>
    <col min="2314" max="2315" width="10.33203125" style="1" customWidth="1"/>
    <col min="2316" max="2330" width="8.88671875" style="1" customWidth="1"/>
    <col min="2331" max="2331" width="10.5546875" style="1" bestFit="1" customWidth="1"/>
    <col min="2332" max="2334" width="8.88671875" style="1" customWidth="1"/>
    <col min="2335" max="2336" width="9.109375" style="1"/>
    <col min="2337" max="2337" width="9.5546875" style="1" customWidth="1"/>
    <col min="2338" max="2338" width="10.33203125" style="1" customWidth="1"/>
    <col min="2339" max="2339" width="9.6640625" style="1" customWidth="1"/>
    <col min="2340" max="2340" width="10.33203125" style="1" customWidth="1"/>
    <col min="2341" max="2341" width="14.88671875" style="1" bestFit="1" customWidth="1"/>
    <col min="2342" max="2342" width="8.88671875" style="1" customWidth="1"/>
    <col min="2343" max="2561" width="9.109375" style="1"/>
    <col min="2562" max="2562" width="8.88671875" style="1" customWidth="1"/>
    <col min="2563" max="2563" width="21" style="1" bestFit="1" customWidth="1"/>
    <col min="2564" max="2564" width="3.88671875" style="1" bestFit="1" customWidth="1"/>
    <col min="2565" max="2565" width="21" style="1" bestFit="1" customWidth="1"/>
    <col min="2566" max="2566" width="11.88671875" style="1" customWidth="1"/>
    <col min="2567" max="2567" width="11.5546875" style="1" customWidth="1"/>
    <col min="2568" max="2568" width="12" style="1" customWidth="1"/>
    <col min="2569" max="2569" width="11.5546875" style="1" customWidth="1"/>
    <col min="2570" max="2571" width="10.33203125" style="1" customWidth="1"/>
    <col min="2572" max="2586" width="8.88671875" style="1" customWidth="1"/>
    <col min="2587" max="2587" width="10.5546875" style="1" bestFit="1" customWidth="1"/>
    <col min="2588" max="2590" width="8.88671875" style="1" customWidth="1"/>
    <col min="2591" max="2592" width="9.109375" style="1"/>
    <col min="2593" max="2593" width="9.5546875" style="1" customWidth="1"/>
    <col min="2594" max="2594" width="10.33203125" style="1" customWidth="1"/>
    <col min="2595" max="2595" width="9.6640625" style="1" customWidth="1"/>
    <col min="2596" max="2596" width="10.33203125" style="1" customWidth="1"/>
    <col min="2597" max="2597" width="14.88671875" style="1" bestFit="1" customWidth="1"/>
    <col min="2598" max="2598" width="8.88671875" style="1" customWidth="1"/>
    <col min="2599" max="2817" width="9.109375" style="1"/>
    <col min="2818" max="2818" width="8.88671875" style="1" customWidth="1"/>
    <col min="2819" max="2819" width="21" style="1" bestFit="1" customWidth="1"/>
    <col min="2820" max="2820" width="3.88671875" style="1" bestFit="1" customWidth="1"/>
    <col min="2821" max="2821" width="21" style="1" bestFit="1" customWidth="1"/>
    <col min="2822" max="2822" width="11.88671875" style="1" customWidth="1"/>
    <col min="2823" max="2823" width="11.5546875" style="1" customWidth="1"/>
    <col min="2824" max="2824" width="12" style="1" customWidth="1"/>
    <col min="2825" max="2825" width="11.5546875" style="1" customWidth="1"/>
    <col min="2826" max="2827" width="10.33203125" style="1" customWidth="1"/>
    <col min="2828" max="2842" width="8.88671875" style="1" customWidth="1"/>
    <col min="2843" max="2843" width="10.5546875" style="1" bestFit="1" customWidth="1"/>
    <col min="2844" max="2846" width="8.88671875" style="1" customWidth="1"/>
    <col min="2847" max="2848" width="9.109375" style="1"/>
    <col min="2849" max="2849" width="9.5546875" style="1" customWidth="1"/>
    <col min="2850" max="2850" width="10.33203125" style="1" customWidth="1"/>
    <col min="2851" max="2851" width="9.6640625" style="1" customWidth="1"/>
    <col min="2852" max="2852" width="10.33203125" style="1" customWidth="1"/>
    <col min="2853" max="2853" width="14.88671875" style="1" bestFit="1" customWidth="1"/>
    <col min="2854" max="2854" width="8.88671875" style="1" customWidth="1"/>
    <col min="2855" max="3073" width="9.109375" style="1"/>
    <col min="3074" max="3074" width="8.88671875" style="1" customWidth="1"/>
    <col min="3075" max="3075" width="21" style="1" bestFit="1" customWidth="1"/>
    <col min="3076" max="3076" width="3.88671875" style="1" bestFit="1" customWidth="1"/>
    <col min="3077" max="3077" width="21" style="1" bestFit="1" customWidth="1"/>
    <col min="3078" max="3078" width="11.88671875" style="1" customWidth="1"/>
    <col min="3079" max="3079" width="11.5546875" style="1" customWidth="1"/>
    <col min="3080" max="3080" width="12" style="1" customWidth="1"/>
    <col min="3081" max="3081" width="11.5546875" style="1" customWidth="1"/>
    <col min="3082" max="3083" width="10.33203125" style="1" customWidth="1"/>
    <col min="3084" max="3098" width="8.88671875" style="1" customWidth="1"/>
    <col min="3099" max="3099" width="10.5546875" style="1" bestFit="1" customWidth="1"/>
    <col min="3100" max="3102" width="8.88671875" style="1" customWidth="1"/>
    <col min="3103" max="3104" width="9.109375" style="1"/>
    <col min="3105" max="3105" width="9.5546875" style="1" customWidth="1"/>
    <col min="3106" max="3106" width="10.33203125" style="1" customWidth="1"/>
    <col min="3107" max="3107" width="9.6640625" style="1" customWidth="1"/>
    <col min="3108" max="3108" width="10.33203125" style="1" customWidth="1"/>
    <col min="3109" max="3109" width="14.88671875" style="1" bestFit="1" customWidth="1"/>
    <col min="3110" max="3110" width="8.88671875" style="1" customWidth="1"/>
    <col min="3111" max="3329" width="9.109375" style="1"/>
    <col min="3330" max="3330" width="8.88671875" style="1" customWidth="1"/>
    <col min="3331" max="3331" width="21" style="1" bestFit="1" customWidth="1"/>
    <col min="3332" max="3332" width="3.88671875" style="1" bestFit="1" customWidth="1"/>
    <col min="3333" max="3333" width="21" style="1" bestFit="1" customWidth="1"/>
    <col min="3334" max="3334" width="11.88671875" style="1" customWidth="1"/>
    <col min="3335" max="3335" width="11.5546875" style="1" customWidth="1"/>
    <col min="3336" max="3336" width="12" style="1" customWidth="1"/>
    <col min="3337" max="3337" width="11.5546875" style="1" customWidth="1"/>
    <col min="3338" max="3339" width="10.33203125" style="1" customWidth="1"/>
    <col min="3340" max="3354" width="8.88671875" style="1" customWidth="1"/>
    <col min="3355" max="3355" width="10.5546875" style="1" bestFit="1" customWidth="1"/>
    <col min="3356" max="3358" width="8.88671875" style="1" customWidth="1"/>
    <col min="3359" max="3360" width="9.109375" style="1"/>
    <col min="3361" max="3361" width="9.5546875" style="1" customWidth="1"/>
    <col min="3362" max="3362" width="10.33203125" style="1" customWidth="1"/>
    <col min="3363" max="3363" width="9.6640625" style="1" customWidth="1"/>
    <col min="3364" max="3364" width="10.33203125" style="1" customWidth="1"/>
    <col min="3365" max="3365" width="14.88671875" style="1" bestFit="1" customWidth="1"/>
    <col min="3366" max="3366" width="8.88671875" style="1" customWidth="1"/>
    <col min="3367" max="3585" width="9.109375" style="1"/>
    <col min="3586" max="3586" width="8.88671875" style="1" customWidth="1"/>
    <col min="3587" max="3587" width="21" style="1" bestFit="1" customWidth="1"/>
    <col min="3588" max="3588" width="3.88671875" style="1" bestFit="1" customWidth="1"/>
    <col min="3589" max="3589" width="21" style="1" bestFit="1" customWidth="1"/>
    <col min="3590" max="3590" width="11.88671875" style="1" customWidth="1"/>
    <col min="3591" max="3591" width="11.5546875" style="1" customWidth="1"/>
    <col min="3592" max="3592" width="12" style="1" customWidth="1"/>
    <col min="3593" max="3593" width="11.5546875" style="1" customWidth="1"/>
    <col min="3594" max="3595" width="10.33203125" style="1" customWidth="1"/>
    <col min="3596" max="3610" width="8.88671875" style="1" customWidth="1"/>
    <col min="3611" max="3611" width="10.5546875" style="1" bestFit="1" customWidth="1"/>
    <col min="3612" max="3614" width="8.88671875" style="1" customWidth="1"/>
    <col min="3615" max="3616" width="9.109375" style="1"/>
    <col min="3617" max="3617" width="9.5546875" style="1" customWidth="1"/>
    <col min="3618" max="3618" width="10.33203125" style="1" customWidth="1"/>
    <col min="3619" max="3619" width="9.6640625" style="1" customWidth="1"/>
    <col min="3620" max="3620" width="10.33203125" style="1" customWidth="1"/>
    <col min="3621" max="3621" width="14.88671875" style="1" bestFit="1" customWidth="1"/>
    <col min="3622" max="3622" width="8.88671875" style="1" customWidth="1"/>
    <col min="3623" max="3841" width="9.109375" style="1"/>
    <col min="3842" max="3842" width="8.88671875" style="1" customWidth="1"/>
    <col min="3843" max="3843" width="21" style="1" bestFit="1" customWidth="1"/>
    <col min="3844" max="3844" width="3.88671875" style="1" bestFit="1" customWidth="1"/>
    <col min="3845" max="3845" width="21" style="1" bestFit="1" customWidth="1"/>
    <col min="3846" max="3846" width="11.88671875" style="1" customWidth="1"/>
    <col min="3847" max="3847" width="11.5546875" style="1" customWidth="1"/>
    <col min="3848" max="3848" width="12" style="1" customWidth="1"/>
    <col min="3849" max="3849" width="11.5546875" style="1" customWidth="1"/>
    <col min="3850" max="3851" width="10.33203125" style="1" customWidth="1"/>
    <col min="3852" max="3866" width="8.88671875" style="1" customWidth="1"/>
    <col min="3867" max="3867" width="10.5546875" style="1" bestFit="1" customWidth="1"/>
    <col min="3868" max="3870" width="8.88671875" style="1" customWidth="1"/>
    <col min="3871" max="3872" width="9.109375" style="1"/>
    <col min="3873" max="3873" width="9.5546875" style="1" customWidth="1"/>
    <col min="3874" max="3874" width="10.33203125" style="1" customWidth="1"/>
    <col min="3875" max="3875" width="9.6640625" style="1" customWidth="1"/>
    <col min="3876" max="3876" width="10.33203125" style="1" customWidth="1"/>
    <col min="3877" max="3877" width="14.88671875" style="1" bestFit="1" customWidth="1"/>
    <col min="3878" max="3878" width="8.88671875" style="1" customWidth="1"/>
    <col min="3879" max="4097" width="9.109375" style="1"/>
    <col min="4098" max="4098" width="8.88671875" style="1" customWidth="1"/>
    <col min="4099" max="4099" width="21" style="1" bestFit="1" customWidth="1"/>
    <col min="4100" max="4100" width="3.88671875" style="1" bestFit="1" customWidth="1"/>
    <col min="4101" max="4101" width="21" style="1" bestFit="1" customWidth="1"/>
    <col min="4102" max="4102" width="11.88671875" style="1" customWidth="1"/>
    <col min="4103" max="4103" width="11.5546875" style="1" customWidth="1"/>
    <col min="4104" max="4104" width="12" style="1" customWidth="1"/>
    <col min="4105" max="4105" width="11.5546875" style="1" customWidth="1"/>
    <col min="4106" max="4107" width="10.33203125" style="1" customWidth="1"/>
    <col min="4108" max="4122" width="8.88671875" style="1" customWidth="1"/>
    <col min="4123" max="4123" width="10.5546875" style="1" bestFit="1" customWidth="1"/>
    <col min="4124" max="4126" width="8.88671875" style="1" customWidth="1"/>
    <col min="4127" max="4128" width="9.109375" style="1"/>
    <col min="4129" max="4129" width="9.5546875" style="1" customWidth="1"/>
    <col min="4130" max="4130" width="10.33203125" style="1" customWidth="1"/>
    <col min="4131" max="4131" width="9.6640625" style="1" customWidth="1"/>
    <col min="4132" max="4132" width="10.33203125" style="1" customWidth="1"/>
    <col min="4133" max="4133" width="14.88671875" style="1" bestFit="1" customWidth="1"/>
    <col min="4134" max="4134" width="8.88671875" style="1" customWidth="1"/>
    <col min="4135" max="4353" width="9.109375" style="1"/>
    <col min="4354" max="4354" width="8.88671875" style="1" customWidth="1"/>
    <col min="4355" max="4355" width="21" style="1" bestFit="1" customWidth="1"/>
    <col min="4356" max="4356" width="3.88671875" style="1" bestFit="1" customWidth="1"/>
    <col min="4357" max="4357" width="21" style="1" bestFit="1" customWidth="1"/>
    <col min="4358" max="4358" width="11.88671875" style="1" customWidth="1"/>
    <col min="4359" max="4359" width="11.5546875" style="1" customWidth="1"/>
    <col min="4360" max="4360" width="12" style="1" customWidth="1"/>
    <col min="4361" max="4361" width="11.5546875" style="1" customWidth="1"/>
    <col min="4362" max="4363" width="10.33203125" style="1" customWidth="1"/>
    <col min="4364" max="4378" width="8.88671875" style="1" customWidth="1"/>
    <col min="4379" max="4379" width="10.5546875" style="1" bestFit="1" customWidth="1"/>
    <col min="4380" max="4382" width="8.88671875" style="1" customWidth="1"/>
    <col min="4383" max="4384" width="9.109375" style="1"/>
    <col min="4385" max="4385" width="9.5546875" style="1" customWidth="1"/>
    <col min="4386" max="4386" width="10.33203125" style="1" customWidth="1"/>
    <col min="4387" max="4387" width="9.6640625" style="1" customWidth="1"/>
    <col min="4388" max="4388" width="10.33203125" style="1" customWidth="1"/>
    <col min="4389" max="4389" width="14.88671875" style="1" bestFit="1" customWidth="1"/>
    <col min="4390" max="4390" width="8.88671875" style="1" customWidth="1"/>
    <col min="4391" max="4609" width="9.109375" style="1"/>
    <col min="4610" max="4610" width="8.88671875" style="1" customWidth="1"/>
    <col min="4611" max="4611" width="21" style="1" bestFit="1" customWidth="1"/>
    <col min="4612" max="4612" width="3.88671875" style="1" bestFit="1" customWidth="1"/>
    <col min="4613" max="4613" width="21" style="1" bestFit="1" customWidth="1"/>
    <col min="4614" max="4614" width="11.88671875" style="1" customWidth="1"/>
    <col min="4615" max="4615" width="11.5546875" style="1" customWidth="1"/>
    <col min="4616" max="4616" width="12" style="1" customWidth="1"/>
    <col min="4617" max="4617" width="11.5546875" style="1" customWidth="1"/>
    <col min="4618" max="4619" width="10.33203125" style="1" customWidth="1"/>
    <col min="4620" max="4634" width="8.88671875" style="1" customWidth="1"/>
    <col min="4635" max="4635" width="10.5546875" style="1" bestFit="1" customWidth="1"/>
    <col min="4636" max="4638" width="8.88671875" style="1" customWidth="1"/>
    <col min="4639" max="4640" width="9.109375" style="1"/>
    <col min="4641" max="4641" width="9.5546875" style="1" customWidth="1"/>
    <col min="4642" max="4642" width="10.33203125" style="1" customWidth="1"/>
    <col min="4643" max="4643" width="9.6640625" style="1" customWidth="1"/>
    <col min="4644" max="4644" width="10.33203125" style="1" customWidth="1"/>
    <col min="4645" max="4645" width="14.88671875" style="1" bestFit="1" customWidth="1"/>
    <col min="4646" max="4646" width="8.88671875" style="1" customWidth="1"/>
    <col min="4647" max="4865" width="9.109375" style="1"/>
    <col min="4866" max="4866" width="8.88671875" style="1" customWidth="1"/>
    <col min="4867" max="4867" width="21" style="1" bestFit="1" customWidth="1"/>
    <col min="4868" max="4868" width="3.88671875" style="1" bestFit="1" customWidth="1"/>
    <col min="4869" max="4869" width="21" style="1" bestFit="1" customWidth="1"/>
    <col min="4870" max="4870" width="11.88671875" style="1" customWidth="1"/>
    <col min="4871" max="4871" width="11.5546875" style="1" customWidth="1"/>
    <col min="4872" max="4872" width="12" style="1" customWidth="1"/>
    <col min="4873" max="4873" width="11.5546875" style="1" customWidth="1"/>
    <col min="4874" max="4875" width="10.33203125" style="1" customWidth="1"/>
    <col min="4876" max="4890" width="8.88671875" style="1" customWidth="1"/>
    <col min="4891" max="4891" width="10.5546875" style="1" bestFit="1" customWidth="1"/>
    <col min="4892" max="4894" width="8.88671875" style="1" customWidth="1"/>
    <col min="4895" max="4896" width="9.109375" style="1"/>
    <col min="4897" max="4897" width="9.5546875" style="1" customWidth="1"/>
    <col min="4898" max="4898" width="10.33203125" style="1" customWidth="1"/>
    <col min="4899" max="4899" width="9.6640625" style="1" customWidth="1"/>
    <col min="4900" max="4900" width="10.33203125" style="1" customWidth="1"/>
    <col min="4901" max="4901" width="14.88671875" style="1" bestFit="1" customWidth="1"/>
    <col min="4902" max="4902" width="8.88671875" style="1" customWidth="1"/>
    <col min="4903" max="5121" width="9.109375" style="1"/>
    <col min="5122" max="5122" width="8.88671875" style="1" customWidth="1"/>
    <col min="5123" max="5123" width="21" style="1" bestFit="1" customWidth="1"/>
    <col min="5124" max="5124" width="3.88671875" style="1" bestFit="1" customWidth="1"/>
    <col min="5125" max="5125" width="21" style="1" bestFit="1" customWidth="1"/>
    <col min="5126" max="5126" width="11.88671875" style="1" customWidth="1"/>
    <col min="5127" max="5127" width="11.5546875" style="1" customWidth="1"/>
    <col min="5128" max="5128" width="12" style="1" customWidth="1"/>
    <col min="5129" max="5129" width="11.5546875" style="1" customWidth="1"/>
    <col min="5130" max="5131" width="10.33203125" style="1" customWidth="1"/>
    <col min="5132" max="5146" width="8.88671875" style="1" customWidth="1"/>
    <col min="5147" max="5147" width="10.5546875" style="1" bestFit="1" customWidth="1"/>
    <col min="5148" max="5150" width="8.88671875" style="1" customWidth="1"/>
    <col min="5151" max="5152" width="9.109375" style="1"/>
    <col min="5153" max="5153" width="9.5546875" style="1" customWidth="1"/>
    <col min="5154" max="5154" width="10.33203125" style="1" customWidth="1"/>
    <col min="5155" max="5155" width="9.6640625" style="1" customWidth="1"/>
    <col min="5156" max="5156" width="10.33203125" style="1" customWidth="1"/>
    <col min="5157" max="5157" width="14.88671875" style="1" bestFit="1" customWidth="1"/>
    <col min="5158" max="5158" width="8.88671875" style="1" customWidth="1"/>
    <col min="5159" max="5377" width="9.109375" style="1"/>
    <col min="5378" max="5378" width="8.88671875" style="1" customWidth="1"/>
    <col min="5379" max="5379" width="21" style="1" bestFit="1" customWidth="1"/>
    <col min="5380" max="5380" width="3.88671875" style="1" bestFit="1" customWidth="1"/>
    <col min="5381" max="5381" width="21" style="1" bestFit="1" customWidth="1"/>
    <col min="5382" max="5382" width="11.88671875" style="1" customWidth="1"/>
    <col min="5383" max="5383" width="11.5546875" style="1" customWidth="1"/>
    <col min="5384" max="5384" width="12" style="1" customWidth="1"/>
    <col min="5385" max="5385" width="11.5546875" style="1" customWidth="1"/>
    <col min="5386" max="5387" width="10.33203125" style="1" customWidth="1"/>
    <col min="5388" max="5402" width="8.88671875" style="1" customWidth="1"/>
    <col min="5403" max="5403" width="10.5546875" style="1" bestFit="1" customWidth="1"/>
    <col min="5404" max="5406" width="8.88671875" style="1" customWidth="1"/>
    <col min="5407" max="5408" width="9.109375" style="1"/>
    <col min="5409" max="5409" width="9.5546875" style="1" customWidth="1"/>
    <col min="5410" max="5410" width="10.33203125" style="1" customWidth="1"/>
    <col min="5411" max="5411" width="9.6640625" style="1" customWidth="1"/>
    <col min="5412" max="5412" width="10.33203125" style="1" customWidth="1"/>
    <col min="5413" max="5413" width="14.88671875" style="1" bestFit="1" customWidth="1"/>
    <col min="5414" max="5414" width="8.88671875" style="1" customWidth="1"/>
    <col min="5415" max="5633" width="9.109375" style="1"/>
    <col min="5634" max="5634" width="8.88671875" style="1" customWidth="1"/>
    <col min="5635" max="5635" width="21" style="1" bestFit="1" customWidth="1"/>
    <col min="5636" max="5636" width="3.88671875" style="1" bestFit="1" customWidth="1"/>
    <col min="5637" max="5637" width="21" style="1" bestFit="1" customWidth="1"/>
    <col min="5638" max="5638" width="11.88671875" style="1" customWidth="1"/>
    <col min="5639" max="5639" width="11.5546875" style="1" customWidth="1"/>
    <col min="5640" max="5640" width="12" style="1" customWidth="1"/>
    <col min="5641" max="5641" width="11.5546875" style="1" customWidth="1"/>
    <col min="5642" max="5643" width="10.33203125" style="1" customWidth="1"/>
    <col min="5644" max="5658" width="8.88671875" style="1" customWidth="1"/>
    <col min="5659" max="5659" width="10.5546875" style="1" bestFit="1" customWidth="1"/>
    <col min="5660" max="5662" width="8.88671875" style="1" customWidth="1"/>
    <col min="5663" max="5664" width="9.109375" style="1"/>
    <col min="5665" max="5665" width="9.5546875" style="1" customWidth="1"/>
    <col min="5666" max="5666" width="10.33203125" style="1" customWidth="1"/>
    <col min="5667" max="5667" width="9.6640625" style="1" customWidth="1"/>
    <col min="5668" max="5668" width="10.33203125" style="1" customWidth="1"/>
    <col min="5669" max="5669" width="14.88671875" style="1" bestFit="1" customWidth="1"/>
    <col min="5670" max="5670" width="8.88671875" style="1" customWidth="1"/>
    <col min="5671" max="5889" width="9.109375" style="1"/>
    <col min="5890" max="5890" width="8.88671875" style="1" customWidth="1"/>
    <col min="5891" max="5891" width="21" style="1" bestFit="1" customWidth="1"/>
    <col min="5892" max="5892" width="3.88671875" style="1" bestFit="1" customWidth="1"/>
    <col min="5893" max="5893" width="21" style="1" bestFit="1" customWidth="1"/>
    <col min="5894" max="5894" width="11.88671875" style="1" customWidth="1"/>
    <col min="5895" max="5895" width="11.5546875" style="1" customWidth="1"/>
    <col min="5896" max="5896" width="12" style="1" customWidth="1"/>
    <col min="5897" max="5897" width="11.5546875" style="1" customWidth="1"/>
    <col min="5898" max="5899" width="10.33203125" style="1" customWidth="1"/>
    <col min="5900" max="5914" width="8.88671875" style="1" customWidth="1"/>
    <col min="5915" max="5915" width="10.5546875" style="1" bestFit="1" customWidth="1"/>
    <col min="5916" max="5918" width="8.88671875" style="1" customWidth="1"/>
    <col min="5919" max="5920" width="9.109375" style="1"/>
    <col min="5921" max="5921" width="9.5546875" style="1" customWidth="1"/>
    <col min="5922" max="5922" width="10.33203125" style="1" customWidth="1"/>
    <col min="5923" max="5923" width="9.6640625" style="1" customWidth="1"/>
    <col min="5924" max="5924" width="10.33203125" style="1" customWidth="1"/>
    <col min="5925" max="5925" width="14.88671875" style="1" bestFit="1" customWidth="1"/>
    <col min="5926" max="5926" width="8.88671875" style="1" customWidth="1"/>
    <col min="5927" max="6145" width="9.109375" style="1"/>
    <col min="6146" max="6146" width="8.88671875" style="1" customWidth="1"/>
    <col min="6147" max="6147" width="21" style="1" bestFit="1" customWidth="1"/>
    <col min="6148" max="6148" width="3.88671875" style="1" bestFit="1" customWidth="1"/>
    <col min="6149" max="6149" width="21" style="1" bestFit="1" customWidth="1"/>
    <col min="6150" max="6150" width="11.88671875" style="1" customWidth="1"/>
    <col min="6151" max="6151" width="11.5546875" style="1" customWidth="1"/>
    <col min="6152" max="6152" width="12" style="1" customWidth="1"/>
    <col min="6153" max="6153" width="11.5546875" style="1" customWidth="1"/>
    <col min="6154" max="6155" width="10.33203125" style="1" customWidth="1"/>
    <col min="6156" max="6170" width="8.88671875" style="1" customWidth="1"/>
    <col min="6171" max="6171" width="10.5546875" style="1" bestFit="1" customWidth="1"/>
    <col min="6172" max="6174" width="8.88671875" style="1" customWidth="1"/>
    <col min="6175" max="6176" width="9.109375" style="1"/>
    <col min="6177" max="6177" width="9.5546875" style="1" customWidth="1"/>
    <col min="6178" max="6178" width="10.33203125" style="1" customWidth="1"/>
    <col min="6179" max="6179" width="9.6640625" style="1" customWidth="1"/>
    <col min="6180" max="6180" width="10.33203125" style="1" customWidth="1"/>
    <col min="6181" max="6181" width="14.88671875" style="1" bestFit="1" customWidth="1"/>
    <col min="6182" max="6182" width="8.88671875" style="1" customWidth="1"/>
    <col min="6183" max="6401" width="9.109375" style="1"/>
    <col min="6402" max="6402" width="8.88671875" style="1" customWidth="1"/>
    <col min="6403" max="6403" width="21" style="1" bestFit="1" customWidth="1"/>
    <col min="6404" max="6404" width="3.88671875" style="1" bestFit="1" customWidth="1"/>
    <col min="6405" max="6405" width="21" style="1" bestFit="1" customWidth="1"/>
    <col min="6406" max="6406" width="11.88671875" style="1" customWidth="1"/>
    <col min="6407" max="6407" width="11.5546875" style="1" customWidth="1"/>
    <col min="6408" max="6408" width="12" style="1" customWidth="1"/>
    <col min="6409" max="6409" width="11.5546875" style="1" customWidth="1"/>
    <col min="6410" max="6411" width="10.33203125" style="1" customWidth="1"/>
    <col min="6412" max="6426" width="8.88671875" style="1" customWidth="1"/>
    <col min="6427" max="6427" width="10.5546875" style="1" bestFit="1" customWidth="1"/>
    <col min="6428" max="6430" width="8.88671875" style="1" customWidth="1"/>
    <col min="6431" max="6432" width="9.109375" style="1"/>
    <col min="6433" max="6433" width="9.5546875" style="1" customWidth="1"/>
    <col min="6434" max="6434" width="10.33203125" style="1" customWidth="1"/>
    <col min="6435" max="6435" width="9.6640625" style="1" customWidth="1"/>
    <col min="6436" max="6436" width="10.33203125" style="1" customWidth="1"/>
    <col min="6437" max="6437" width="14.88671875" style="1" bestFit="1" customWidth="1"/>
    <col min="6438" max="6438" width="8.88671875" style="1" customWidth="1"/>
    <col min="6439" max="6657" width="9.109375" style="1"/>
    <col min="6658" max="6658" width="8.88671875" style="1" customWidth="1"/>
    <col min="6659" max="6659" width="21" style="1" bestFit="1" customWidth="1"/>
    <col min="6660" max="6660" width="3.88671875" style="1" bestFit="1" customWidth="1"/>
    <col min="6661" max="6661" width="21" style="1" bestFit="1" customWidth="1"/>
    <col min="6662" max="6662" width="11.88671875" style="1" customWidth="1"/>
    <col min="6663" max="6663" width="11.5546875" style="1" customWidth="1"/>
    <col min="6664" max="6664" width="12" style="1" customWidth="1"/>
    <col min="6665" max="6665" width="11.5546875" style="1" customWidth="1"/>
    <col min="6666" max="6667" width="10.33203125" style="1" customWidth="1"/>
    <col min="6668" max="6682" width="8.88671875" style="1" customWidth="1"/>
    <col min="6683" max="6683" width="10.5546875" style="1" bestFit="1" customWidth="1"/>
    <col min="6684" max="6686" width="8.88671875" style="1" customWidth="1"/>
    <col min="6687" max="6688" width="9.109375" style="1"/>
    <col min="6689" max="6689" width="9.5546875" style="1" customWidth="1"/>
    <col min="6690" max="6690" width="10.33203125" style="1" customWidth="1"/>
    <col min="6691" max="6691" width="9.6640625" style="1" customWidth="1"/>
    <col min="6692" max="6692" width="10.33203125" style="1" customWidth="1"/>
    <col min="6693" max="6693" width="14.88671875" style="1" bestFit="1" customWidth="1"/>
    <col min="6694" max="6694" width="8.88671875" style="1" customWidth="1"/>
    <col min="6695" max="6913" width="9.109375" style="1"/>
    <col min="6914" max="6914" width="8.88671875" style="1" customWidth="1"/>
    <col min="6915" max="6915" width="21" style="1" bestFit="1" customWidth="1"/>
    <col min="6916" max="6916" width="3.88671875" style="1" bestFit="1" customWidth="1"/>
    <col min="6917" max="6917" width="21" style="1" bestFit="1" customWidth="1"/>
    <col min="6918" max="6918" width="11.88671875" style="1" customWidth="1"/>
    <col min="6919" max="6919" width="11.5546875" style="1" customWidth="1"/>
    <col min="6920" max="6920" width="12" style="1" customWidth="1"/>
    <col min="6921" max="6921" width="11.5546875" style="1" customWidth="1"/>
    <col min="6922" max="6923" width="10.33203125" style="1" customWidth="1"/>
    <col min="6924" max="6938" width="8.88671875" style="1" customWidth="1"/>
    <col min="6939" max="6939" width="10.5546875" style="1" bestFit="1" customWidth="1"/>
    <col min="6940" max="6942" width="8.88671875" style="1" customWidth="1"/>
    <col min="6943" max="6944" width="9.109375" style="1"/>
    <col min="6945" max="6945" width="9.5546875" style="1" customWidth="1"/>
    <col min="6946" max="6946" width="10.33203125" style="1" customWidth="1"/>
    <col min="6947" max="6947" width="9.6640625" style="1" customWidth="1"/>
    <col min="6948" max="6948" width="10.33203125" style="1" customWidth="1"/>
    <col min="6949" max="6949" width="14.88671875" style="1" bestFit="1" customWidth="1"/>
    <col min="6950" max="6950" width="8.88671875" style="1" customWidth="1"/>
    <col min="6951" max="7169" width="9.109375" style="1"/>
    <col min="7170" max="7170" width="8.88671875" style="1" customWidth="1"/>
    <col min="7171" max="7171" width="21" style="1" bestFit="1" customWidth="1"/>
    <col min="7172" max="7172" width="3.88671875" style="1" bestFit="1" customWidth="1"/>
    <col min="7173" max="7173" width="21" style="1" bestFit="1" customWidth="1"/>
    <col min="7174" max="7174" width="11.88671875" style="1" customWidth="1"/>
    <col min="7175" max="7175" width="11.5546875" style="1" customWidth="1"/>
    <col min="7176" max="7176" width="12" style="1" customWidth="1"/>
    <col min="7177" max="7177" width="11.5546875" style="1" customWidth="1"/>
    <col min="7178" max="7179" width="10.33203125" style="1" customWidth="1"/>
    <col min="7180" max="7194" width="8.88671875" style="1" customWidth="1"/>
    <col min="7195" max="7195" width="10.5546875" style="1" bestFit="1" customWidth="1"/>
    <col min="7196" max="7198" width="8.88671875" style="1" customWidth="1"/>
    <col min="7199" max="7200" width="9.109375" style="1"/>
    <col min="7201" max="7201" width="9.5546875" style="1" customWidth="1"/>
    <col min="7202" max="7202" width="10.33203125" style="1" customWidth="1"/>
    <col min="7203" max="7203" width="9.6640625" style="1" customWidth="1"/>
    <col min="7204" max="7204" width="10.33203125" style="1" customWidth="1"/>
    <col min="7205" max="7205" width="14.88671875" style="1" bestFit="1" customWidth="1"/>
    <col min="7206" max="7206" width="8.88671875" style="1" customWidth="1"/>
    <col min="7207" max="7425" width="9.109375" style="1"/>
    <col min="7426" max="7426" width="8.88671875" style="1" customWidth="1"/>
    <col min="7427" max="7427" width="21" style="1" bestFit="1" customWidth="1"/>
    <col min="7428" max="7428" width="3.88671875" style="1" bestFit="1" customWidth="1"/>
    <col min="7429" max="7429" width="21" style="1" bestFit="1" customWidth="1"/>
    <col min="7430" max="7430" width="11.88671875" style="1" customWidth="1"/>
    <col min="7431" max="7431" width="11.5546875" style="1" customWidth="1"/>
    <col min="7432" max="7432" width="12" style="1" customWidth="1"/>
    <col min="7433" max="7433" width="11.5546875" style="1" customWidth="1"/>
    <col min="7434" max="7435" width="10.33203125" style="1" customWidth="1"/>
    <col min="7436" max="7450" width="8.88671875" style="1" customWidth="1"/>
    <col min="7451" max="7451" width="10.5546875" style="1" bestFit="1" customWidth="1"/>
    <col min="7452" max="7454" width="8.88671875" style="1" customWidth="1"/>
    <col min="7455" max="7456" width="9.109375" style="1"/>
    <col min="7457" max="7457" width="9.5546875" style="1" customWidth="1"/>
    <col min="7458" max="7458" width="10.33203125" style="1" customWidth="1"/>
    <col min="7459" max="7459" width="9.6640625" style="1" customWidth="1"/>
    <col min="7460" max="7460" width="10.33203125" style="1" customWidth="1"/>
    <col min="7461" max="7461" width="14.88671875" style="1" bestFit="1" customWidth="1"/>
    <col min="7462" max="7462" width="8.88671875" style="1" customWidth="1"/>
    <col min="7463" max="7681" width="9.109375" style="1"/>
    <col min="7682" max="7682" width="8.88671875" style="1" customWidth="1"/>
    <col min="7683" max="7683" width="21" style="1" bestFit="1" customWidth="1"/>
    <col min="7684" max="7684" width="3.88671875" style="1" bestFit="1" customWidth="1"/>
    <col min="7685" max="7685" width="21" style="1" bestFit="1" customWidth="1"/>
    <col min="7686" max="7686" width="11.88671875" style="1" customWidth="1"/>
    <col min="7687" max="7687" width="11.5546875" style="1" customWidth="1"/>
    <col min="7688" max="7688" width="12" style="1" customWidth="1"/>
    <col min="7689" max="7689" width="11.5546875" style="1" customWidth="1"/>
    <col min="7690" max="7691" width="10.33203125" style="1" customWidth="1"/>
    <col min="7692" max="7706" width="8.88671875" style="1" customWidth="1"/>
    <col min="7707" max="7707" width="10.5546875" style="1" bestFit="1" customWidth="1"/>
    <col min="7708" max="7710" width="8.88671875" style="1" customWidth="1"/>
    <col min="7711" max="7712" width="9.109375" style="1"/>
    <col min="7713" max="7713" width="9.5546875" style="1" customWidth="1"/>
    <col min="7714" max="7714" width="10.33203125" style="1" customWidth="1"/>
    <col min="7715" max="7715" width="9.6640625" style="1" customWidth="1"/>
    <col min="7716" max="7716" width="10.33203125" style="1" customWidth="1"/>
    <col min="7717" max="7717" width="14.88671875" style="1" bestFit="1" customWidth="1"/>
    <col min="7718" max="7718" width="8.88671875" style="1" customWidth="1"/>
    <col min="7719" max="7937" width="9.109375" style="1"/>
    <col min="7938" max="7938" width="8.88671875" style="1" customWidth="1"/>
    <col min="7939" max="7939" width="21" style="1" bestFit="1" customWidth="1"/>
    <col min="7940" max="7940" width="3.88671875" style="1" bestFit="1" customWidth="1"/>
    <col min="7941" max="7941" width="21" style="1" bestFit="1" customWidth="1"/>
    <col min="7942" max="7942" width="11.88671875" style="1" customWidth="1"/>
    <col min="7943" max="7943" width="11.5546875" style="1" customWidth="1"/>
    <col min="7944" max="7944" width="12" style="1" customWidth="1"/>
    <col min="7945" max="7945" width="11.5546875" style="1" customWidth="1"/>
    <col min="7946" max="7947" width="10.33203125" style="1" customWidth="1"/>
    <col min="7948" max="7962" width="8.88671875" style="1" customWidth="1"/>
    <col min="7963" max="7963" width="10.5546875" style="1" bestFit="1" customWidth="1"/>
    <col min="7964" max="7966" width="8.88671875" style="1" customWidth="1"/>
    <col min="7967" max="7968" width="9.109375" style="1"/>
    <col min="7969" max="7969" width="9.5546875" style="1" customWidth="1"/>
    <col min="7970" max="7970" width="10.33203125" style="1" customWidth="1"/>
    <col min="7971" max="7971" width="9.6640625" style="1" customWidth="1"/>
    <col min="7972" max="7972" width="10.33203125" style="1" customWidth="1"/>
    <col min="7973" max="7973" width="14.88671875" style="1" bestFit="1" customWidth="1"/>
    <col min="7974" max="7974" width="8.88671875" style="1" customWidth="1"/>
    <col min="7975" max="8193" width="9.109375" style="1"/>
    <col min="8194" max="8194" width="8.88671875" style="1" customWidth="1"/>
    <col min="8195" max="8195" width="21" style="1" bestFit="1" customWidth="1"/>
    <col min="8196" max="8196" width="3.88671875" style="1" bestFit="1" customWidth="1"/>
    <col min="8197" max="8197" width="21" style="1" bestFit="1" customWidth="1"/>
    <col min="8198" max="8198" width="11.88671875" style="1" customWidth="1"/>
    <col min="8199" max="8199" width="11.5546875" style="1" customWidth="1"/>
    <col min="8200" max="8200" width="12" style="1" customWidth="1"/>
    <col min="8201" max="8201" width="11.5546875" style="1" customWidth="1"/>
    <col min="8202" max="8203" width="10.33203125" style="1" customWidth="1"/>
    <col min="8204" max="8218" width="8.88671875" style="1" customWidth="1"/>
    <col min="8219" max="8219" width="10.5546875" style="1" bestFit="1" customWidth="1"/>
    <col min="8220" max="8222" width="8.88671875" style="1" customWidth="1"/>
    <col min="8223" max="8224" width="9.109375" style="1"/>
    <col min="8225" max="8225" width="9.5546875" style="1" customWidth="1"/>
    <col min="8226" max="8226" width="10.33203125" style="1" customWidth="1"/>
    <col min="8227" max="8227" width="9.6640625" style="1" customWidth="1"/>
    <col min="8228" max="8228" width="10.33203125" style="1" customWidth="1"/>
    <col min="8229" max="8229" width="14.88671875" style="1" bestFit="1" customWidth="1"/>
    <col min="8230" max="8230" width="8.88671875" style="1" customWidth="1"/>
    <col min="8231" max="8449" width="9.109375" style="1"/>
    <col min="8450" max="8450" width="8.88671875" style="1" customWidth="1"/>
    <col min="8451" max="8451" width="21" style="1" bestFit="1" customWidth="1"/>
    <col min="8452" max="8452" width="3.88671875" style="1" bestFit="1" customWidth="1"/>
    <col min="8453" max="8453" width="21" style="1" bestFit="1" customWidth="1"/>
    <col min="8454" max="8454" width="11.88671875" style="1" customWidth="1"/>
    <col min="8455" max="8455" width="11.5546875" style="1" customWidth="1"/>
    <col min="8456" max="8456" width="12" style="1" customWidth="1"/>
    <col min="8457" max="8457" width="11.5546875" style="1" customWidth="1"/>
    <col min="8458" max="8459" width="10.33203125" style="1" customWidth="1"/>
    <col min="8460" max="8474" width="8.88671875" style="1" customWidth="1"/>
    <col min="8475" max="8475" width="10.5546875" style="1" bestFit="1" customWidth="1"/>
    <col min="8476" max="8478" width="8.88671875" style="1" customWidth="1"/>
    <col min="8479" max="8480" width="9.109375" style="1"/>
    <col min="8481" max="8481" width="9.5546875" style="1" customWidth="1"/>
    <col min="8482" max="8482" width="10.33203125" style="1" customWidth="1"/>
    <col min="8483" max="8483" width="9.6640625" style="1" customWidth="1"/>
    <col min="8484" max="8484" width="10.33203125" style="1" customWidth="1"/>
    <col min="8485" max="8485" width="14.88671875" style="1" bestFit="1" customWidth="1"/>
    <col min="8486" max="8486" width="8.88671875" style="1" customWidth="1"/>
    <col min="8487" max="8705" width="9.109375" style="1"/>
    <col min="8706" max="8706" width="8.88671875" style="1" customWidth="1"/>
    <col min="8707" max="8707" width="21" style="1" bestFit="1" customWidth="1"/>
    <col min="8708" max="8708" width="3.88671875" style="1" bestFit="1" customWidth="1"/>
    <col min="8709" max="8709" width="21" style="1" bestFit="1" customWidth="1"/>
    <col min="8710" max="8710" width="11.88671875" style="1" customWidth="1"/>
    <col min="8711" max="8711" width="11.5546875" style="1" customWidth="1"/>
    <col min="8712" max="8712" width="12" style="1" customWidth="1"/>
    <col min="8713" max="8713" width="11.5546875" style="1" customWidth="1"/>
    <col min="8714" max="8715" width="10.33203125" style="1" customWidth="1"/>
    <col min="8716" max="8730" width="8.88671875" style="1" customWidth="1"/>
    <col min="8731" max="8731" width="10.5546875" style="1" bestFit="1" customWidth="1"/>
    <col min="8732" max="8734" width="8.88671875" style="1" customWidth="1"/>
    <col min="8735" max="8736" width="9.109375" style="1"/>
    <col min="8737" max="8737" width="9.5546875" style="1" customWidth="1"/>
    <col min="8738" max="8738" width="10.33203125" style="1" customWidth="1"/>
    <col min="8739" max="8739" width="9.6640625" style="1" customWidth="1"/>
    <col min="8740" max="8740" width="10.33203125" style="1" customWidth="1"/>
    <col min="8741" max="8741" width="14.88671875" style="1" bestFit="1" customWidth="1"/>
    <col min="8742" max="8742" width="8.88671875" style="1" customWidth="1"/>
    <col min="8743" max="8961" width="9.109375" style="1"/>
    <col min="8962" max="8962" width="8.88671875" style="1" customWidth="1"/>
    <col min="8963" max="8963" width="21" style="1" bestFit="1" customWidth="1"/>
    <col min="8964" max="8964" width="3.88671875" style="1" bestFit="1" customWidth="1"/>
    <col min="8965" max="8965" width="21" style="1" bestFit="1" customWidth="1"/>
    <col min="8966" max="8966" width="11.88671875" style="1" customWidth="1"/>
    <col min="8967" max="8967" width="11.5546875" style="1" customWidth="1"/>
    <col min="8968" max="8968" width="12" style="1" customWidth="1"/>
    <col min="8969" max="8969" width="11.5546875" style="1" customWidth="1"/>
    <col min="8970" max="8971" width="10.33203125" style="1" customWidth="1"/>
    <col min="8972" max="8986" width="8.88671875" style="1" customWidth="1"/>
    <col min="8987" max="8987" width="10.5546875" style="1" bestFit="1" customWidth="1"/>
    <col min="8988" max="8990" width="8.88671875" style="1" customWidth="1"/>
    <col min="8991" max="8992" width="9.109375" style="1"/>
    <col min="8993" max="8993" width="9.5546875" style="1" customWidth="1"/>
    <col min="8994" max="8994" width="10.33203125" style="1" customWidth="1"/>
    <col min="8995" max="8995" width="9.6640625" style="1" customWidth="1"/>
    <col min="8996" max="8996" width="10.33203125" style="1" customWidth="1"/>
    <col min="8997" max="8997" width="14.88671875" style="1" bestFit="1" customWidth="1"/>
    <col min="8998" max="8998" width="8.88671875" style="1" customWidth="1"/>
    <col min="8999" max="9217" width="9.109375" style="1"/>
    <col min="9218" max="9218" width="8.88671875" style="1" customWidth="1"/>
    <col min="9219" max="9219" width="21" style="1" bestFit="1" customWidth="1"/>
    <col min="9220" max="9220" width="3.88671875" style="1" bestFit="1" customWidth="1"/>
    <col min="9221" max="9221" width="21" style="1" bestFit="1" customWidth="1"/>
    <col min="9222" max="9222" width="11.88671875" style="1" customWidth="1"/>
    <col min="9223" max="9223" width="11.5546875" style="1" customWidth="1"/>
    <col min="9224" max="9224" width="12" style="1" customWidth="1"/>
    <col min="9225" max="9225" width="11.5546875" style="1" customWidth="1"/>
    <col min="9226" max="9227" width="10.33203125" style="1" customWidth="1"/>
    <col min="9228" max="9242" width="8.88671875" style="1" customWidth="1"/>
    <col min="9243" max="9243" width="10.5546875" style="1" bestFit="1" customWidth="1"/>
    <col min="9244" max="9246" width="8.88671875" style="1" customWidth="1"/>
    <col min="9247" max="9248" width="9.109375" style="1"/>
    <col min="9249" max="9249" width="9.5546875" style="1" customWidth="1"/>
    <col min="9250" max="9250" width="10.33203125" style="1" customWidth="1"/>
    <col min="9251" max="9251" width="9.6640625" style="1" customWidth="1"/>
    <col min="9252" max="9252" width="10.33203125" style="1" customWidth="1"/>
    <col min="9253" max="9253" width="14.88671875" style="1" bestFit="1" customWidth="1"/>
    <col min="9254" max="9254" width="8.88671875" style="1" customWidth="1"/>
    <col min="9255" max="9473" width="9.109375" style="1"/>
    <col min="9474" max="9474" width="8.88671875" style="1" customWidth="1"/>
    <col min="9475" max="9475" width="21" style="1" bestFit="1" customWidth="1"/>
    <col min="9476" max="9476" width="3.88671875" style="1" bestFit="1" customWidth="1"/>
    <col min="9477" max="9477" width="21" style="1" bestFit="1" customWidth="1"/>
    <col min="9478" max="9478" width="11.88671875" style="1" customWidth="1"/>
    <col min="9479" max="9479" width="11.5546875" style="1" customWidth="1"/>
    <col min="9480" max="9480" width="12" style="1" customWidth="1"/>
    <col min="9481" max="9481" width="11.5546875" style="1" customWidth="1"/>
    <col min="9482" max="9483" width="10.33203125" style="1" customWidth="1"/>
    <col min="9484" max="9498" width="8.88671875" style="1" customWidth="1"/>
    <col min="9499" max="9499" width="10.5546875" style="1" bestFit="1" customWidth="1"/>
    <col min="9500" max="9502" width="8.88671875" style="1" customWidth="1"/>
    <col min="9503" max="9504" width="9.109375" style="1"/>
    <col min="9505" max="9505" width="9.5546875" style="1" customWidth="1"/>
    <col min="9506" max="9506" width="10.33203125" style="1" customWidth="1"/>
    <col min="9507" max="9507" width="9.6640625" style="1" customWidth="1"/>
    <col min="9508" max="9508" width="10.33203125" style="1" customWidth="1"/>
    <col min="9509" max="9509" width="14.88671875" style="1" bestFit="1" customWidth="1"/>
    <col min="9510" max="9510" width="8.88671875" style="1" customWidth="1"/>
    <col min="9511" max="9729" width="9.109375" style="1"/>
    <col min="9730" max="9730" width="8.88671875" style="1" customWidth="1"/>
    <col min="9731" max="9731" width="21" style="1" bestFit="1" customWidth="1"/>
    <col min="9732" max="9732" width="3.88671875" style="1" bestFit="1" customWidth="1"/>
    <col min="9733" max="9733" width="21" style="1" bestFit="1" customWidth="1"/>
    <col min="9734" max="9734" width="11.88671875" style="1" customWidth="1"/>
    <col min="9735" max="9735" width="11.5546875" style="1" customWidth="1"/>
    <col min="9736" max="9736" width="12" style="1" customWidth="1"/>
    <col min="9737" max="9737" width="11.5546875" style="1" customWidth="1"/>
    <col min="9738" max="9739" width="10.33203125" style="1" customWidth="1"/>
    <col min="9740" max="9754" width="8.88671875" style="1" customWidth="1"/>
    <col min="9755" max="9755" width="10.5546875" style="1" bestFit="1" customWidth="1"/>
    <col min="9756" max="9758" width="8.88671875" style="1" customWidth="1"/>
    <col min="9759" max="9760" width="9.109375" style="1"/>
    <col min="9761" max="9761" width="9.5546875" style="1" customWidth="1"/>
    <col min="9762" max="9762" width="10.33203125" style="1" customWidth="1"/>
    <col min="9763" max="9763" width="9.6640625" style="1" customWidth="1"/>
    <col min="9764" max="9764" width="10.33203125" style="1" customWidth="1"/>
    <col min="9765" max="9765" width="14.88671875" style="1" bestFit="1" customWidth="1"/>
    <col min="9766" max="9766" width="8.88671875" style="1" customWidth="1"/>
    <col min="9767" max="9985" width="9.109375" style="1"/>
    <col min="9986" max="9986" width="8.88671875" style="1" customWidth="1"/>
    <col min="9987" max="9987" width="21" style="1" bestFit="1" customWidth="1"/>
    <col min="9988" max="9988" width="3.88671875" style="1" bestFit="1" customWidth="1"/>
    <col min="9989" max="9989" width="21" style="1" bestFit="1" customWidth="1"/>
    <col min="9990" max="9990" width="11.88671875" style="1" customWidth="1"/>
    <col min="9991" max="9991" width="11.5546875" style="1" customWidth="1"/>
    <col min="9992" max="9992" width="12" style="1" customWidth="1"/>
    <col min="9993" max="9993" width="11.5546875" style="1" customWidth="1"/>
    <col min="9994" max="9995" width="10.33203125" style="1" customWidth="1"/>
    <col min="9996" max="10010" width="8.88671875" style="1" customWidth="1"/>
    <col min="10011" max="10011" width="10.5546875" style="1" bestFit="1" customWidth="1"/>
    <col min="10012" max="10014" width="8.88671875" style="1" customWidth="1"/>
    <col min="10015" max="10016" width="9.109375" style="1"/>
    <col min="10017" max="10017" width="9.5546875" style="1" customWidth="1"/>
    <col min="10018" max="10018" width="10.33203125" style="1" customWidth="1"/>
    <col min="10019" max="10019" width="9.6640625" style="1" customWidth="1"/>
    <col min="10020" max="10020" width="10.33203125" style="1" customWidth="1"/>
    <col min="10021" max="10021" width="14.88671875" style="1" bestFit="1" customWidth="1"/>
    <col min="10022" max="10022" width="8.88671875" style="1" customWidth="1"/>
    <col min="10023" max="10241" width="9.109375" style="1"/>
    <col min="10242" max="10242" width="8.88671875" style="1" customWidth="1"/>
    <col min="10243" max="10243" width="21" style="1" bestFit="1" customWidth="1"/>
    <col min="10244" max="10244" width="3.88671875" style="1" bestFit="1" customWidth="1"/>
    <col min="10245" max="10245" width="21" style="1" bestFit="1" customWidth="1"/>
    <col min="10246" max="10246" width="11.88671875" style="1" customWidth="1"/>
    <col min="10247" max="10247" width="11.5546875" style="1" customWidth="1"/>
    <col min="10248" max="10248" width="12" style="1" customWidth="1"/>
    <col min="10249" max="10249" width="11.5546875" style="1" customWidth="1"/>
    <col min="10250" max="10251" width="10.33203125" style="1" customWidth="1"/>
    <col min="10252" max="10266" width="8.88671875" style="1" customWidth="1"/>
    <col min="10267" max="10267" width="10.5546875" style="1" bestFit="1" customWidth="1"/>
    <col min="10268" max="10270" width="8.88671875" style="1" customWidth="1"/>
    <col min="10271" max="10272" width="9.109375" style="1"/>
    <col min="10273" max="10273" width="9.5546875" style="1" customWidth="1"/>
    <col min="10274" max="10274" width="10.33203125" style="1" customWidth="1"/>
    <col min="10275" max="10275" width="9.6640625" style="1" customWidth="1"/>
    <col min="10276" max="10276" width="10.33203125" style="1" customWidth="1"/>
    <col min="10277" max="10277" width="14.88671875" style="1" bestFit="1" customWidth="1"/>
    <col min="10278" max="10278" width="8.88671875" style="1" customWidth="1"/>
    <col min="10279" max="10497" width="9.109375" style="1"/>
    <col min="10498" max="10498" width="8.88671875" style="1" customWidth="1"/>
    <col min="10499" max="10499" width="21" style="1" bestFit="1" customWidth="1"/>
    <col min="10500" max="10500" width="3.88671875" style="1" bestFit="1" customWidth="1"/>
    <col min="10501" max="10501" width="21" style="1" bestFit="1" customWidth="1"/>
    <col min="10502" max="10502" width="11.88671875" style="1" customWidth="1"/>
    <col min="10503" max="10503" width="11.5546875" style="1" customWidth="1"/>
    <col min="10504" max="10504" width="12" style="1" customWidth="1"/>
    <col min="10505" max="10505" width="11.5546875" style="1" customWidth="1"/>
    <col min="10506" max="10507" width="10.33203125" style="1" customWidth="1"/>
    <col min="10508" max="10522" width="8.88671875" style="1" customWidth="1"/>
    <col min="10523" max="10523" width="10.5546875" style="1" bestFit="1" customWidth="1"/>
    <col min="10524" max="10526" width="8.88671875" style="1" customWidth="1"/>
    <col min="10527" max="10528" width="9.109375" style="1"/>
    <col min="10529" max="10529" width="9.5546875" style="1" customWidth="1"/>
    <col min="10530" max="10530" width="10.33203125" style="1" customWidth="1"/>
    <col min="10531" max="10531" width="9.6640625" style="1" customWidth="1"/>
    <col min="10532" max="10532" width="10.33203125" style="1" customWidth="1"/>
    <col min="10533" max="10533" width="14.88671875" style="1" bestFit="1" customWidth="1"/>
    <col min="10534" max="10534" width="8.88671875" style="1" customWidth="1"/>
    <col min="10535" max="10753" width="9.109375" style="1"/>
    <col min="10754" max="10754" width="8.88671875" style="1" customWidth="1"/>
    <col min="10755" max="10755" width="21" style="1" bestFit="1" customWidth="1"/>
    <col min="10756" max="10756" width="3.88671875" style="1" bestFit="1" customWidth="1"/>
    <col min="10757" max="10757" width="21" style="1" bestFit="1" customWidth="1"/>
    <col min="10758" max="10758" width="11.88671875" style="1" customWidth="1"/>
    <col min="10759" max="10759" width="11.5546875" style="1" customWidth="1"/>
    <col min="10760" max="10760" width="12" style="1" customWidth="1"/>
    <col min="10761" max="10761" width="11.5546875" style="1" customWidth="1"/>
    <col min="10762" max="10763" width="10.33203125" style="1" customWidth="1"/>
    <col min="10764" max="10778" width="8.88671875" style="1" customWidth="1"/>
    <col min="10779" max="10779" width="10.5546875" style="1" bestFit="1" customWidth="1"/>
    <col min="10780" max="10782" width="8.88671875" style="1" customWidth="1"/>
    <col min="10783" max="10784" width="9.109375" style="1"/>
    <col min="10785" max="10785" width="9.5546875" style="1" customWidth="1"/>
    <col min="10786" max="10786" width="10.33203125" style="1" customWidth="1"/>
    <col min="10787" max="10787" width="9.6640625" style="1" customWidth="1"/>
    <col min="10788" max="10788" width="10.33203125" style="1" customWidth="1"/>
    <col min="10789" max="10789" width="14.88671875" style="1" bestFit="1" customWidth="1"/>
    <col min="10790" max="10790" width="8.88671875" style="1" customWidth="1"/>
    <col min="10791" max="11009" width="9.109375" style="1"/>
    <col min="11010" max="11010" width="8.88671875" style="1" customWidth="1"/>
    <col min="11011" max="11011" width="21" style="1" bestFit="1" customWidth="1"/>
    <col min="11012" max="11012" width="3.88671875" style="1" bestFit="1" customWidth="1"/>
    <col min="11013" max="11013" width="21" style="1" bestFit="1" customWidth="1"/>
    <col min="11014" max="11014" width="11.88671875" style="1" customWidth="1"/>
    <col min="11015" max="11015" width="11.5546875" style="1" customWidth="1"/>
    <col min="11016" max="11016" width="12" style="1" customWidth="1"/>
    <col min="11017" max="11017" width="11.5546875" style="1" customWidth="1"/>
    <col min="11018" max="11019" width="10.33203125" style="1" customWidth="1"/>
    <col min="11020" max="11034" width="8.88671875" style="1" customWidth="1"/>
    <col min="11035" max="11035" width="10.5546875" style="1" bestFit="1" customWidth="1"/>
    <col min="11036" max="11038" width="8.88671875" style="1" customWidth="1"/>
    <col min="11039" max="11040" width="9.109375" style="1"/>
    <col min="11041" max="11041" width="9.5546875" style="1" customWidth="1"/>
    <col min="11042" max="11042" width="10.33203125" style="1" customWidth="1"/>
    <col min="11043" max="11043" width="9.6640625" style="1" customWidth="1"/>
    <col min="11044" max="11044" width="10.33203125" style="1" customWidth="1"/>
    <col min="11045" max="11045" width="14.88671875" style="1" bestFit="1" customWidth="1"/>
    <col min="11046" max="11046" width="8.88671875" style="1" customWidth="1"/>
    <col min="11047" max="11265" width="9.109375" style="1"/>
    <col min="11266" max="11266" width="8.88671875" style="1" customWidth="1"/>
    <col min="11267" max="11267" width="21" style="1" bestFit="1" customWidth="1"/>
    <col min="11268" max="11268" width="3.88671875" style="1" bestFit="1" customWidth="1"/>
    <col min="11269" max="11269" width="21" style="1" bestFit="1" customWidth="1"/>
    <col min="11270" max="11270" width="11.88671875" style="1" customWidth="1"/>
    <col min="11271" max="11271" width="11.5546875" style="1" customWidth="1"/>
    <col min="11272" max="11272" width="12" style="1" customWidth="1"/>
    <col min="11273" max="11273" width="11.5546875" style="1" customWidth="1"/>
    <col min="11274" max="11275" width="10.33203125" style="1" customWidth="1"/>
    <col min="11276" max="11290" width="8.88671875" style="1" customWidth="1"/>
    <col min="11291" max="11291" width="10.5546875" style="1" bestFit="1" customWidth="1"/>
    <col min="11292" max="11294" width="8.88671875" style="1" customWidth="1"/>
    <col min="11295" max="11296" width="9.109375" style="1"/>
    <col min="11297" max="11297" width="9.5546875" style="1" customWidth="1"/>
    <col min="11298" max="11298" width="10.33203125" style="1" customWidth="1"/>
    <col min="11299" max="11299" width="9.6640625" style="1" customWidth="1"/>
    <col min="11300" max="11300" width="10.33203125" style="1" customWidth="1"/>
    <col min="11301" max="11301" width="14.88671875" style="1" bestFit="1" customWidth="1"/>
    <col min="11302" max="11302" width="8.88671875" style="1" customWidth="1"/>
    <col min="11303" max="11521" width="9.109375" style="1"/>
    <col min="11522" max="11522" width="8.88671875" style="1" customWidth="1"/>
    <col min="11523" max="11523" width="21" style="1" bestFit="1" customWidth="1"/>
    <col min="11524" max="11524" width="3.88671875" style="1" bestFit="1" customWidth="1"/>
    <col min="11525" max="11525" width="21" style="1" bestFit="1" customWidth="1"/>
    <col min="11526" max="11526" width="11.88671875" style="1" customWidth="1"/>
    <col min="11527" max="11527" width="11.5546875" style="1" customWidth="1"/>
    <col min="11528" max="11528" width="12" style="1" customWidth="1"/>
    <col min="11529" max="11529" width="11.5546875" style="1" customWidth="1"/>
    <col min="11530" max="11531" width="10.33203125" style="1" customWidth="1"/>
    <col min="11532" max="11546" width="8.88671875" style="1" customWidth="1"/>
    <col min="11547" max="11547" width="10.5546875" style="1" bestFit="1" customWidth="1"/>
    <col min="11548" max="11550" width="8.88671875" style="1" customWidth="1"/>
    <col min="11551" max="11552" width="9.109375" style="1"/>
    <col min="11553" max="11553" width="9.5546875" style="1" customWidth="1"/>
    <col min="11554" max="11554" width="10.33203125" style="1" customWidth="1"/>
    <col min="11555" max="11555" width="9.6640625" style="1" customWidth="1"/>
    <col min="11556" max="11556" width="10.33203125" style="1" customWidth="1"/>
    <col min="11557" max="11557" width="14.88671875" style="1" bestFit="1" customWidth="1"/>
    <col min="11558" max="11558" width="8.88671875" style="1" customWidth="1"/>
    <col min="11559" max="11777" width="9.109375" style="1"/>
    <col min="11778" max="11778" width="8.88671875" style="1" customWidth="1"/>
    <col min="11779" max="11779" width="21" style="1" bestFit="1" customWidth="1"/>
    <col min="11780" max="11780" width="3.88671875" style="1" bestFit="1" customWidth="1"/>
    <col min="11781" max="11781" width="21" style="1" bestFit="1" customWidth="1"/>
    <col min="11782" max="11782" width="11.88671875" style="1" customWidth="1"/>
    <col min="11783" max="11783" width="11.5546875" style="1" customWidth="1"/>
    <col min="11784" max="11784" width="12" style="1" customWidth="1"/>
    <col min="11785" max="11785" width="11.5546875" style="1" customWidth="1"/>
    <col min="11786" max="11787" width="10.33203125" style="1" customWidth="1"/>
    <col min="11788" max="11802" width="8.88671875" style="1" customWidth="1"/>
    <col min="11803" max="11803" width="10.5546875" style="1" bestFit="1" customWidth="1"/>
    <col min="11804" max="11806" width="8.88671875" style="1" customWidth="1"/>
    <col min="11807" max="11808" width="9.109375" style="1"/>
    <col min="11809" max="11809" width="9.5546875" style="1" customWidth="1"/>
    <col min="11810" max="11810" width="10.33203125" style="1" customWidth="1"/>
    <col min="11811" max="11811" width="9.6640625" style="1" customWidth="1"/>
    <col min="11812" max="11812" width="10.33203125" style="1" customWidth="1"/>
    <col min="11813" max="11813" width="14.88671875" style="1" bestFit="1" customWidth="1"/>
    <col min="11814" max="11814" width="8.88671875" style="1" customWidth="1"/>
    <col min="11815" max="12033" width="9.109375" style="1"/>
    <col min="12034" max="12034" width="8.88671875" style="1" customWidth="1"/>
    <col min="12035" max="12035" width="21" style="1" bestFit="1" customWidth="1"/>
    <col min="12036" max="12036" width="3.88671875" style="1" bestFit="1" customWidth="1"/>
    <col min="12037" max="12037" width="21" style="1" bestFit="1" customWidth="1"/>
    <col min="12038" max="12038" width="11.88671875" style="1" customWidth="1"/>
    <col min="12039" max="12039" width="11.5546875" style="1" customWidth="1"/>
    <col min="12040" max="12040" width="12" style="1" customWidth="1"/>
    <col min="12041" max="12041" width="11.5546875" style="1" customWidth="1"/>
    <col min="12042" max="12043" width="10.33203125" style="1" customWidth="1"/>
    <col min="12044" max="12058" width="8.88671875" style="1" customWidth="1"/>
    <col min="12059" max="12059" width="10.5546875" style="1" bestFit="1" customWidth="1"/>
    <col min="12060" max="12062" width="8.88671875" style="1" customWidth="1"/>
    <col min="12063" max="12064" width="9.109375" style="1"/>
    <col min="12065" max="12065" width="9.5546875" style="1" customWidth="1"/>
    <col min="12066" max="12066" width="10.33203125" style="1" customWidth="1"/>
    <col min="12067" max="12067" width="9.6640625" style="1" customWidth="1"/>
    <col min="12068" max="12068" width="10.33203125" style="1" customWidth="1"/>
    <col min="12069" max="12069" width="14.88671875" style="1" bestFit="1" customWidth="1"/>
    <col min="12070" max="12070" width="8.88671875" style="1" customWidth="1"/>
    <col min="12071" max="12289" width="9.109375" style="1"/>
    <col min="12290" max="12290" width="8.88671875" style="1" customWidth="1"/>
    <col min="12291" max="12291" width="21" style="1" bestFit="1" customWidth="1"/>
    <col min="12292" max="12292" width="3.88671875" style="1" bestFit="1" customWidth="1"/>
    <col min="12293" max="12293" width="21" style="1" bestFit="1" customWidth="1"/>
    <col min="12294" max="12294" width="11.88671875" style="1" customWidth="1"/>
    <col min="12295" max="12295" width="11.5546875" style="1" customWidth="1"/>
    <col min="12296" max="12296" width="12" style="1" customWidth="1"/>
    <col min="12297" max="12297" width="11.5546875" style="1" customWidth="1"/>
    <col min="12298" max="12299" width="10.33203125" style="1" customWidth="1"/>
    <col min="12300" max="12314" width="8.88671875" style="1" customWidth="1"/>
    <col min="12315" max="12315" width="10.5546875" style="1" bestFit="1" customWidth="1"/>
    <col min="12316" max="12318" width="8.88671875" style="1" customWidth="1"/>
    <col min="12319" max="12320" width="9.109375" style="1"/>
    <col min="12321" max="12321" width="9.5546875" style="1" customWidth="1"/>
    <col min="12322" max="12322" width="10.33203125" style="1" customWidth="1"/>
    <col min="12323" max="12323" width="9.6640625" style="1" customWidth="1"/>
    <col min="12324" max="12324" width="10.33203125" style="1" customWidth="1"/>
    <col min="12325" max="12325" width="14.88671875" style="1" bestFit="1" customWidth="1"/>
    <col min="12326" max="12326" width="8.88671875" style="1" customWidth="1"/>
    <col min="12327" max="12545" width="9.109375" style="1"/>
    <col min="12546" max="12546" width="8.88671875" style="1" customWidth="1"/>
    <col min="12547" max="12547" width="21" style="1" bestFit="1" customWidth="1"/>
    <col min="12548" max="12548" width="3.88671875" style="1" bestFit="1" customWidth="1"/>
    <col min="12549" max="12549" width="21" style="1" bestFit="1" customWidth="1"/>
    <col min="12550" max="12550" width="11.88671875" style="1" customWidth="1"/>
    <col min="12551" max="12551" width="11.5546875" style="1" customWidth="1"/>
    <col min="12552" max="12552" width="12" style="1" customWidth="1"/>
    <col min="12553" max="12553" width="11.5546875" style="1" customWidth="1"/>
    <col min="12554" max="12555" width="10.33203125" style="1" customWidth="1"/>
    <col min="12556" max="12570" width="8.88671875" style="1" customWidth="1"/>
    <col min="12571" max="12571" width="10.5546875" style="1" bestFit="1" customWidth="1"/>
    <col min="12572" max="12574" width="8.88671875" style="1" customWidth="1"/>
    <col min="12575" max="12576" width="9.109375" style="1"/>
    <col min="12577" max="12577" width="9.5546875" style="1" customWidth="1"/>
    <col min="12578" max="12578" width="10.33203125" style="1" customWidth="1"/>
    <col min="12579" max="12579" width="9.6640625" style="1" customWidth="1"/>
    <col min="12580" max="12580" width="10.33203125" style="1" customWidth="1"/>
    <col min="12581" max="12581" width="14.88671875" style="1" bestFit="1" customWidth="1"/>
    <col min="12582" max="12582" width="8.88671875" style="1" customWidth="1"/>
    <col min="12583" max="12801" width="9.109375" style="1"/>
    <col min="12802" max="12802" width="8.88671875" style="1" customWidth="1"/>
    <col min="12803" max="12803" width="21" style="1" bestFit="1" customWidth="1"/>
    <col min="12804" max="12804" width="3.88671875" style="1" bestFit="1" customWidth="1"/>
    <col min="12805" max="12805" width="21" style="1" bestFit="1" customWidth="1"/>
    <col min="12806" max="12806" width="11.88671875" style="1" customWidth="1"/>
    <col min="12807" max="12807" width="11.5546875" style="1" customWidth="1"/>
    <col min="12808" max="12808" width="12" style="1" customWidth="1"/>
    <col min="12809" max="12809" width="11.5546875" style="1" customWidth="1"/>
    <col min="12810" max="12811" width="10.33203125" style="1" customWidth="1"/>
    <col min="12812" max="12826" width="8.88671875" style="1" customWidth="1"/>
    <col min="12827" max="12827" width="10.5546875" style="1" bestFit="1" customWidth="1"/>
    <col min="12828" max="12830" width="8.88671875" style="1" customWidth="1"/>
    <col min="12831" max="12832" width="9.109375" style="1"/>
    <col min="12833" max="12833" width="9.5546875" style="1" customWidth="1"/>
    <col min="12834" max="12834" width="10.33203125" style="1" customWidth="1"/>
    <col min="12835" max="12835" width="9.6640625" style="1" customWidth="1"/>
    <col min="12836" max="12836" width="10.33203125" style="1" customWidth="1"/>
    <col min="12837" max="12837" width="14.88671875" style="1" bestFit="1" customWidth="1"/>
    <col min="12838" max="12838" width="8.88671875" style="1" customWidth="1"/>
    <col min="12839" max="13057" width="9.109375" style="1"/>
    <col min="13058" max="13058" width="8.88671875" style="1" customWidth="1"/>
    <col min="13059" max="13059" width="21" style="1" bestFit="1" customWidth="1"/>
    <col min="13060" max="13060" width="3.88671875" style="1" bestFit="1" customWidth="1"/>
    <col min="13061" max="13061" width="21" style="1" bestFit="1" customWidth="1"/>
    <col min="13062" max="13062" width="11.88671875" style="1" customWidth="1"/>
    <col min="13063" max="13063" width="11.5546875" style="1" customWidth="1"/>
    <col min="13064" max="13064" width="12" style="1" customWidth="1"/>
    <col min="13065" max="13065" width="11.5546875" style="1" customWidth="1"/>
    <col min="13066" max="13067" width="10.33203125" style="1" customWidth="1"/>
    <col min="13068" max="13082" width="8.88671875" style="1" customWidth="1"/>
    <col min="13083" max="13083" width="10.5546875" style="1" bestFit="1" customWidth="1"/>
    <col min="13084" max="13086" width="8.88671875" style="1" customWidth="1"/>
    <col min="13087" max="13088" width="9.109375" style="1"/>
    <col min="13089" max="13089" width="9.5546875" style="1" customWidth="1"/>
    <col min="13090" max="13090" width="10.33203125" style="1" customWidth="1"/>
    <col min="13091" max="13091" width="9.6640625" style="1" customWidth="1"/>
    <col min="13092" max="13092" width="10.33203125" style="1" customWidth="1"/>
    <col min="13093" max="13093" width="14.88671875" style="1" bestFit="1" customWidth="1"/>
    <col min="13094" max="13094" width="8.88671875" style="1" customWidth="1"/>
    <col min="13095" max="13313" width="9.109375" style="1"/>
    <col min="13314" max="13314" width="8.88671875" style="1" customWidth="1"/>
    <col min="13315" max="13315" width="21" style="1" bestFit="1" customWidth="1"/>
    <col min="13316" max="13316" width="3.88671875" style="1" bestFit="1" customWidth="1"/>
    <col min="13317" max="13317" width="21" style="1" bestFit="1" customWidth="1"/>
    <col min="13318" max="13318" width="11.88671875" style="1" customWidth="1"/>
    <col min="13319" max="13319" width="11.5546875" style="1" customWidth="1"/>
    <col min="13320" max="13320" width="12" style="1" customWidth="1"/>
    <col min="13321" max="13321" width="11.5546875" style="1" customWidth="1"/>
    <col min="13322" max="13323" width="10.33203125" style="1" customWidth="1"/>
    <col min="13324" max="13338" width="8.88671875" style="1" customWidth="1"/>
    <col min="13339" max="13339" width="10.5546875" style="1" bestFit="1" customWidth="1"/>
    <col min="13340" max="13342" width="8.88671875" style="1" customWidth="1"/>
    <col min="13343" max="13344" width="9.109375" style="1"/>
    <col min="13345" max="13345" width="9.5546875" style="1" customWidth="1"/>
    <col min="13346" max="13346" width="10.33203125" style="1" customWidth="1"/>
    <col min="13347" max="13347" width="9.6640625" style="1" customWidth="1"/>
    <col min="13348" max="13348" width="10.33203125" style="1" customWidth="1"/>
    <col min="13349" max="13349" width="14.88671875" style="1" bestFit="1" customWidth="1"/>
    <col min="13350" max="13350" width="8.88671875" style="1" customWidth="1"/>
    <col min="13351" max="13569" width="9.109375" style="1"/>
    <col min="13570" max="13570" width="8.88671875" style="1" customWidth="1"/>
    <col min="13571" max="13571" width="21" style="1" bestFit="1" customWidth="1"/>
    <col min="13572" max="13572" width="3.88671875" style="1" bestFit="1" customWidth="1"/>
    <col min="13573" max="13573" width="21" style="1" bestFit="1" customWidth="1"/>
    <col min="13574" max="13574" width="11.88671875" style="1" customWidth="1"/>
    <col min="13575" max="13575" width="11.5546875" style="1" customWidth="1"/>
    <col min="13576" max="13576" width="12" style="1" customWidth="1"/>
    <col min="13577" max="13577" width="11.5546875" style="1" customWidth="1"/>
    <col min="13578" max="13579" width="10.33203125" style="1" customWidth="1"/>
    <col min="13580" max="13594" width="8.88671875" style="1" customWidth="1"/>
    <col min="13595" max="13595" width="10.5546875" style="1" bestFit="1" customWidth="1"/>
    <col min="13596" max="13598" width="8.88671875" style="1" customWidth="1"/>
    <col min="13599" max="13600" width="9.109375" style="1"/>
    <col min="13601" max="13601" width="9.5546875" style="1" customWidth="1"/>
    <col min="13602" max="13602" width="10.33203125" style="1" customWidth="1"/>
    <col min="13603" max="13603" width="9.6640625" style="1" customWidth="1"/>
    <col min="13604" max="13604" width="10.33203125" style="1" customWidth="1"/>
    <col min="13605" max="13605" width="14.88671875" style="1" bestFit="1" customWidth="1"/>
    <col min="13606" max="13606" width="8.88671875" style="1" customWidth="1"/>
    <col min="13607" max="13825" width="9.109375" style="1"/>
    <col min="13826" max="13826" width="8.88671875" style="1" customWidth="1"/>
    <col min="13827" max="13827" width="21" style="1" bestFit="1" customWidth="1"/>
    <col min="13828" max="13828" width="3.88671875" style="1" bestFit="1" customWidth="1"/>
    <col min="13829" max="13829" width="21" style="1" bestFit="1" customWidth="1"/>
    <col min="13830" max="13830" width="11.88671875" style="1" customWidth="1"/>
    <col min="13831" max="13831" width="11.5546875" style="1" customWidth="1"/>
    <col min="13832" max="13832" width="12" style="1" customWidth="1"/>
    <col min="13833" max="13833" width="11.5546875" style="1" customWidth="1"/>
    <col min="13834" max="13835" width="10.33203125" style="1" customWidth="1"/>
    <col min="13836" max="13850" width="8.88671875" style="1" customWidth="1"/>
    <col min="13851" max="13851" width="10.5546875" style="1" bestFit="1" customWidth="1"/>
    <col min="13852" max="13854" width="8.88671875" style="1" customWidth="1"/>
    <col min="13855" max="13856" width="9.109375" style="1"/>
    <col min="13857" max="13857" width="9.5546875" style="1" customWidth="1"/>
    <col min="13858" max="13858" width="10.33203125" style="1" customWidth="1"/>
    <col min="13859" max="13859" width="9.6640625" style="1" customWidth="1"/>
    <col min="13860" max="13860" width="10.33203125" style="1" customWidth="1"/>
    <col min="13861" max="13861" width="14.88671875" style="1" bestFit="1" customWidth="1"/>
    <col min="13862" max="13862" width="8.88671875" style="1" customWidth="1"/>
    <col min="13863" max="14081" width="9.109375" style="1"/>
    <col min="14082" max="14082" width="8.88671875" style="1" customWidth="1"/>
    <col min="14083" max="14083" width="21" style="1" bestFit="1" customWidth="1"/>
    <col min="14084" max="14084" width="3.88671875" style="1" bestFit="1" customWidth="1"/>
    <col min="14085" max="14085" width="21" style="1" bestFit="1" customWidth="1"/>
    <col min="14086" max="14086" width="11.88671875" style="1" customWidth="1"/>
    <col min="14087" max="14087" width="11.5546875" style="1" customWidth="1"/>
    <col min="14088" max="14088" width="12" style="1" customWidth="1"/>
    <col min="14089" max="14089" width="11.5546875" style="1" customWidth="1"/>
    <col min="14090" max="14091" width="10.33203125" style="1" customWidth="1"/>
    <col min="14092" max="14106" width="8.88671875" style="1" customWidth="1"/>
    <col min="14107" max="14107" width="10.5546875" style="1" bestFit="1" customWidth="1"/>
    <col min="14108" max="14110" width="8.88671875" style="1" customWidth="1"/>
    <col min="14111" max="14112" width="9.109375" style="1"/>
    <col min="14113" max="14113" width="9.5546875" style="1" customWidth="1"/>
    <col min="14114" max="14114" width="10.33203125" style="1" customWidth="1"/>
    <col min="14115" max="14115" width="9.6640625" style="1" customWidth="1"/>
    <col min="14116" max="14116" width="10.33203125" style="1" customWidth="1"/>
    <col min="14117" max="14117" width="14.88671875" style="1" bestFit="1" customWidth="1"/>
    <col min="14118" max="14118" width="8.88671875" style="1" customWidth="1"/>
    <col min="14119" max="14337" width="9.109375" style="1"/>
    <col min="14338" max="14338" width="8.88671875" style="1" customWidth="1"/>
    <col min="14339" max="14339" width="21" style="1" bestFit="1" customWidth="1"/>
    <col min="14340" max="14340" width="3.88671875" style="1" bestFit="1" customWidth="1"/>
    <col min="14341" max="14341" width="21" style="1" bestFit="1" customWidth="1"/>
    <col min="14342" max="14342" width="11.88671875" style="1" customWidth="1"/>
    <col min="14343" max="14343" width="11.5546875" style="1" customWidth="1"/>
    <col min="14344" max="14344" width="12" style="1" customWidth="1"/>
    <col min="14345" max="14345" width="11.5546875" style="1" customWidth="1"/>
    <col min="14346" max="14347" width="10.33203125" style="1" customWidth="1"/>
    <col min="14348" max="14362" width="8.88671875" style="1" customWidth="1"/>
    <col min="14363" max="14363" width="10.5546875" style="1" bestFit="1" customWidth="1"/>
    <col min="14364" max="14366" width="8.88671875" style="1" customWidth="1"/>
    <col min="14367" max="14368" width="9.109375" style="1"/>
    <col min="14369" max="14369" width="9.5546875" style="1" customWidth="1"/>
    <col min="14370" max="14370" width="10.33203125" style="1" customWidth="1"/>
    <col min="14371" max="14371" width="9.6640625" style="1" customWidth="1"/>
    <col min="14372" max="14372" width="10.33203125" style="1" customWidth="1"/>
    <col min="14373" max="14373" width="14.88671875" style="1" bestFit="1" customWidth="1"/>
    <col min="14374" max="14374" width="8.88671875" style="1" customWidth="1"/>
    <col min="14375" max="14593" width="9.109375" style="1"/>
    <col min="14594" max="14594" width="8.88671875" style="1" customWidth="1"/>
    <col min="14595" max="14595" width="21" style="1" bestFit="1" customWidth="1"/>
    <col min="14596" max="14596" width="3.88671875" style="1" bestFit="1" customWidth="1"/>
    <col min="14597" max="14597" width="21" style="1" bestFit="1" customWidth="1"/>
    <col min="14598" max="14598" width="11.88671875" style="1" customWidth="1"/>
    <col min="14599" max="14599" width="11.5546875" style="1" customWidth="1"/>
    <col min="14600" max="14600" width="12" style="1" customWidth="1"/>
    <col min="14601" max="14601" width="11.5546875" style="1" customWidth="1"/>
    <col min="14602" max="14603" width="10.33203125" style="1" customWidth="1"/>
    <col min="14604" max="14618" width="8.88671875" style="1" customWidth="1"/>
    <col min="14619" max="14619" width="10.5546875" style="1" bestFit="1" customWidth="1"/>
    <col min="14620" max="14622" width="8.88671875" style="1" customWidth="1"/>
    <col min="14623" max="14624" width="9.109375" style="1"/>
    <col min="14625" max="14625" width="9.5546875" style="1" customWidth="1"/>
    <col min="14626" max="14626" width="10.33203125" style="1" customWidth="1"/>
    <col min="14627" max="14627" width="9.6640625" style="1" customWidth="1"/>
    <col min="14628" max="14628" width="10.33203125" style="1" customWidth="1"/>
    <col min="14629" max="14629" width="14.88671875" style="1" bestFit="1" customWidth="1"/>
    <col min="14630" max="14630" width="8.88671875" style="1" customWidth="1"/>
    <col min="14631" max="14849" width="9.109375" style="1"/>
    <col min="14850" max="14850" width="8.88671875" style="1" customWidth="1"/>
    <col min="14851" max="14851" width="21" style="1" bestFit="1" customWidth="1"/>
    <col min="14852" max="14852" width="3.88671875" style="1" bestFit="1" customWidth="1"/>
    <col min="14853" max="14853" width="21" style="1" bestFit="1" customWidth="1"/>
    <col min="14854" max="14854" width="11.88671875" style="1" customWidth="1"/>
    <col min="14855" max="14855" width="11.5546875" style="1" customWidth="1"/>
    <col min="14856" max="14856" width="12" style="1" customWidth="1"/>
    <col min="14857" max="14857" width="11.5546875" style="1" customWidth="1"/>
    <col min="14858" max="14859" width="10.33203125" style="1" customWidth="1"/>
    <col min="14860" max="14874" width="8.88671875" style="1" customWidth="1"/>
    <col min="14875" max="14875" width="10.5546875" style="1" bestFit="1" customWidth="1"/>
    <col min="14876" max="14878" width="8.88671875" style="1" customWidth="1"/>
    <col min="14879" max="14880" width="9.109375" style="1"/>
    <col min="14881" max="14881" width="9.5546875" style="1" customWidth="1"/>
    <col min="14882" max="14882" width="10.33203125" style="1" customWidth="1"/>
    <col min="14883" max="14883" width="9.6640625" style="1" customWidth="1"/>
    <col min="14884" max="14884" width="10.33203125" style="1" customWidth="1"/>
    <col min="14885" max="14885" width="14.88671875" style="1" bestFit="1" customWidth="1"/>
    <col min="14886" max="14886" width="8.88671875" style="1" customWidth="1"/>
    <col min="14887" max="15105" width="9.109375" style="1"/>
    <col min="15106" max="15106" width="8.88671875" style="1" customWidth="1"/>
    <col min="15107" max="15107" width="21" style="1" bestFit="1" customWidth="1"/>
    <col min="15108" max="15108" width="3.88671875" style="1" bestFit="1" customWidth="1"/>
    <col min="15109" max="15109" width="21" style="1" bestFit="1" customWidth="1"/>
    <col min="15110" max="15110" width="11.88671875" style="1" customWidth="1"/>
    <col min="15111" max="15111" width="11.5546875" style="1" customWidth="1"/>
    <col min="15112" max="15112" width="12" style="1" customWidth="1"/>
    <col min="15113" max="15113" width="11.5546875" style="1" customWidth="1"/>
    <col min="15114" max="15115" width="10.33203125" style="1" customWidth="1"/>
    <col min="15116" max="15130" width="8.88671875" style="1" customWidth="1"/>
    <col min="15131" max="15131" width="10.5546875" style="1" bestFit="1" customWidth="1"/>
    <col min="15132" max="15134" width="8.88671875" style="1" customWidth="1"/>
    <col min="15135" max="15136" width="9.109375" style="1"/>
    <col min="15137" max="15137" width="9.5546875" style="1" customWidth="1"/>
    <col min="15138" max="15138" width="10.33203125" style="1" customWidth="1"/>
    <col min="15139" max="15139" width="9.6640625" style="1" customWidth="1"/>
    <col min="15140" max="15140" width="10.33203125" style="1" customWidth="1"/>
    <col min="15141" max="15141" width="14.88671875" style="1" bestFit="1" customWidth="1"/>
    <col min="15142" max="15142" width="8.88671875" style="1" customWidth="1"/>
    <col min="15143" max="15361" width="9.109375" style="1"/>
    <col min="15362" max="15362" width="8.88671875" style="1" customWidth="1"/>
    <col min="15363" max="15363" width="21" style="1" bestFit="1" customWidth="1"/>
    <col min="15364" max="15364" width="3.88671875" style="1" bestFit="1" customWidth="1"/>
    <col min="15365" max="15365" width="21" style="1" bestFit="1" customWidth="1"/>
    <col min="15366" max="15366" width="11.88671875" style="1" customWidth="1"/>
    <col min="15367" max="15367" width="11.5546875" style="1" customWidth="1"/>
    <col min="15368" max="15368" width="12" style="1" customWidth="1"/>
    <col min="15369" max="15369" width="11.5546875" style="1" customWidth="1"/>
    <col min="15370" max="15371" width="10.33203125" style="1" customWidth="1"/>
    <col min="15372" max="15386" width="8.88671875" style="1" customWidth="1"/>
    <col min="15387" max="15387" width="10.5546875" style="1" bestFit="1" customWidth="1"/>
    <col min="15388" max="15390" width="8.88671875" style="1" customWidth="1"/>
    <col min="15391" max="15392" width="9.109375" style="1"/>
    <col min="15393" max="15393" width="9.5546875" style="1" customWidth="1"/>
    <col min="15394" max="15394" width="10.33203125" style="1" customWidth="1"/>
    <col min="15395" max="15395" width="9.6640625" style="1" customWidth="1"/>
    <col min="15396" max="15396" width="10.33203125" style="1" customWidth="1"/>
    <col min="15397" max="15397" width="14.88671875" style="1" bestFit="1" customWidth="1"/>
    <col min="15398" max="15398" width="8.88671875" style="1" customWidth="1"/>
    <col min="15399" max="15617" width="9.109375" style="1"/>
    <col min="15618" max="15618" width="8.88671875" style="1" customWidth="1"/>
    <col min="15619" max="15619" width="21" style="1" bestFit="1" customWidth="1"/>
    <col min="15620" max="15620" width="3.88671875" style="1" bestFit="1" customWidth="1"/>
    <col min="15621" max="15621" width="21" style="1" bestFit="1" customWidth="1"/>
    <col min="15622" max="15622" width="11.88671875" style="1" customWidth="1"/>
    <col min="15623" max="15623" width="11.5546875" style="1" customWidth="1"/>
    <col min="15624" max="15624" width="12" style="1" customWidth="1"/>
    <col min="15625" max="15625" width="11.5546875" style="1" customWidth="1"/>
    <col min="15626" max="15627" width="10.33203125" style="1" customWidth="1"/>
    <col min="15628" max="15642" width="8.88671875" style="1" customWidth="1"/>
    <col min="15643" max="15643" width="10.5546875" style="1" bestFit="1" customWidth="1"/>
    <col min="15644" max="15646" width="8.88671875" style="1" customWidth="1"/>
    <col min="15647" max="15648" width="9.109375" style="1"/>
    <col min="15649" max="15649" width="9.5546875" style="1" customWidth="1"/>
    <col min="15650" max="15650" width="10.33203125" style="1" customWidth="1"/>
    <col min="15651" max="15651" width="9.6640625" style="1" customWidth="1"/>
    <col min="15652" max="15652" width="10.33203125" style="1" customWidth="1"/>
    <col min="15653" max="15653" width="14.88671875" style="1" bestFit="1" customWidth="1"/>
    <col min="15654" max="15654" width="8.88671875" style="1" customWidth="1"/>
    <col min="15655" max="15873" width="9.109375" style="1"/>
    <col min="15874" max="15874" width="8.88671875" style="1" customWidth="1"/>
    <col min="15875" max="15875" width="21" style="1" bestFit="1" customWidth="1"/>
    <col min="15876" max="15876" width="3.88671875" style="1" bestFit="1" customWidth="1"/>
    <col min="15877" max="15877" width="21" style="1" bestFit="1" customWidth="1"/>
    <col min="15878" max="15878" width="11.88671875" style="1" customWidth="1"/>
    <col min="15879" max="15879" width="11.5546875" style="1" customWidth="1"/>
    <col min="15880" max="15880" width="12" style="1" customWidth="1"/>
    <col min="15881" max="15881" width="11.5546875" style="1" customWidth="1"/>
    <col min="15882" max="15883" width="10.33203125" style="1" customWidth="1"/>
    <col min="15884" max="15898" width="8.88671875" style="1" customWidth="1"/>
    <col min="15899" max="15899" width="10.5546875" style="1" bestFit="1" customWidth="1"/>
    <col min="15900" max="15902" width="8.88671875" style="1" customWidth="1"/>
    <col min="15903" max="15904" width="9.109375" style="1"/>
    <col min="15905" max="15905" width="9.5546875" style="1" customWidth="1"/>
    <col min="15906" max="15906" width="10.33203125" style="1" customWidth="1"/>
    <col min="15907" max="15907" width="9.6640625" style="1" customWidth="1"/>
    <col min="15908" max="15908" width="10.33203125" style="1" customWidth="1"/>
    <col min="15909" max="15909" width="14.88671875" style="1" bestFit="1" customWidth="1"/>
    <col min="15910" max="15910" width="8.88671875" style="1" customWidth="1"/>
    <col min="15911" max="16129" width="9.109375" style="1"/>
    <col min="16130" max="16130" width="8.88671875" style="1" customWidth="1"/>
    <col min="16131" max="16131" width="21" style="1" bestFit="1" customWidth="1"/>
    <col min="16132" max="16132" width="3.88671875" style="1" bestFit="1" customWidth="1"/>
    <col min="16133" max="16133" width="21" style="1" bestFit="1" customWidth="1"/>
    <col min="16134" max="16134" width="11.88671875" style="1" customWidth="1"/>
    <col min="16135" max="16135" width="11.5546875" style="1" customWidth="1"/>
    <col min="16136" max="16136" width="12" style="1" customWidth="1"/>
    <col min="16137" max="16137" width="11.5546875" style="1" customWidth="1"/>
    <col min="16138" max="16139" width="10.33203125" style="1" customWidth="1"/>
    <col min="16140" max="16154" width="8.88671875" style="1" customWidth="1"/>
    <col min="16155" max="16155" width="10.5546875" style="1" bestFit="1" customWidth="1"/>
    <col min="16156" max="16158" width="8.88671875" style="1" customWidth="1"/>
    <col min="16159" max="16160" width="9.109375" style="1"/>
    <col min="16161" max="16161" width="9.5546875" style="1" customWidth="1"/>
    <col min="16162" max="16162" width="10.33203125" style="1" customWidth="1"/>
    <col min="16163" max="16163" width="9.6640625" style="1" customWidth="1"/>
    <col min="16164" max="16164" width="10.33203125" style="1" customWidth="1"/>
    <col min="16165" max="16165" width="14.88671875" style="1" bestFit="1" customWidth="1"/>
    <col min="16166" max="16166" width="8.88671875" style="1" customWidth="1"/>
    <col min="16167" max="16383" width="9.109375" style="1"/>
    <col min="16384" max="16384" width="8.88671875" style="1" customWidth="1"/>
  </cols>
  <sheetData>
    <row r="1" spans="1:40" x14ac:dyDescent="0.3"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</row>
    <row r="2" spans="1:40" x14ac:dyDescent="0.3">
      <c r="C2" s="1" t="s">
        <v>0</v>
      </c>
      <c r="D2" s="207" t="s">
        <v>1</v>
      </c>
      <c r="E2" s="207" t="s">
        <v>2</v>
      </c>
      <c r="F2" s="207" t="s">
        <v>22</v>
      </c>
      <c r="G2" s="207"/>
      <c r="H2" s="207"/>
      <c r="I2" s="207"/>
      <c r="J2" s="207"/>
      <c r="K2" s="207"/>
      <c r="L2" s="207"/>
      <c r="M2" s="207"/>
      <c r="N2" s="207"/>
      <c r="O2" s="207"/>
      <c r="P2" s="207"/>
      <c r="Q2" s="207"/>
      <c r="R2" s="207"/>
      <c r="S2" s="207"/>
      <c r="T2" s="207"/>
      <c r="U2" s="207"/>
      <c r="V2" s="207"/>
      <c r="W2" s="207"/>
      <c r="X2" s="207"/>
      <c r="Y2" s="207"/>
      <c r="Z2" s="207"/>
      <c r="AA2" s="207"/>
      <c r="AB2" s="207"/>
      <c r="AC2" s="207"/>
      <c r="AD2" s="207"/>
      <c r="AE2" s="207"/>
      <c r="AF2" s="207"/>
      <c r="AG2" s="207"/>
      <c r="AH2" s="207"/>
      <c r="AI2" s="207"/>
      <c r="AJ2" s="207"/>
      <c r="AK2" s="206" t="s">
        <v>23</v>
      </c>
      <c r="AL2" s="206" t="s">
        <v>24</v>
      </c>
      <c r="AN2" s="3"/>
    </row>
    <row r="3" spans="1:40" s="4" customFormat="1" x14ac:dyDescent="0.3">
      <c r="C3" s="4" t="s">
        <v>5</v>
      </c>
      <c r="D3" s="207"/>
      <c r="E3" s="207"/>
      <c r="F3" s="4">
        <v>1</v>
      </c>
      <c r="G3" s="4">
        <v>2</v>
      </c>
      <c r="H3" s="4">
        <v>3</v>
      </c>
      <c r="I3" s="4">
        <v>4</v>
      </c>
      <c r="J3" s="4">
        <v>5</v>
      </c>
      <c r="K3" s="4">
        <v>6</v>
      </c>
      <c r="L3" s="4">
        <v>7</v>
      </c>
      <c r="M3" s="4">
        <v>8</v>
      </c>
      <c r="N3" s="4">
        <v>9</v>
      </c>
      <c r="O3" s="4">
        <v>10</v>
      </c>
      <c r="P3" s="4">
        <v>11</v>
      </c>
      <c r="Q3" s="4">
        <v>12</v>
      </c>
      <c r="R3" s="4">
        <v>13</v>
      </c>
      <c r="S3" s="4">
        <v>14</v>
      </c>
      <c r="T3" s="4">
        <v>15</v>
      </c>
      <c r="U3" s="4">
        <v>16</v>
      </c>
      <c r="V3" s="4">
        <v>17</v>
      </c>
      <c r="W3" s="4">
        <v>18</v>
      </c>
      <c r="X3" s="4">
        <v>19</v>
      </c>
      <c r="Y3" s="4">
        <v>20</v>
      </c>
      <c r="Z3" s="4">
        <v>21</v>
      </c>
      <c r="AA3" s="4">
        <v>22</v>
      </c>
      <c r="AB3" s="4">
        <v>23</v>
      </c>
      <c r="AC3" s="4">
        <v>24</v>
      </c>
      <c r="AD3" s="4">
        <v>25</v>
      </c>
      <c r="AE3" s="4">
        <v>26</v>
      </c>
      <c r="AF3" s="4">
        <v>27</v>
      </c>
      <c r="AG3" s="4">
        <v>28</v>
      </c>
      <c r="AH3" s="4">
        <v>29</v>
      </c>
      <c r="AI3" s="4">
        <v>30</v>
      </c>
      <c r="AJ3" s="4">
        <v>31</v>
      </c>
      <c r="AK3" s="206"/>
      <c r="AL3" s="206"/>
    </row>
    <row r="4" spans="1:40" x14ac:dyDescent="0.3">
      <c r="A4" s="1" t="s">
        <v>6</v>
      </c>
      <c r="C4" s="1" t="s">
        <v>59</v>
      </c>
      <c r="D4" s="1">
        <v>1</v>
      </c>
      <c r="E4" s="1" t="str">
        <f>C4</f>
        <v>TAP PC 400-03</v>
      </c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6">
        <f t="shared" ref="AK4:AK23" si="0">SUM(F4:AJ4)</f>
        <v>0</v>
      </c>
      <c r="AL4" s="13">
        <f>VLOOKUP(C4,'HOUR METER'!B:AJ,35,FALSE)</f>
        <v>0</v>
      </c>
      <c r="AM4" s="5"/>
    </row>
    <row r="5" spans="1:40" x14ac:dyDescent="0.3">
      <c r="A5" s="1" t="s">
        <v>7</v>
      </c>
      <c r="C5" s="1" t="s">
        <v>60</v>
      </c>
      <c r="D5" s="1">
        <v>2</v>
      </c>
      <c r="E5" s="1" t="str">
        <f t="shared" ref="E5:E27" si="1">C5</f>
        <v>TAP PC 400-06</v>
      </c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6">
        <f t="shared" si="0"/>
        <v>0</v>
      </c>
      <c r="AL5" s="13">
        <f>VLOOKUP(C5,'HOUR METER'!B:AJ,35,FALSE)</f>
        <v>0</v>
      </c>
      <c r="AM5" s="5"/>
    </row>
    <row r="6" spans="1:40" x14ac:dyDescent="0.3">
      <c r="A6" s="20"/>
      <c r="B6" s="20"/>
      <c r="C6" s="1" t="s">
        <v>68</v>
      </c>
      <c r="D6" s="1">
        <v>3</v>
      </c>
      <c r="E6" s="1" t="str">
        <f t="shared" si="1"/>
        <v>TAP PC 300-11</v>
      </c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6">
        <f t="shared" si="0"/>
        <v>0</v>
      </c>
      <c r="AL6" s="13">
        <f>VLOOKUP(C6,'HOUR METER'!B:AJ,35,FALSE)</f>
        <v>0</v>
      </c>
      <c r="AM6" s="5"/>
    </row>
    <row r="7" spans="1:40" x14ac:dyDescent="0.3">
      <c r="A7" s="1" t="s">
        <v>8</v>
      </c>
      <c r="C7" s="1" t="s">
        <v>145</v>
      </c>
      <c r="D7" s="1">
        <v>4</v>
      </c>
      <c r="E7" s="1" t="str">
        <f t="shared" si="1"/>
        <v>TAP PC 300-12</v>
      </c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6">
        <f t="shared" si="0"/>
        <v>0</v>
      </c>
      <c r="AL7" s="13">
        <f>VLOOKUP(C7,'HOUR METER'!B:AJ,35,FALSE)</f>
        <v>0</v>
      </c>
      <c r="AM7" s="5"/>
    </row>
    <row r="8" spans="1:40" x14ac:dyDescent="0.3">
      <c r="C8" s="1" t="s">
        <v>146</v>
      </c>
      <c r="D8" s="1">
        <v>5</v>
      </c>
      <c r="E8" s="1" t="str">
        <f t="shared" si="1"/>
        <v>TAP PC 300-14</v>
      </c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6">
        <f t="shared" si="0"/>
        <v>0</v>
      </c>
      <c r="AL8" s="13">
        <f>VLOOKUP(C8,'HOUR METER'!B:AJ,35,FALSE)</f>
        <v>0</v>
      </c>
      <c r="AM8" s="5"/>
    </row>
    <row r="9" spans="1:40" x14ac:dyDescent="0.3">
      <c r="C9" s="1" t="s">
        <v>61</v>
      </c>
      <c r="D9" s="1">
        <v>6</v>
      </c>
      <c r="E9" s="1" t="str">
        <f t="shared" si="1"/>
        <v>TAP PC 200-11</v>
      </c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6">
        <f t="shared" si="0"/>
        <v>0</v>
      </c>
      <c r="AL9" s="13">
        <f>VLOOKUP(C9,'HOUR METER'!B:AJ,35,FALSE)</f>
        <v>0</v>
      </c>
      <c r="AM9" s="5"/>
    </row>
    <row r="10" spans="1:40" x14ac:dyDescent="0.3">
      <c r="C10" s="1" t="s">
        <v>143</v>
      </c>
      <c r="D10" s="1">
        <v>7</v>
      </c>
      <c r="E10" s="1" t="str">
        <f t="shared" si="1"/>
        <v>TAP PC 200-12</v>
      </c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6">
        <f t="shared" si="0"/>
        <v>0</v>
      </c>
      <c r="AL10" s="13">
        <f>VLOOKUP(C10,'HOUR METER'!B:AJ,35,FALSE)</f>
        <v>0</v>
      </c>
      <c r="AM10" s="5"/>
    </row>
    <row r="11" spans="1:40" x14ac:dyDescent="0.3">
      <c r="C11" s="1" t="s">
        <v>144</v>
      </c>
      <c r="D11" s="1">
        <v>8</v>
      </c>
      <c r="E11" s="1" t="str">
        <f t="shared" si="1"/>
        <v>TAP PC 200-14</v>
      </c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6">
        <f t="shared" si="0"/>
        <v>0</v>
      </c>
      <c r="AL11" s="13">
        <f>VLOOKUP(C11,'HOUR METER'!B:AJ,35,FALSE)</f>
        <v>0</v>
      </c>
      <c r="AM11" s="5"/>
    </row>
    <row r="12" spans="1:40" x14ac:dyDescent="0.3">
      <c r="C12" s="1" t="s">
        <v>147</v>
      </c>
      <c r="D12" s="1">
        <v>9</v>
      </c>
      <c r="E12" s="1" t="str">
        <f t="shared" si="1"/>
        <v>TAP PC 200-15</v>
      </c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6">
        <f t="shared" si="0"/>
        <v>0</v>
      </c>
      <c r="AL12" s="13">
        <f>VLOOKUP(C12,'HOUR METER'!B:AJ,35,FALSE)</f>
        <v>0</v>
      </c>
      <c r="AM12" s="5"/>
    </row>
    <row r="13" spans="1:40" x14ac:dyDescent="0.3">
      <c r="C13" s="1" t="s">
        <v>148</v>
      </c>
      <c r="D13" s="1">
        <v>10</v>
      </c>
      <c r="E13" s="1" t="str">
        <f t="shared" si="1"/>
        <v>TAP PC 200-16</v>
      </c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6">
        <f t="shared" si="0"/>
        <v>0</v>
      </c>
      <c r="AL13" s="13">
        <f>VLOOKUP(C13,'HOUR METER'!B:AJ,35,FALSE)</f>
        <v>0</v>
      </c>
      <c r="AM13" s="5"/>
    </row>
    <row r="14" spans="1:40" x14ac:dyDescent="0.3">
      <c r="C14" s="1" t="s">
        <v>149</v>
      </c>
      <c r="D14" s="1">
        <v>11</v>
      </c>
      <c r="E14" s="1" t="str">
        <f t="shared" si="1"/>
        <v>ADT HM 400-01</v>
      </c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6">
        <f t="shared" si="0"/>
        <v>0</v>
      </c>
      <c r="AL14" s="13">
        <f>VLOOKUP(C14,'HOUR METER'!B:AJ,35,FALSE)</f>
        <v>0</v>
      </c>
      <c r="AM14" s="5"/>
    </row>
    <row r="15" spans="1:40" x14ac:dyDescent="0.3">
      <c r="C15" s="1" t="s">
        <v>62</v>
      </c>
      <c r="D15" s="1">
        <v>12</v>
      </c>
      <c r="E15" s="1" t="str">
        <f t="shared" si="1"/>
        <v>ADT HM 400-02</v>
      </c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6">
        <f t="shared" si="0"/>
        <v>0</v>
      </c>
      <c r="AL15" s="13">
        <f>VLOOKUP(C15,'HOUR METER'!B:AJ,35,FALSE)</f>
        <v>0</v>
      </c>
      <c r="AM15" s="5"/>
    </row>
    <row r="16" spans="1:40" x14ac:dyDescent="0.3">
      <c r="C16" s="1" t="s">
        <v>63</v>
      </c>
      <c r="D16" s="1">
        <v>13</v>
      </c>
      <c r="E16" s="1" t="str">
        <f t="shared" si="1"/>
        <v>ADT HM 400-03</v>
      </c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6">
        <f t="shared" si="0"/>
        <v>0</v>
      </c>
      <c r="AL16" s="13">
        <f>VLOOKUP(C16,'HOUR METER'!B:AJ,35,FALSE)</f>
        <v>0</v>
      </c>
      <c r="AM16" s="5"/>
    </row>
    <row r="17" spans="3:40" x14ac:dyDescent="0.3">
      <c r="C17" s="1" t="s">
        <v>64</v>
      </c>
      <c r="D17" s="1">
        <v>14</v>
      </c>
      <c r="E17" s="1" t="str">
        <f t="shared" si="1"/>
        <v>ADT HM 400-05</v>
      </c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6">
        <f t="shared" si="0"/>
        <v>0</v>
      </c>
      <c r="AL17" s="13">
        <f>VLOOKUP(C17,'HOUR METER'!B:AJ,35,FALSE)</f>
        <v>0</v>
      </c>
      <c r="AM17" s="5"/>
    </row>
    <row r="18" spans="3:40" x14ac:dyDescent="0.3">
      <c r="C18" s="1" t="s">
        <v>69</v>
      </c>
      <c r="D18" s="1">
        <v>15</v>
      </c>
      <c r="E18" s="1" t="str">
        <f t="shared" si="1"/>
        <v>ADT HM 400-06</v>
      </c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6">
        <f t="shared" si="0"/>
        <v>0</v>
      </c>
      <c r="AL18" s="13">
        <f>VLOOKUP(C18,'HOUR METER'!B:AJ,35,FALSE)</f>
        <v>0</v>
      </c>
      <c r="AM18" s="5"/>
    </row>
    <row r="19" spans="3:40" x14ac:dyDescent="0.3">
      <c r="C19" s="1" t="s">
        <v>70</v>
      </c>
      <c r="D19" s="1">
        <v>16</v>
      </c>
      <c r="E19" s="1" t="str">
        <f t="shared" si="1"/>
        <v>ADT HM 400-07</v>
      </c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6">
        <f t="shared" si="0"/>
        <v>0</v>
      </c>
      <c r="AL19" s="13">
        <f>VLOOKUP(C19,'HOUR METER'!B:AJ,35,FALSE)</f>
        <v>0</v>
      </c>
      <c r="AM19" s="5"/>
    </row>
    <row r="20" spans="3:40" x14ac:dyDescent="0.3">
      <c r="C20" s="1" t="s">
        <v>71</v>
      </c>
      <c r="D20" s="1">
        <v>17</v>
      </c>
      <c r="E20" s="1" t="str">
        <f t="shared" si="1"/>
        <v>ADT HM 400-08</v>
      </c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6">
        <f t="shared" si="0"/>
        <v>0</v>
      </c>
      <c r="AL20" s="13">
        <f>VLOOKUP(C20,'HOUR METER'!B:AJ,35,FALSE)</f>
        <v>0</v>
      </c>
      <c r="AM20" s="5"/>
    </row>
    <row r="21" spans="3:40" x14ac:dyDescent="0.3">
      <c r="C21" s="1" t="s">
        <v>65</v>
      </c>
      <c r="D21" s="1">
        <v>18</v>
      </c>
      <c r="E21" s="1" t="str">
        <f t="shared" si="1"/>
        <v>DOZER D65P-04</v>
      </c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6">
        <f t="shared" si="0"/>
        <v>0</v>
      </c>
      <c r="AL21" s="13">
        <f>VLOOKUP(C21,'HOUR METER'!B:AJ,35,FALSE)</f>
        <v>0</v>
      </c>
      <c r="AM21" s="5"/>
    </row>
    <row r="22" spans="3:40" x14ac:dyDescent="0.3">
      <c r="C22" s="1" t="s">
        <v>72</v>
      </c>
      <c r="D22" s="1">
        <v>19</v>
      </c>
      <c r="E22" s="1" t="str">
        <f t="shared" si="1"/>
        <v>DOZER D65P-05</v>
      </c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6">
        <f t="shared" si="0"/>
        <v>0</v>
      </c>
      <c r="AL22" s="13">
        <f>VLOOKUP(C22,'HOUR METER'!B:AJ,35,FALSE)</f>
        <v>0</v>
      </c>
      <c r="AM22" s="5"/>
    </row>
    <row r="23" spans="3:40" x14ac:dyDescent="0.3">
      <c r="C23" s="1" t="s">
        <v>92</v>
      </c>
      <c r="D23" s="1">
        <v>20</v>
      </c>
      <c r="E23" s="1" t="str">
        <f t="shared" si="1"/>
        <v>DOZER D65P-11</v>
      </c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6">
        <f t="shared" si="0"/>
        <v>0</v>
      </c>
      <c r="AL23" s="13">
        <f>VLOOKUP(C23,'HOUR METER'!B:AJ,35,FALSE)</f>
        <v>0</v>
      </c>
      <c r="AM23" s="5"/>
    </row>
    <row r="24" spans="3:40" x14ac:dyDescent="0.3">
      <c r="C24" s="1" t="s">
        <v>66</v>
      </c>
      <c r="D24" s="1">
        <v>21</v>
      </c>
      <c r="E24" s="1" t="str">
        <f t="shared" si="1"/>
        <v>DOZER D85SS-02</v>
      </c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6">
        <f t="shared" ref="AK24:AK27" si="2">SUM(F24:AJ24)</f>
        <v>0</v>
      </c>
      <c r="AL24" s="13">
        <f>VLOOKUP(C24,'HOUR METER'!B:AJ,35,FALSE)</f>
        <v>0</v>
      </c>
      <c r="AM24" s="5"/>
    </row>
    <row r="25" spans="3:40" x14ac:dyDescent="0.3">
      <c r="C25" s="1" t="s">
        <v>93</v>
      </c>
      <c r="D25" s="1">
        <v>22</v>
      </c>
      <c r="E25" s="1" t="str">
        <f t="shared" si="1"/>
        <v>DOZER D85SS-11</v>
      </c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6">
        <f t="shared" si="2"/>
        <v>0</v>
      </c>
      <c r="AL25" s="13">
        <f>VLOOKUP(C25,'HOUR METER'!B:AJ,35,FALSE)</f>
        <v>0</v>
      </c>
      <c r="AM25" s="5"/>
    </row>
    <row r="26" spans="3:40" x14ac:dyDescent="0.3">
      <c r="C26" s="1" t="s">
        <v>94</v>
      </c>
      <c r="D26" s="1">
        <v>23</v>
      </c>
      <c r="E26" s="1" t="str">
        <f t="shared" si="1"/>
        <v>TAP GRADER-11</v>
      </c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6">
        <f t="shared" si="2"/>
        <v>0</v>
      </c>
      <c r="AL26" s="13">
        <f>VLOOKUP(C26,'HOUR METER'!B:AJ,35,FALSE)</f>
        <v>0</v>
      </c>
      <c r="AM26" s="5"/>
    </row>
    <row r="27" spans="3:40" x14ac:dyDescent="0.3">
      <c r="C27" s="1" t="s">
        <v>67</v>
      </c>
      <c r="D27" s="1">
        <v>24</v>
      </c>
      <c r="E27" s="1" t="str">
        <f t="shared" si="1"/>
        <v>TAP SAKAI-03</v>
      </c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6">
        <f t="shared" si="2"/>
        <v>0</v>
      </c>
      <c r="AL27" s="13">
        <f>VLOOKUP(C27,'HOUR METER'!B:AJ,35,FALSE)</f>
        <v>0</v>
      </c>
      <c r="AM27" s="5"/>
    </row>
    <row r="28" spans="3:40" ht="14.4" customHeight="1" x14ac:dyDescent="0.3">
      <c r="F28" s="5"/>
      <c r="G28" s="1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6"/>
      <c r="AL28" s="5"/>
      <c r="AM28" s="13"/>
      <c r="AN28" s="5"/>
    </row>
    <row r="29" spans="3:40" ht="14.4" customHeight="1" x14ac:dyDescent="0.3">
      <c r="D29" s="7"/>
      <c r="F29" s="5">
        <f t="shared" ref="F29:AJ29" si="3">SUM(F4:F27)</f>
        <v>0</v>
      </c>
      <c r="G29" s="5">
        <f t="shared" si="3"/>
        <v>0</v>
      </c>
      <c r="H29" s="5">
        <f t="shared" si="3"/>
        <v>0</v>
      </c>
      <c r="I29" s="5">
        <f t="shared" si="3"/>
        <v>0</v>
      </c>
      <c r="J29" s="5">
        <f t="shared" si="3"/>
        <v>0</v>
      </c>
      <c r="K29" s="5">
        <f t="shared" si="3"/>
        <v>0</v>
      </c>
      <c r="L29" s="5">
        <f t="shared" si="3"/>
        <v>0</v>
      </c>
      <c r="M29" s="5">
        <f t="shared" si="3"/>
        <v>0</v>
      </c>
      <c r="N29" s="5">
        <f t="shared" si="3"/>
        <v>0</v>
      </c>
      <c r="O29" s="5">
        <f t="shared" si="3"/>
        <v>0</v>
      </c>
      <c r="P29" s="5">
        <f t="shared" si="3"/>
        <v>0</v>
      </c>
      <c r="Q29" s="5">
        <f t="shared" si="3"/>
        <v>0</v>
      </c>
      <c r="R29" s="5">
        <f t="shared" si="3"/>
        <v>0</v>
      </c>
      <c r="S29" s="5">
        <f t="shared" si="3"/>
        <v>0</v>
      </c>
      <c r="T29" s="5">
        <f t="shared" si="3"/>
        <v>0</v>
      </c>
      <c r="U29" s="5">
        <f t="shared" si="3"/>
        <v>0</v>
      </c>
      <c r="V29" s="5">
        <f t="shared" si="3"/>
        <v>0</v>
      </c>
      <c r="W29" s="5">
        <f t="shared" si="3"/>
        <v>0</v>
      </c>
      <c r="X29" s="5">
        <f t="shared" si="3"/>
        <v>0</v>
      </c>
      <c r="Y29" s="5">
        <f t="shared" si="3"/>
        <v>0</v>
      </c>
      <c r="Z29" s="5">
        <f t="shared" si="3"/>
        <v>0</v>
      </c>
      <c r="AA29" s="5">
        <f t="shared" si="3"/>
        <v>0</v>
      </c>
      <c r="AB29" s="5">
        <f t="shared" si="3"/>
        <v>0</v>
      </c>
      <c r="AC29" s="5">
        <f t="shared" si="3"/>
        <v>0</v>
      </c>
      <c r="AD29" s="5">
        <f t="shared" si="3"/>
        <v>0</v>
      </c>
      <c r="AE29" s="5">
        <f t="shared" si="3"/>
        <v>0</v>
      </c>
      <c r="AF29" s="5">
        <f t="shared" si="3"/>
        <v>0</v>
      </c>
      <c r="AG29" s="5">
        <f t="shared" si="3"/>
        <v>0</v>
      </c>
      <c r="AH29" s="5">
        <f t="shared" si="3"/>
        <v>0</v>
      </c>
      <c r="AI29" s="5">
        <f t="shared" si="3"/>
        <v>0</v>
      </c>
      <c r="AJ29" s="5">
        <f t="shared" si="3"/>
        <v>0</v>
      </c>
      <c r="AK29" s="6">
        <f>SUM(F29:AJ29)</f>
        <v>0</v>
      </c>
      <c r="AL29" s="5"/>
      <c r="AM29" s="13"/>
      <c r="AN29" s="5"/>
    </row>
    <row r="30" spans="3:40" s="2" customFormat="1" x14ac:dyDescent="0.3">
      <c r="D30" s="7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2" t="s">
        <v>23</v>
      </c>
      <c r="AK30" s="6">
        <f>SUM(AK4:AK27)</f>
        <v>0</v>
      </c>
      <c r="AM30" s="6"/>
      <c r="AN30" s="6"/>
    </row>
    <row r="31" spans="3:40" x14ac:dyDescent="0.3">
      <c r="L31" s="21"/>
      <c r="O31" s="21"/>
      <c r="X31" s="21"/>
      <c r="AA31" s="6"/>
      <c r="AB31" s="6"/>
      <c r="AC31" s="6"/>
      <c r="AD31" s="6"/>
      <c r="AE31" s="6"/>
      <c r="AF31" s="6"/>
      <c r="AG31" s="6"/>
      <c r="AH31" s="6"/>
      <c r="AI31" s="2"/>
      <c r="AJ31" s="2"/>
      <c r="AK31" s="6"/>
      <c r="AM31" s="5"/>
    </row>
    <row r="32" spans="3:40" x14ac:dyDescent="0.3">
      <c r="Q32" s="5"/>
      <c r="R32" s="5"/>
      <c r="AA32" s="6"/>
      <c r="AB32" s="6"/>
      <c r="AC32" s="6"/>
      <c r="AH32" s="6"/>
      <c r="AI32" s="2"/>
      <c r="AJ32" s="2"/>
      <c r="AK32" s="6"/>
      <c r="AM32" s="5"/>
      <c r="AN32" s="5"/>
    </row>
    <row r="33" spans="3:37" ht="19.95" customHeight="1" x14ac:dyDescent="0.3">
      <c r="C33" s="2" t="s">
        <v>10</v>
      </c>
      <c r="D33" s="2" t="s">
        <v>11</v>
      </c>
      <c r="E33" s="8">
        <f>SUM(F29:J29)</f>
        <v>0</v>
      </c>
      <c r="K33" s="21"/>
      <c r="AA33" s="208" t="s">
        <v>12</v>
      </c>
      <c r="AB33" s="208"/>
      <c r="AC33" s="208"/>
      <c r="AH33" s="208" t="s">
        <v>13</v>
      </c>
      <c r="AI33" s="208"/>
      <c r="AK33" s="6"/>
    </row>
    <row r="34" spans="3:37" ht="19.95" customHeight="1" x14ac:dyDescent="0.3">
      <c r="C34" s="2" t="s">
        <v>14</v>
      </c>
      <c r="D34" s="2" t="s">
        <v>11</v>
      </c>
      <c r="E34" s="8">
        <f>SUM(K29:Q29)</f>
        <v>0</v>
      </c>
      <c r="J34" s="21"/>
      <c r="S34" s="21"/>
      <c r="U34" s="7" t="s">
        <v>25</v>
      </c>
      <c r="AF34" s="21"/>
      <c r="AK34" s="9"/>
    </row>
    <row r="35" spans="3:37" ht="19.95" customHeight="1" x14ac:dyDescent="0.3">
      <c r="C35" s="2" t="s">
        <v>15</v>
      </c>
      <c r="D35" s="2" t="s">
        <v>11</v>
      </c>
      <c r="E35" s="8">
        <f>SUM(R29:X29)</f>
        <v>0</v>
      </c>
      <c r="K35" s="22"/>
      <c r="T35" s="208" t="s">
        <v>9</v>
      </c>
      <c r="U35" s="208"/>
      <c r="V35" s="208"/>
      <c r="W35" s="1" t="s">
        <v>9</v>
      </c>
      <c r="AK35" s="6"/>
    </row>
    <row r="36" spans="3:37" ht="19.95" customHeight="1" x14ac:dyDescent="0.3">
      <c r="C36" s="2" t="s">
        <v>16</v>
      </c>
      <c r="D36" s="2" t="s">
        <v>11</v>
      </c>
      <c r="E36" s="8">
        <f>SUM(Y29:AE29)</f>
        <v>0</v>
      </c>
      <c r="W36" s="21"/>
      <c r="X36" s="21"/>
    </row>
    <row r="37" spans="3:37" ht="19.95" customHeight="1" x14ac:dyDescent="0.3">
      <c r="C37" s="2" t="s">
        <v>18</v>
      </c>
      <c r="D37" s="2" t="s">
        <v>11</v>
      </c>
      <c r="E37" s="8">
        <f>SUM(AF29:AJ29)</f>
        <v>0</v>
      </c>
      <c r="AA37" s="208" t="s">
        <v>19</v>
      </c>
      <c r="AB37" s="208"/>
      <c r="AC37" s="208"/>
      <c r="AH37" s="208" t="s">
        <v>20</v>
      </c>
      <c r="AI37" s="208"/>
    </row>
    <row r="38" spans="3:37" ht="19.95" customHeight="1" x14ac:dyDescent="0.3">
      <c r="C38" s="2"/>
      <c r="D38" s="2"/>
      <c r="E38" s="8"/>
      <c r="AK38" s="23"/>
    </row>
    <row r="39" spans="3:37" ht="19.95" customHeight="1" x14ac:dyDescent="0.3">
      <c r="C39" s="2"/>
      <c r="D39" s="2"/>
      <c r="E39" s="10">
        <f>SUM(E33:E37)</f>
        <v>0</v>
      </c>
      <c r="H39" s="5"/>
      <c r="N39" s="21"/>
    </row>
    <row r="41" spans="3:37" ht="21.75" customHeight="1" x14ac:dyDescent="0.3">
      <c r="E41" s="11" t="str">
        <f>IF(E39=AK30,"BENAR","SALAH")</f>
        <v>BENAR</v>
      </c>
    </row>
    <row r="43" spans="3:37" x14ac:dyDescent="0.3">
      <c r="E43" s="24"/>
    </row>
    <row r="44" spans="3:37" x14ac:dyDescent="0.3">
      <c r="E44" s="5"/>
    </row>
    <row r="46" spans="3:37" x14ac:dyDescent="0.3">
      <c r="E46" s="25"/>
    </row>
    <row r="48" spans="3:37" x14ac:dyDescent="0.3">
      <c r="E48" s="26"/>
    </row>
    <row r="50" spans="5:5" x14ac:dyDescent="0.3">
      <c r="E50" s="25"/>
    </row>
  </sheetData>
  <mergeCells count="10">
    <mergeCell ref="AA33:AC33"/>
    <mergeCell ref="AH33:AI33"/>
    <mergeCell ref="T35:V35"/>
    <mergeCell ref="AA37:AC37"/>
    <mergeCell ref="AH37:AI37"/>
    <mergeCell ref="D2:D3"/>
    <mergeCell ref="E2:E3"/>
    <mergeCell ref="F2:AJ2"/>
    <mergeCell ref="AK2:AK3"/>
    <mergeCell ref="AL2:AL3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P118"/>
  <sheetViews>
    <sheetView topLeftCell="J94" workbookViewId="0">
      <selection activeCell="R118" sqref="R118"/>
    </sheetView>
  </sheetViews>
  <sheetFormatPr defaultColWidth="8.88671875" defaultRowHeight="13.8" x14ac:dyDescent="0.3"/>
  <cols>
    <col min="1" max="1" width="8.88671875" style="64"/>
    <col min="2" max="2" width="16.109375" style="64" customWidth="1"/>
    <col min="3" max="3" width="8.88671875" style="64"/>
    <col min="4" max="6" width="16.6640625" style="64" customWidth="1"/>
    <col min="7" max="7" width="12.33203125" style="64" customWidth="1"/>
    <col min="8" max="8" width="15.5546875" style="64" bestFit="1" customWidth="1"/>
    <col min="9" max="10" width="14.5546875" style="64" bestFit="1" customWidth="1"/>
    <col min="11" max="11" width="16.109375" style="64" customWidth="1"/>
    <col min="12" max="14" width="8.88671875" style="64"/>
    <col min="15" max="15" width="23.6640625" style="64" bestFit="1" customWidth="1"/>
    <col min="16" max="16" width="15.6640625" style="64" customWidth="1"/>
    <col min="17" max="16384" width="8.88671875" style="64"/>
  </cols>
  <sheetData>
    <row r="1" spans="1:16" ht="33.75" customHeight="1" x14ac:dyDescent="0.3">
      <c r="K1" s="64" t="s">
        <v>96</v>
      </c>
    </row>
    <row r="2" spans="1:16" x14ac:dyDescent="0.3">
      <c r="B2" s="64">
        <v>1</v>
      </c>
      <c r="C2" s="64">
        <v>2</v>
      </c>
      <c r="D2" s="64">
        <v>3</v>
      </c>
      <c r="E2" s="64">
        <v>4</v>
      </c>
      <c r="F2" s="64">
        <v>5</v>
      </c>
      <c r="G2" s="64">
        <v>6</v>
      </c>
      <c r="H2" s="64">
        <v>7</v>
      </c>
      <c r="I2" s="64">
        <v>8</v>
      </c>
      <c r="J2" s="64">
        <v>9</v>
      </c>
      <c r="K2" s="64">
        <v>10</v>
      </c>
      <c r="O2" s="64" t="s">
        <v>348</v>
      </c>
      <c r="P2" s="64" t="s">
        <v>349</v>
      </c>
    </row>
    <row r="3" spans="1:16" x14ac:dyDescent="0.3">
      <c r="A3" s="64" t="s">
        <v>1</v>
      </c>
      <c r="B3" s="64" t="s">
        <v>88</v>
      </c>
      <c r="C3" s="64" t="s">
        <v>97</v>
      </c>
      <c r="D3" s="64" t="s">
        <v>98</v>
      </c>
      <c r="E3" s="64" t="s">
        <v>99</v>
      </c>
      <c r="F3" s="64" t="s">
        <v>100</v>
      </c>
      <c r="G3" s="64" t="s">
        <v>101</v>
      </c>
      <c r="H3" s="64" t="s">
        <v>102</v>
      </c>
      <c r="I3" s="64" t="s">
        <v>103</v>
      </c>
      <c r="J3" s="64" t="s">
        <v>104</v>
      </c>
      <c r="K3" s="64" t="s">
        <v>105</v>
      </c>
      <c r="O3" s="64" t="s">
        <v>186</v>
      </c>
      <c r="P3" s="64" t="s">
        <v>150</v>
      </c>
    </row>
    <row r="4" spans="1:16" x14ac:dyDescent="0.3">
      <c r="B4" s="64">
        <v>1</v>
      </c>
      <c r="C4" s="64">
        <v>2</v>
      </c>
      <c r="D4" s="64">
        <v>3</v>
      </c>
      <c r="E4" s="64">
        <v>4</v>
      </c>
      <c r="F4" s="64">
        <v>5</v>
      </c>
      <c r="G4" s="64">
        <v>6</v>
      </c>
      <c r="H4" s="64">
        <v>7</v>
      </c>
      <c r="I4" s="64">
        <v>8</v>
      </c>
      <c r="J4" s="64">
        <v>9</v>
      </c>
      <c r="O4" s="64" t="s">
        <v>187</v>
      </c>
      <c r="P4" s="64" t="s">
        <v>150</v>
      </c>
    </row>
    <row r="5" spans="1:16" x14ac:dyDescent="0.3">
      <c r="D5" s="64" t="s">
        <v>106</v>
      </c>
      <c r="E5" s="64" t="s">
        <v>107</v>
      </c>
      <c r="F5" s="64" t="s">
        <v>108</v>
      </c>
      <c r="O5" s="64" t="s">
        <v>188</v>
      </c>
      <c r="P5" s="64" t="s">
        <v>150</v>
      </c>
    </row>
    <row r="6" spans="1:16" x14ac:dyDescent="0.3">
      <c r="A6" s="64">
        <v>1</v>
      </c>
      <c r="B6" s="64" t="s">
        <v>109</v>
      </c>
      <c r="C6" s="64">
        <v>20</v>
      </c>
      <c r="D6" s="52">
        <v>16.543152168668435</v>
      </c>
      <c r="E6" s="52">
        <v>19.508378654264426</v>
      </c>
      <c r="F6" s="52">
        <v>35.370447619781672</v>
      </c>
      <c r="G6" s="64" t="s">
        <v>110</v>
      </c>
      <c r="H6" s="53">
        <v>239875.70644569231</v>
      </c>
      <c r="I6" s="53">
        <v>282871.4904868342</v>
      </c>
      <c r="J6" s="53">
        <v>512871.49048683426</v>
      </c>
      <c r="K6" s="54">
        <v>275000</v>
      </c>
      <c r="M6" s="64">
        <v>200</v>
      </c>
      <c r="O6" s="64" t="s">
        <v>279</v>
      </c>
      <c r="P6" s="64" t="s">
        <v>150</v>
      </c>
    </row>
    <row r="7" spans="1:16" x14ac:dyDescent="0.3">
      <c r="A7" s="64">
        <v>2</v>
      </c>
      <c r="B7" s="64" t="s">
        <v>111</v>
      </c>
      <c r="C7" s="64">
        <v>22</v>
      </c>
      <c r="D7" s="55">
        <v>23.225358812897611</v>
      </c>
      <c r="E7" s="55">
        <v>26.190585298493609</v>
      </c>
      <c r="F7" s="55">
        <v>43.638861160562577</v>
      </c>
      <c r="G7" s="64" t="s">
        <v>110</v>
      </c>
      <c r="H7" s="53">
        <v>336767.70278701535</v>
      </c>
      <c r="I7" s="53">
        <v>379763.48682815733</v>
      </c>
      <c r="J7" s="53">
        <v>632763.48682815733</v>
      </c>
      <c r="K7" s="54">
        <v>275000</v>
      </c>
      <c r="M7" s="64">
        <v>200</v>
      </c>
      <c r="O7" s="64" t="s">
        <v>287</v>
      </c>
      <c r="P7" s="64" t="s">
        <v>113</v>
      </c>
    </row>
    <row r="8" spans="1:16" x14ac:dyDescent="0.3">
      <c r="A8" s="64">
        <v>3</v>
      </c>
      <c r="B8" s="64" t="s">
        <v>112</v>
      </c>
      <c r="C8" s="64">
        <v>30</v>
      </c>
      <c r="D8" s="52">
        <v>41.215220187976122</v>
      </c>
      <c r="E8" s="52">
        <v>44.180446673572121</v>
      </c>
      <c r="F8" s="52">
        <v>69.559757018399708</v>
      </c>
      <c r="G8" s="64" t="s">
        <v>110</v>
      </c>
      <c r="H8" s="53">
        <v>597620.69272565376</v>
      </c>
      <c r="I8" s="53">
        <v>640616.47676679573</v>
      </c>
      <c r="J8" s="53">
        <v>1008616.4767667957</v>
      </c>
      <c r="K8" s="54">
        <v>400000</v>
      </c>
      <c r="M8" s="64">
        <v>300</v>
      </c>
      <c r="O8" s="64" t="s">
        <v>314</v>
      </c>
      <c r="P8" s="64" t="s">
        <v>113</v>
      </c>
    </row>
    <row r="9" spans="1:16" x14ac:dyDescent="0.3">
      <c r="A9" s="64">
        <v>4</v>
      </c>
      <c r="B9" s="64" t="s">
        <v>113</v>
      </c>
      <c r="C9" s="64">
        <v>38</v>
      </c>
      <c r="D9" s="56">
        <v>58.29</v>
      </c>
      <c r="E9" s="56">
        <v>61.6</v>
      </c>
      <c r="F9" s="56">
        <v>87.81</v>
      </c>
      <c r="G9" s="64" t="s">
        <v>110</v>
      </c>
      <c r="H9" s="53">
        <v>845205</v>
      </c>
      <c r="I9" s="53">
        <v>893200</v>
      </c>
      <c r="J9" s="53">
        <v>1273245</v>
      </c>
      <c r="K9" s="53">
        <v>950000</v>
      </c>
      <c r="M9" s="64">
        <v>400</v>
      </c>
      <c r="O9" s="64" t="s">
        <v>280</v>
      </c>
      <c r="P9" s="64" t="s">
        <v>113</v>
      </c>
    </row>
    <row r="10" spans="1:16" x14ac:dyDescent="0.3">
      <c r="A10" s="64">
        <v>5</v>
      </c>
      <c r="B10" s="65" t="s">
        <v>150</v>
      </c>
      <c r="C10" s="65">
        <v>45</v>
      </c>
      <c r="D10" s="66">
        <v>63.54</v>
      </c>
      <c r="E10" s="66">
        <v>66.849999999999994</v>
      </c>
      <c r="F10" s="66">
        <v>98.05</v>
      </c>
      <c r="G10" s="65" t="s">
        <v>110</v>
      </c>
      <c r="H10" s="53">
        <v>921330</v>
      </c>
      <c r="I10" s="53">
        <v>969324.99999999988</v>
      </c>
      <c r="J10" s="53">
        <v>1421725</v>
      </c>
      <c r="K10" s="67">
        <v>1000000</v>
      </c>
      <c r="O10" s="64" t="s">
        <v>189</v>
      </c>
      <c r="P10" s="64" t="s">
        <v>113</v>
      </c>
    </row>
    <row r="11" spans="1:16" x14ac:dyDescent="0.3">
      <c r="A11" s="64">
        <v>6</v>
      </c>
      <c r="B11" s="64" t="s">
        <v>114</v>
      </c>
      <c r="C11" s="64">
        <v>20</v>
      </c>
      <c r="D11" s="56">
        <v>17.650196458586205</v>
      </c>
      <c r="E11" s="56">
        <v>20.6154229441822</v>
      </c>
      <c r="F11" s="56">
        <v>36.477491909699445</v>
      </c>
      <c r="G11" s="64" t="s">
        <v>110</v>
      </c>
      <c r="H11" s="53">
        <v>255927.84864949997</v>
      </c>
      <c r="I11" s="53">
        <v>298923.63269064191</v>
      </c>
      <c r="J11" s="53">
        <v>528923.63269064191</v>
      </c>
      <c r="K11" s="54">
        <v>275000</v>
      </c>
      <c r="M11" s="64">
        <v>200</v>
      </c>
      <c r="O11" s="64" t="s">
        <v>288</v>
      </c>
      <c r="P11" s="64" t="s">
        <v>113</v>
      </c>
    </row>
    <row r="12" spans="1:16" x14ac:dyDescent="0.3">
      <c r="A12" s="64">
        <v>7</v>
      </c>
      <c r="B12" s="64" t="s">
        <v>115</v>
      </c>
      <c r="C12" s="64">
        <v>28</v>
      </c>
      <c r="D12" s="56">
        <v>34.235023413986731</v>
      </c>
      <c r="E12" s="56">
        <v>37.20024989958273</v>
      </c>
      <c r="F12" s="56">
        <v>59.407146451306865</v>
      </c>
      <c r="G12" s="64" t="s">
        <v>110</v>
      </c>
      <c r="H12" s="53">
        <v>496407.83950280759</v>
      </c>
      <c r="I12" s="53">
        <v>539403.62354394956</v>
      </c>
      <c r="J12" s="53">
        <v>861403.62354394956</v>
      </c>
      <c r="K12" s="54">
        <v>400000</v>
      </c>
      <c r="O12" s="64" t="s">
        <v>190</v>
      </c>
      <c r="P12" s="64" t="s">
        <v>112</v>
      </c>
    </row>
    <row r="13" spans="1:16" x14ac:dyDescent="0.3">
      <c r="A13" s="64">
        <v>8</v>
      </c>
      <c r="B13" s="64" t="s">
        <v>116</v>
      </c>
      <c r="C13" s="64">
        <v>30</v>
      </c>
      <c r="D13" s="56">
        <v>98.227887364718683</v>
      </c>
      <c r="E13" s="56">
        <v>101.53794143652156</v>
      </c>
      <c r="F13" s="56">
        <v>127.71035522962501</v>
      </c>
      <c r="G13" s="64" t="s">
        <v>117</v>
      </c>
      <c r="H13" s="53">
        <v>1424304.3667884208</v>
      </c>
      <c r="I13" s="53">
        <v>1472300.1508295627</v>
      </c>
      <c r="J13" s="53">
        <v>1851800.1508295627</v>
      </c>
      <c r="K13" s="53">
        <v>1424304.3667884208</v>
      </c>
      <c r="O13" s="64" t="s">
        <v>344</v>
      </c>
      <c r="P13" s="64" t="s">
        <v>112</v>
      </c>
    </row>
    <row r="14" spans="1:16" x14ac:dyDescent="0.3">
      <c r="A14" s="64">
        <v>9</v>
      </c>
      <c r="B14" s="64" t="s">
        <v>118</v>
      </c>
      <c r="C14" s="64">
        <v>30</v>
      </c>
      <c r="D14" s="56">
        <v>42.330991099155035</v>
      </c>
      <c r="E14" s="56">
        <v>45.296217584751034</v>
      </c>
      <c r="F14" s="56">
        <v>69.089321033026891</v>
      </c>
      <c r="G14" s="64" t="s">
        <v>119</v>
      </c>
      <c r="H14" s="53">
        <v>613799.370937748</v>
      </c>
      <c r="I14" s="53">
        <v>656795.15497888997</v>
      </c>
      <c r="J14" s="53">
        <v>1001795.15497889</v>
      </c>
      <c r="K14" s="54">
        <v>425000</v>
      </c>
      <c r="O14" s="64" t="s">
        <v>302</v>
      </c>
      <c r="P14" s="64" t="s">
        <v>112</v>
      </c>
    </row>
    <row r="15" spans="1:16" x14ac:dyDescent="0.3">
      <c r="A15" s="64">
        <v>10</v>
      </c>
      <c r="B15" s="64" t="s">
        <v>120</v>
      </c>
      <c r="C15" s="64">
        <v>33</v>
      </c>
      <c r="D15" s="56">
        <v>42.779234898714847</v>
      </c>
      <c r="E15" s="56">
        <v>45.744461384310853</v>
      </c>
      <c r="F15" s="56">
        <v>71.916875177414298</v>
      </c>
      <c r="G15" s="64" t="s">
        <v>119</v>
      </c>
      <c r="H15" s="53">
        <v>620298.90603136527</v>
      </c>
      <c r="I15" s="53">
        <v>663294.69007250736</v>
      </c>
      <c r="J15" s="53">
        <v>1042794.6900725074</v>
      </c>
      <c r="K15" s="54">
        <v>425000</v>
      </c>
      <c r="O15" s="64" t="s">
        <v>289</v>
      </c>
      <c r="P15" s="64" t="s">
        <v>112</v>
      </c>
    </row>
    <row r="16" spans="1:16" x14ac:dyDescent="0.3">
      <c r="A16" s="64">
        <v>11</v>
      </c>
      <c r="B16" s="64" t="s">
        <v>121</v>
      </c>
      <c r="C16" s="64">
        <v>15</v>
      </c>
      <c r="D16" s="56">
        <v>32.851040611188708</v>
      </c>
      <c r="E16" s="56">
        <v>35.816267096784706</v>
      </c>
      <c r="F16" s="56">
        <v>47.712818820922635</v>
      </c>
      <c r="G16" s="64" t="s">
        <v>122</v>
      </c>
      <c r="H16" s="53">
        <v>476340.08886223624</v>
      </c>
      <c r="I16" s="53">
        <v>519335.87290337821</v>
      </c>
      <c r="J16" s="53">
        <v>691835.87290337821</v>
      </c>
      <c r="K16" s="54">
        <v>350000</v>
      </c>
      <c r="O16" s="64" t="s">
        <v>303</v>
      </c>
      <c r="P16" s="64" t="s">
        <v>112</v>
      </c>
    </row>
    <row r="17" spans="1:16" x14ac:dyDescent="0.3">
      <c r="A17" s="64">
        <v>12</v>
      </c>
      <c r="B17" s="64" t="s">
        <v>123</v>
      </c>
      <c r="C17" s="64">
        <v>11</v>
      </c>
      <c r="D17" s="56">
        <v>13.198075497496305</v>
      </c>
      <c r="E17" s="56">
        <v>16.1633019830923</v>
      </c>
      <c r="F17" s="56">
        <v>24.094336465850922</v>
      </c>
      <c r="G17" s="64" t="s">
        <v>124</v>
      </c>
      <c r="H17" s="53">
        <v>191372.09471369642</v>
      </c>
      <c r="I17" s="53">
        <v>234367.87875483834</v>
      </c>
      <c r="J17" s="53">
        <v>349367.87875483837</v>
      </c>
      <c r="K17" s="54">
        <v>220000</v>
      </c>
      <c r="O17" s="64" t="s">
        <v>304</v>
      </c>
      <c r="P17" s="64" t="s">
        <v>112</v>
      </c>
    </row>
    <row r="18" spans="1:16" x14ac:dyDescent="0.3">
      <c r="A18" s="64">
        <v>13</v>
      </c>
      <c r="B18" s="64" t="s">
        <v>125</v>
      </c>
      <c r="C18" s="64">
        <v>11</v>
      </c>
      <c r="D18" s="56">
        <v>9.9396573133956743</v>
      </c>
      <c r="E18" s="56">
        <v>12.904883798991671</v>
      </c>
      <c r="F18" s="56">
        <v>20.835918281750292</v>
      </c>
      <c r="G18" s="64" t="s">
        <v>124</v>
      </c>
      <c r="H18" s="53">
        <v>144125.03104423729</v>
      </c>
      <c r="I18" s="53">
        <v>187120.81508537923</v>
      </c>
      <c r="J18" s="53">
        <v>302120.81508537923</v>
      </c>
      <c r="K18" s="54">
        <v>220000</v>
      </c>
      <c r="O18" s="64" t="s">
        <v>315</v>
      </c>
      <c r="P18" s="64" t="s">
        <v>112</v>
      </c>
    </row>
    <row r="19" spans="1:16" x14ac:dyDescent="0.3">
      <c r="A19" s="64">
        <v>14</v>
      </c>
      <c r="B19" s="64" t="s">
        <v>126</v>
      </c>
      <c r="C19" s="64">
        <v>11</v>
      </c>
      <c r="D19" s="56">
        <v>8.6243115698869737</v>
      </c>
      <c r="E19" s="56">
        <v>11.58953805548297</v>
      </c>
      <c r="F19" s="56">
        <v>19.520572538241591</v>
      </c>
      <c r="G19" s="64" t="s">
        <v>124</v>
      </c>
      <c r="H19" s="53">
        <v>125052.51776336112</v>
      </c>
      <c r="I19" s="53">
        <v>168048.30180450308</v>
      </c>
      <c r="J19" s="53">
        <v>283048.30180450308</v>
      </c>
      <c r="O19" s="64" t="s">
        <v>191</v>
      </c>
      <c r="P19" s="64" t="s">
        <v>115</v>
      </c>
    </row>
    <row r="20" spans="1:16" x14ac:dyDescent="0.3">
      <c r="A20" s="64">
        <v>15</v>
      </c>
      <c r="B20" s="64" t="s">
        <v>127</v>
      </c>
      <c r="C20" s="64">
        <v>20</v>
      </c>
      <c r="D20" s="56">
        <v>12.869935559578513</v>
      </c>
      <c r="E20" s="56">
        <v>15.835162045174506</v>
      </c>
      <c r="F20" s="56">
        <v>31.697231010691752</v>
      </c>
      <c r="G20" s="64" t="s">
        <v>128</v>
      </c>
      <c r="H20" s="53">
        <v>186614.06561388844</v>
      </c>
      <c r="I20" s="53">
        <v>229609.84965503035</v>
      </c>
      <c r="J20" s="53">
        <v>459609.84965503041</v>
      </c>
      <c r="O20" s="64" t="s">
        <v>192</v>
      </c>
      <c r="P20" s="64" t="s">
        <v>115</v>
      </c>
    </row>
    <row r="21" spans="1:16" x14ac:dyDescent="0.3">
      <c r="A21" s="64">
        <v>16</v>
      </c>
      <c r="B21" s="64" t="s">
        <v>129</v>
      </c>
      <c r="C21" s="64">
        <v>20</v>
      </c>
      <c r="D21" s="56">
        <v>34.014481497007949</v>
      </c>
      <c r="E21" s="56">
        <v>36.979707982603948</v>
      </c>
      <c r="F21" s="56">
        <v>52.841776948121193</v>
      </c>
      <c r="G21" s="64" t="s">
        <v>128</v>
      </c>
      <c r="H21" s="53">
        <v>493209.98170661525</v>
      </c>
      <c r="I21" s="53">
        <v>536205.76574775728</v>
      </c>
      <c r="J21" s="53">
        <v>766205.76574775728</v>
      </c>
      <c r="O21" s="64" t="s">
        <v>305</v>
      </c>
      <c r="P21" s="64" t="s">
        <v>111</v>
      </c>
    </row>
    <row r="22" spans="1:16" x14ac:dyDescent="0.3">
      <c r="A22" s="64">
        <v>17</v>
      </c>
      <c r="B22" s="64" t="s">
        <v>130</v>
      </c>
      <c r="C22" s="64">
        <v>15</v>
      </c>
      <c r="D22" s="56">
        <v>17.340346563348103</v>
      </c>
      <c r="E22" s="56">
        <v>18.94828557481604</v>
      </c>
      <c r="F22" s="56">
        <v>30.051733850678108</v>
      </c>
      <c r="G22" s="64" t="s">
        <v>131</v>
      </c>
      <c r="H22" s="53">
        <v>251435.02516854749</v>
      </c>
      <c r="I22" s="53">
        <v>274750.14083483256</v>
      </c>
      <c r="J22" s="53">
        <v>435750.14083483256</v>
      </c>
      <c r="K22" s="54">
        <v>210000</v>
      </c>
      <c r="O22" s="64" t="s">
        <v>306</v>
      </c>
      <c r="P22" s="64" t="s">
        <v>111</v>
      </c>
    </row>
    <row r="23" spans="1:16" x14ac:dyDescent="0.3">
      <c r="A23" s="64">
        <v>18</v>
      </c>
      <c r="B23" s="64" t="s">
        <v>132</v>
      </c>
      <c r="C23" s="64">
        <v>20</v>
      </c>
      <c r="D23" s="56">
        <v>31.171772542920422</v>
      </c>
      <c r="E23" s="56">
        <v>32.952125347491801</v>
      </c>
      <c r="F23" s="56">
        <v>48.814194313009047</v>
      </c>
      <c r="G23" s="64" t="s">
        <v>131</v>
      </c>
      <c r="H23" s="53">
        <v>451990.70187234611</v>
      </c>
      <c r="I23" s="53">
        <v>477805.81753863109</v>
      </c>
      <c r="J23" s="53">
        <v>707805.81753863115</v>
      </c>
      <c r="K23" s="54">
        <v>460000</v>
      </c>
      <c r="O23" s="64" t="s">
        <v>307</v>
      </c>
      <c r="P23" s="64" t="s">
        <v>111</v>
      </c>
    </row>
    <row r="24" spans="1:16" x14ac:dyDescent="0.3">
      <c r="A24" s="64">
        <v>19</v>
      </c>
      <c r="B24" s="65" t="s">
        <v>151</v>
      </c>
      <c r="C24" s="65">
        <v>28</v>
      </c>
      <c r="D24" s="66">
        <v>32.42</v>
      </c>
      <c r="E24" s="66">
        <v>34.21</v>
      </c>
      <c r="F24" s="66">
        <v>53.52</v>
      </c>
      <c r="G24" s="65" t="s">
        <v>131</v>
      </c>
      <c r="H24" s="53">
        <v>470090</v>
      </c>
      <c r="I24" s="53">
        <v>496045</v>
      </c>
      <c r="J24" s="53">
        <v>776040</v>
      </c>
      <c r="K24" s="68">
        <v>500000</v>
      </c>
      <c r="O24" s="64" t="s">
        <v>308</v>
      </c>
      <c r="P24" s="64" t="s">
        <v>111</v>
      </c>
    </row>
    <row r="25" spans="1:16" x14ac:dyDescent="0.3">
      <c r="A25" s="64">
        <v>20</v>
      </c>
      <c r="B25" s="64" t="s">
        <v>38</v>
      </c>
      <c r="C25" s="64">
        <v>10</v>
      </c>
      <c r="D25" s="57"/>
      <c r="E25" s="57"/>
      <c r="F25" s="57"/>
      <c r="H25" s="53">
        <v>8000000</v>
      </c>
      <c r="I25" s="53"/>
      <c r="J25" s="53"/>
      <c r="K25" s="53">
        <v>8000000</v>
      </c>
      <c r="O25" s="64" t="s">
        <v>309</v>
      </c>
      <c r="P25" s="64" t="s">
        <v>111</v>
      </c>
    </row>
    <row r="26" spans="1:16" x14ac:dyDescent="0.3">
      <c r="A26" s="64">
        <v>21</v>
      </c>
      <c r="B26" s="64" t="s">
        <v>133</v>
      </c>
      <c r="C26" s="64">
        <v>4</v>
      </c>
      <c r="D26" s="57"/>
      <c r="E26" s="57"/>
      <c r="F26" s="57"/>
      <c r="H26" s="53">
        <v>3000000</v>
      </c>
      <c r="I26" s="53"/>
      <c r="J26" s="53"/>
      <c r="K26" s="53">
        <v>3000000</v>
      </c>
      <c r="O26" s="64" t="s">
        <v>193</v>
      </c>
      <c r="P26" s="64" t="s">
        <v>111</v>
      </c>
    </row>
    <row r="27" spans="1:16" x14ac:dyDescent="0.3">
      <c r="A27" s="65">
        <v>22</v>
      </c>
      <c r="B27" s="64" t="s">
        <v>152</v>
      </c>
      <c r="C27" s="65">
        <v>10</v>
      </c>
      <c r="D27" s="65"/>
      <c r="E27" s="65"/>
      <c r="F27" s="65"/>
      <c r="G27" s="65"/>
      <c r="H27" s="53">
        <v>12000000</v>
      </c>
      <c r="K27" s="53">
        <f>Table2[[#This Row],[Column4]]</f>
        <v>12000000</v>
      </c>
      <c r="O27" s="64" t="s">
        <v>194</v>
      </c>
      <c r="P27" s="64" t="s">
        <v>111</v>
      </c>
    </row>
    <row r="28" spans="1:16" x14ac:dyDescent="0.3">
      <c r="A28" s="209" t="s">
        <v>134</v>
      </c>
      <c r="B28" s="209"/>
      <c r="C28" s="209"/>
      <c r="O28" s="64" t="s">
        <v>345</v>
      </c>
      <c r="P28" s="64" t="s">
        <v>111</v>
      </c>
    </row>
    <row r="29" spans="1:16" x14ac:dyDescent="0.3">
      <c r="J29" s="154" t="s">
        <v>354</v>
      </c>
      <c r="O29" s="64" t="s">
        <v>195</v>
      </c>
      <c r="P29" s="64" t="s">
        <v>109</v>
      </c>
    </row>
    <row r="30" spans="1:16" ht="14.4" thickBot="1" x14ac:dyDescent="0.35">
      <c r="A30" s="58" t="s">
        <v>1</v>
      </c>
      <c r="B30" s="59" t="s">
        <v>88</v>
      </c>
      <c r="C30" s="59" t="s">
        <v>135</v>
      </c>
      <c r="O30" s="64" t="s">
        <v>196</v>
      </c>
      <c r="P30" s="64" t="s">
        <v>114</v>
      </c>
    </row>
    <row r="31" spans="1:16" ht="14.4" thickTop="1" x14ac:dyDescent="0.3">
      <c r="A31" s="64">
        <v>1</v>
      </c>
      <c r="B31" s="64" t="s">
        <v>136</v>
      </c>
      <c r="C31" s="60">
        <v>24</v>
      </c>
      <c r="O31" s="64" t="s">
        <v>290</v>
      </c>
      <c r="P31" s="64" t="s">
        <v>114</v>
      </c>
    </row>
    <row r="32" spans="1:16" x14ac:dyDescent="0.3">
      <c r="A32" s="64">
        <v>2</v>
      </c>
      <c r="B32" s="64" t="s">
        <v>137</v>
      </c>
      <c r="C32" s="60">
        <v>16</v>
      </c>
      <c r="O32" s="64" t="s">
        <v>197</v>
      </c>
      <c r="P32" s="64" t="s">
        <v>114</v>
      </c>
    </row>
    <row r="33" spans="1:16" x14ac:dyDescent="0.3">
      <c r="A33" s="64">
        <v>3</v>
      </c>
      <c r="B33" s="61" t="s">
        <v>138</v>
      </c>
      <c r="C33" s="60">
        <v>8</v>
      </c>
      <c r="O33" s="64" t="s">
        <v>198</v>
      </c>
      <c r="P33" s="64" t="s">
        <v>114</v>
      </c>
    </row>
    <row r="34" spans="1:16" x14ac:dyDescent="0.3">
      <c r="A34" s="64">
        <v>4</v>
      </c>
      <c r="B34" s="64" t="s">
        <v>139</v>
      </c>
      <c r="C34" s="60">
        <v>16</v>
      </c>
      <c r="O34" s="64" t="s">
        <v>199</v>
      </c>
      <c r="P34" s="64" t="s">
        <v>114</v>
      </c>
    </row>
    <row r="35" spans="1:16" x14ac:dyDescent="0.3">
      <c r="A35" s="64">
        <v>5</v>
      </c>
      <c r="B35" s="64" t="s">
        <v>140</v>
      </c>
      <c r="C35" s="60">
        <v>8</v>
      </c>
      <c r="O35" s="64" t="s">
        <v>200</v>
      </c>
      <c r="P35" s="64" t="s">
        <v>114</v>
      </c>
    </row>
    <row r="36" spans="1:16" x14ac:dyDescent="0.3">
      <c r="O36" s="64" t="s">
        <v>201</v>
      </c>
      <c r="P36" s="64" t="s">
        <v>114</v>
      </c>
    </row>
    <row r="37" spans="1:16" x14ac:dyDescent="0.3">
      <c r="O37" s="64" t="s">
        <v>202</v>
      </c>
      <c r="P37" s="64" t="s">
        <v>114</v>
      </c>
    </row>
    <row r="38" spans="1:16" x14ac:dyDescent="0.3">
      <c r="B38" s="64">
        <v>14652.34</v>
      </c>
      <c r="O38" s="64" t="s">
        <v>203</v>
      </c>
      <c r="P38" s="64" t="s">
        <v>114</v>
      </c>
    </row>
    <row r="39" spans="1:16" x14ac:dyDescent="0.3">
      <c r="O39" s="64" t="s">
        <v>204</v>
      </c>
      <c r="P39" s="64" t="s">
        <v>114</v>
      </c>
    </row>
    <row r="40" spans="1:16" x14ac:dyDescent="0.3">
      <c r="O40" s="64" t="s">
        <v>300</v>
      </c>
      <c r="P40" s="64" t="s">
        <v>116</v>
      </c>
    </row>
    <row r="41" spans="1:16" x14ac:dyDescent="0.3">
      <c r="O41" s="64" t="s">
        <v>319</v>
      </c>
      <c r="P41" s="64" t="s">
        <v>116</v>
      </c>
    </row>
    <row r="42" spans="1:16" x14ac:dyDescent="0.3">
      <c r="O42" s="64" t="s">
        <v>291</v>
      </c>
      <c r="P42" s="64" t="s">
        <v>116</v>
      </c>
    </row>
    <row r="43" spans="1:16" x14ac:dyDescent="0.3">
      <c r="O43" s="64" t="s">
        <v>301</v>
      </c>
      <c r="P43" s="64" t="s">
        <v>116</v>
      </c>
    </row>
    <row r="44" spans="1:16" x14ac:dyDescent="0.3">
      <c r="O44" s="64" t="s">
        <v>292</v>
      </c>
      <c r="P44" s="64" t="s">
        <v>116</v>
      </c>
    </row>
    <row r="45" spans="1:16" x14ac:dyDescent="0.3">
      <c r="O45" s="64" t="s">
        <v>293</v>
      </c>
      <c r="P45" s="64" t="s">
        <v>116</v>
      </c>
    </row>
    <row r="46" spans="1:16" x14ac:dyDescent="0.3">
      <c r="O46" s="64" t="s">
        <v>294</v>
      </c>
      <c r="P46" s="64" t="s">
        <v>116</v>
      </c>
    </row>
    <row r="47" spans="1:16" x14ac:dyDescent="0.3">
      <c r="O47" s="64" t="s">
        <v>205</v>
      </c>
      <c r="P47" s="64" t="s">
        <v>116</v>
      </c>
    </row>
    <row r="48" spans="1:16" x14ac:dyDescent="0.3">
      <c r="O48" s="64" t="s">
        <v>206</v>
      </c>
      <c r="P48" s="64" t="s">
        <v>116</v>
      </c>
    </row>
    <row r="49" spans="15:16" x14ac:dyDescent="0.3">
      <c r="O49" s="64" t="s">
        <v>207</v>
      </c>
      <c r="P49" s="64" t="s">
        <v>116</v>
      </c>
    </row>
    <row r="50" spans="15:16" x14ac:dyDescent="0.3">
      <c r="O50" s="64" t="s">
        <v>208</v>
      </c>
      <c r="P50" s="64" t="s">
        <v>116</v>
      </c>
    </row>
    <row r="51" spans="15:16" x14ac:dyDescent="0.3">
      <c r="O51" s="64" t="s">
        <v>209</v>
      </c>
      <c r="P51" s="64" t="s">
        <v>116</v>
      </c>
    </row>
    <row r="52" spans="15:16" x14ac:dyDescent="0.3">
      <c r="O52" s="64" t="s">
        <v>210</v>
      </c>
      <c r="P52" s="64" t="s">
        <v>116</v>
      </c>
    </row>
    <row r="53" spans="15:16" x14ac:dyDescent="0.3">
      <c r="O53" s="64" t="s">
        <v>211</v>
      </c>
      <c r="P53" s="64" t="s">
        <v>116</v>
      </c>
    </row>
    <row r="54" spans="15:16" x14ac:dyDescent="0.3">
      <c r="O54" s="64" t="s">
        <v>212</v>
      </c>
      <c r="P54" s="64" t="s">
        <v>116</v>
      </c>
    </row>
    <row r="55" spans="15:16" x14ac:dyDescent="0.3">
      <c r="O55" s="64" t="s">
        <v>213</v>
      </c>
      <c r="P55" s="64" t="s">
        <v>116</v>
      </c>
    </row>
    <row r="56" spans="15:16" x14ac:dyDescent="0.3">
      <c r="O56" s="64" t="s">
        <v>214</v>
      </c>
      <c r="P56" s="64" t="s">
        <v>116</v>
      </c>
    </row>
    <row r="57" spans="15:16" x14ac:dyDescent="0.3">
      <c r="O57" s="64" t="s">
        <v>215</v>
      </c>
      <c r="P57" s="64" t="s">
        <v>116</v>
      </c>
    </row>
    <row r="58" spans="15:16" x14ac:dyDescent="0.3">
      <c r="O58" s="64" t="s">
        <v>216</v>
      </c>
      <c r="P58" s="64" t="s">
        <v>116</v>
      </c>
    </row>
    <row r="59" spans="15:16" x14ac:dyDescent="0.3">
      <c r="O59" s="64" t="s">
        <v>217</v>
      </c>
      <c r="P59" s="64" t="s">
        <v>116</v>
      </c>
    </row>
    <row r="60" spans="15:16" x14ac:dyDescent="0.3">
      <c r="O60" s="64" t="s">
        <v>218</v>
      </c>
      <c r="P60" s="64" t="s">
        <v>116</v>
      </c>
    </row>
    <row r="61" spans="15:16" x14ac:dyDescent="0.3">
      <c r="O61" s="64" t="s">
        <v>281</v>
      </c>
      <c r="P61" s="64" t="s">
        <v>116</v>
      </c>
    </row>
    <row r="62" spans="15:16" x14ac:dyDescent="0.3">
      <c r="O62" s="64" t="s">
        <v>282</v>
      </c>
      <c r="P62" s="64" t="s">
        <v>116</v>
      </c>
    </row>
    <row r="63" spans="15:16" x14ac:dyDescent="0.3">
      <c r="O63" s="64" t="s">
        <v>283</v>
      </c>
      <c r="P63" s="64" t="s">
        <v>116</v>
      </c>
    </row>
    <row r="64" spans="15:16" x14ac:dyDescent="0.3">
      <c r="O64" s="64" t="s">
        <v>326</v>
      </c>
      <c r="P64" s="64" t="s">
        <v>120</v>
      </c>
    </row>
    <row r="65" spans="15:16" x14ac:dyDescent="0.3">
      <c r="O65" s="64" t="s">
        <v>295</v>
      </c>
      <c r="P65" s="64" t="s">
        <v>120</v>
      </c>
    </row>
    <row r="66" spans="15:16" x14ac:dyDescent="0.3">
      <c r="O66" s="64" t="s">
        <v>296</v>
      </c>
      <c r="P66" s="64" t="s">
        <v>120</v>
      </c>
    </row>
    <row r="67" spans="15:16" x14ac:dyDescent="0.3">
      <c r="O67" s="64" t="s">
        <v>219</v>
      </c>
      <c r="P67" s="64" t="s">
        <v>120</v>
      </c>
    </row>
    <row r="68" spans="15:16" x14ac:dyDescent="0.3">
      <c r="O68" s="64" t="s">
        <v>220</v>
      </c>
      <c r="P68" s="64" t="s">
        <v>120</v>
      </c>
    </row>
    <row r="69" spans="15:16" x14ac:dyDescent="0.3">
      <c r="O69" s="64" t="s">
        <v>221</v>
      </c>
      <c r="P69" s="64" t="s">
        <v>120</v>
      </c>
    </row>
    <row r="70" spans="15:16" x14ac:dyDescent="0.3">
      <c r="O70" s="64" t="s">
        <v>222</v>
      </c>
      <c r="P70" s="64" t="s">
        <v>120</v>
      </c>
    </row>
    <row r="71" spans="15:16" x14ac:dyDescent="0.3">
      <c r="O71" s="64" t="s">
        <v>284</v>
      </c>
      <c r="P71" s="64" t="s">
        <v>120</v>
      </c>
    </row>
    <row r="72" spans="15:16" x14ac:dyDescent="0.3">
      <c r="O72" s="64" t="s">
        <v>310</v>
      </c>
      <c r="P72" s="64" t="s">
        <v>118</v>
      </c>
    </row>
    <row r="73" spans="15:16" x14ac:dyDescent="0.3">
      <c r="O73" s="64" t="s">
        <v>223</v>
      </c>
      <c r="P73" s="64" t="s">
        <v>118</v>
      </c>
    </row>
    <row r="74" spans="15:16" x14ac:dyDescent="0.3">
      <c r="O74" s="64" t="s">
        <v>297</v>
      </c>
      <c r="P74" s="64" t="s">
        <v>118</v>
      </c>
    </row>
    <row r="75" spans="15:16" x14ac:dyDescent="0.3">
      <c r="O75" s="64" t="s">
        <v>224</v>
      </c>
      <c r="P75" s="64" t="s">
        <v>118</v>
      </c>
    </row>
    <row r="76" spans="15:16" x14ac:dyDescent="0.3">
      <c r="O76" s="64" t="s">
        <v>285</v>
      </c>
      <c r="P76" s="64" t="s">
        <v>118</v>
      </c>
    </row>
    <row r="77" spans="15:16" x14ac:dyDescent="0.3">
      <c r="O77" s="64" t="s">
        <v>225</v>
      </c>
      <c r="P77" s="64" t="s">
        <v>121</v>
      </c>
    </row>
    <row r="78" spans="15:16" x14ac:dyDescent="0.3">
      <c r="O78" s="64" t="s">
        <v>316</v>
      </c>
      <c r="P78" s="64" t="s">
        <v>129</v>
      </c>
    </row>
    <row r="79" spans="15:16" x14ac:dyDescent="0.3">
      <c r="O79" s="64" t="s">
        <v>317</v>
      </c>
      <c r="P79" s="64" t="s">
        <v>123</v>
      </c>
    </row>
    <row r="80" spans="15:16" x14ac:dyDescent="0.3">
      <c r="O80" s="64" t="s">
        <v>327</v>
      </c>
      <c r="P80" s="64" t="s">
        <v>123</v>
      </c>
    </row>
    <row r="81" spans="15:16" x14ac:dyDescent="0.3">
      <c r="O81" s="64" t="s">
        <v>226</v>
      </c>
      <c r="P81" s="64" t="s">
        <v>123</v>
      </c>
    </row>
    <row r="82" spans="15:16" x14ac:dyDescent="0.3">
      <c r="O82" s="64" t="s">
        <v>339</v>
      </c>
      <c r="P82" s="64" t="s">
        <v>38</v>
      </c>
    </row>
    <row r="83" spans="15:16" x14ac:dyDescent="0.3">
      <c r="O83" s="64" t="s">
        <v>271</v>
      </c>
      <c r="P83" s="64" t="s">
        <v>38</v>
      </c>
    </row>
    <row r="84" spans="15:16" x14ac:dyDescent="0.3">
      <c r="O84" s="64" t="s">
        <v>272</v>
      </c>
      <c r="P84" s="64" t="s">
        <v>38</v>
      </c>
    </row>
    <row r="85" spans="15:16" x14ac:dyDescent="0.3">
      <c r="O85" s="64" t="s">
        <v>273</v>
      </c>
      <c r="P85" s="64" t="s">
        <v>38</v>
      </c>
    </row>
    <row r="86" spans="15:16" x14ac:dyDescent="0.3">
      <c r="O86" s="64" t="s">
        <v>286</v>
      </c>
      <c r="P86" s="64" t="s">
        <v>38</v>
      </c>
    </row>
    <row r="87" spans="15:16" x14ac:dyDescent="0.3">
      <c r="O87" s="64" t="s">
        <v>340</v>
      </c>
      <c r="P87" s="64" t="s">
        <v>38</v>
      </c>
    </row>
    <row r="88" spans="15:16" x14ac:dyDescent="0.3">
      <c r="O88" s="64" t="s">
        <v>269</v>
      </c>
      <c r="P88" s="64" t="s">
        <v>38</v>
      </c>
    </row>
    <row r="89" spans="15:16" x14ac:dyDescent="0.3">
      <c r="O89" s="64" t="s">
        <v>313</v>
      </c>
      <c r="P89" s="64" t="s">
        <v>38</v>
      </c>
    </row>
    <row r="90" spans="15:16" x14ac:dyDescent="0.3">
      <c r="O90" s="64" t="s">
        <v>320</v>
      </c>
      <c r="P90" s="64" t="s">
        <v>38</v>
      </c>
    </row>
    <row r="91" spans="15:16" x14ac:dyDescent="0.3">
      <c r="O91" s="64" t="s">
        <v>346</v>
      </c>
      <c r="P91" s="64" t="s">
        <v>38</v>
      </c>
    </row>
    <row r="92" spans="15:16" x14ac:dyDescent="0.3">
      <c r="O92" s="64" t="s">
        <v>321</v>
      </c>
      <c r="P92" s="64" t="s">
        <v>38</v>
      </c>
    </row>
    <row r="93" spans="15:16" x14ac:dyDescent="0.3">
      <c r="O93" s="64" t="s">
        <v>322</v>
      </c>
      <c r="P93" s="64" t="s">
        <v>38</v>
      </c>
    </row>
    <row r="94" spans="15:16" x14ac:dyDescent="0.3">
      <c r="O94" s="64" t="s">
        <v>323</v>
      </c>
      <c r="P94" s="64" t="s">
        <v>38</v>
      </c>
    </row>
    <row r="95" spans="15:16" x14ac:dyDescent="0.3">
      <c r="O95" s="64" t="s">
        <v>351</v>
      </c>
      <c r="P95" s="64" t="s">
        <v>38</v>
      </c>
    </row>
    <row r="96" spans="15:16" x14ac:dyDescent="0.3">
      <c r="O96" s="64" t="s">
        <v>270</v>
      </c>
      <c r="P96" s="64" t="s">
        <v>38</v>
      </c>
    </row>
    <row r="97" spans="15:16" x14ac:dyDescent="0.3">
      <c r="O97" s="64" t="s">
        <v>324</v>
      </c>
      <c r="P97" s="64" t="s">
        <v>38</v>
      </c>
    </row>
    <row r="98" spans="15:16" x14ac:dyDescent="0.3">
      <c r="O98" s="64" t="s">
        <v>347</v>
      </c>
      <c r="P98" s="64" t="s">
        <v>38</v>
      </c>
    </row>
    <row r="99" spans="15:16" x14ac:dyDescent="0.3">
      <c r="O99" s="64" t="s">
        <v>298</v>
      </c>
      <c r="P99" s="64" t="s">
        <v>38</v>
      </c>
    </row>
    <row r="100" spans="15:16" x14ac:dyDescent="0.3">
      <c r="O100" s="64" t="s">
        <v>312</v>
      </c>
      <c r="P100" s="64" t="s">
        <v>38</v>
      </c>
    </row>
    <row r="101" spans="15:16" x14ac:dyDescent="0.3">
      <c r="O101" s="64" t="s">
        <v>325</v>
      </c>
      <c r="P101" s="64" t="s">
        <v>38</v>
      </c>
    </row>
    <row r="102" spans="15:16" x14ac:dyDescent="0.3">
      <c r="O102" s="64" t="s">
        <v>274</v>
      </c>
      <c r="P102" s="64" t="s">
        <v>130</v>
      </c>
    </row>
    <row r="103" spans="15:16" x14ac:dyDescent="0.3">
      <c r="O103" s="64" t="s">
        <v>328</v>
      </c>
      <c r="P103" s="64" t="s">
        <v>152</v>
      </c>
    </row>
    <row r="104" spans="15:16" x14ac:dyDescent="0.3">
      <c r="O104" s="64" t="s">
        <v>275</v>
      </c>
      <c r="P104" s="64" t="s">
        <v>130</v>
      </c>
    </row>
    <row r="105" spans="15:16" x14ac:dyDescent="0.3">
      <c r="O105" s="64" t="s">
        <v>276</v>
      </c>
      <c r="P105" s="64" t="s">
        <v>130</v>
      </c>
    </row>
    <row r="106" spans="15:16" x14ac:dyDescent="0.3">
      <c r="O106" s="64" t="s">
        <v>350</v>
      </c>
      <c r="P106" s="64" t="s">
        <v>130</v>
      </c>
    </row>
    <row r="107" spans="15:16" x14ac:dyDescent="0.3">
      <c r="O107" s="64" t="s">
        <v>341</v>
      </c>
      <c r="P107" s="64" t="s">
        <v>152</v>
      </c>
    </row>
    <row r="108" spans="15:16" x14ac:dyDescent="0.3">
      <c r="O108" s="64" t="s">
        <v>277</v>
      </c>
      <c r="P108" s="64" t="s">
        <v>152</v>
      </c>
    </row>
    <row r="109" spans="15:16" x14ac:dyDescent="0.3">
      <c r="O109" s="64" t="s">
        <v>278</v>
      </c>
      <c r="P109" s="64" t="s">
        <v>152</v>
      </c>
    </row>
    <row r="110" spans="15:16" x14ac:dyDescent="0.3">
      <c r="O110" s="64" t="s">
        <v>329</v>
      </c>
      <c r="P110" s="64" t="s">
        <v>152</v>
      </c>
    </row>
    <row r="111" spans="15:16" x14ac:dyDescent="0.3">
      <c r="O111" s="64" t="s">
        <v>343</v>
      </c>
    </row>
    <row r="112" spans="15:16" x14ac:dyDescent="0.3">
      <c r="O112" s="64" t="s">
        <v>357</v>
      </c>
      <c r="P112" s="64" t="s">
        <v>38</v>
      </c>
    </row>
    <row r="113" spans="15:16" x14ac:dyDescent="0.3">
      <c r="O113" s="64" t="s">
        <v>358</v>
      </c>
    </row>
    <row r="114" spans="15:16" x14ac:dyDescent="0.3">
      <c r="O114" s="64" t="s">
        <v>361</v>
      </c>
      <c r="P114" s="64" t="s">
        <v>118</v>
      </c>
    </row>
    <row r="115" spans="15:16" x14ac:dyDescent="0.3">
      <c r="O115" s="64" t="s">
        <v>404</v>
      </c>
      <c r="P115" s="64" t="s">
        <v>112</v>
      </c>
    </row>
    <row r="116" spans="15:16" x14ac:dyDescent="0.3">
      <c r="O116" s="64" t="s">
        <v>405</v>
      </c>
      <c r="P116" s="64" t="s">
        <v>115</v>
      </c>
    </row>
    <row r="117" spans="15:16" x14ac:dyDescent="0.3">
      <c r="O117" s="64" t="s">
        <v>362</v>
      </c>
      <c r="P117" s="64" t="s">
        <v>38</v>
      </c>
    </row>
    <row r="118" spans="15:16" x14ac:dyDescent="0.3">
      <c r="O118" s="64" t="s">
        <v>406</v>
      </c>
      <c r="P118" s="64" t="s">
        <v>152</v>
      </c>
    </row>
  </sheetData>
  <autoFilter ref="O2:P2" xr:uid="{00000000-0001-0000-0000-000000000000}"/>
  <mergeCells count="1">
    <mergeCell ref="A28:C28"/>
  </mergeCells>
  <dataValidations disablePrompts="1" count="1">
    <dataValidation type="list" allowBlank="1" showInputMessage="1" showErrorMessage="1" sqref="P1:P1048576" xr:uid="{36C518E1-E374-4D0C-9CAA-E2513EA46D10}">
      <formula1>$B$6:$B$27</formula1>
    </dataValidation>
  </dataValidations>
  <pageMargins left="0.7" right="0.7" top="0.75" bottom="0.75" header="0.3" footer="0.3"/>
  <pageSetup orientation="portrait" horizontalDpi="360" verticalDpi="360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2D71B-CA4D-46FD-AEAF-17793DBABB3B}">
  <sheetPr>
    <tabColor rgb="FFFF0000"/>
  </sheetPr>
  <dimension ref="B2:J35"/>
  <sheetViews>
    <sheetView zoomScale="85" zoomScaleNormal="85" workbookViewId="0">
      <selection activeCell="E15" sqref="E15"/>
    </sheetView>
  </sheetViews>
  <sheetFormatPr defaultRowHeight="14.4" x14ac:dyDescent="0.3"/>
  <cols>
    <col min="1" max="1" width="8.88671875" style="12"/>
    <col min="2" max="2" width="8.88671875" style="12" customWidth="1"/>
    <col min="3" max="3" width="31.5546875" style="12" bestFit="1" customWidth="1"/>
    <col min="4" max="4" width="6.5546875" style="12" customWidth="1"/>
    <col min="5" max="5" width="32.33203125" style="12" bestFit="1" customWidth="1"/>
    <col min="6" max="6" width="3.6640625" style="12" customWidth="1"/>
    <col min="7" max="7" width="28.109375" style="12" customWidth="1"/>
    <col min="8" max="8" width="10.44140625" style="12" customWidth="1"/>
    <col min="9" max="9" width="17.6640625" style="12" customWidth="1"/>
    <col min="10" max="10" width="9.109375" style="12" customWidth="1"/>
    <col min="11" max="16384" width="8.88671875" style="12"/>
  </cols>
  <sheetData>
    <row r="2" spans="2:10" x14ac:dyDescent="0.3">
      <c r="B2" s="184" t="s">
        <v>359</v>
      </c>
      <c r="C2" s="184"/>
      <c r="D2" s="184"/>
      <c r="E2" s="184"/>
      <c r="F2" s="184"/>
      <c r="G2" s="184"/>
      <c r="H2" s="184"/>
      <c r="I2" s="184"/>
      <c r="J2" s="184"/>
    </row>
    <row r="3" spans="2:10" x14ac:dyDescent="0.3">
      <c r="B3" s="184"/>
      <c r="C3" s="184"/>
      <c r="D3" s="184"/>
      <c r="E3" s="184"/>
      <c r="F3" s="184"/>
      <c r="G3" s="184"/>
      <c r="H3" s="184"/>
      <c r="I3" s="184"/>
      <c r="J3" s="184"/>
    </row>
    <row r="4" spans="2:10" x14ac:dyDescent="0.3">
      <c r="B4" s="107"/>
      <c r="C4" s="107"/>
      <c r="D4" s="107"/>
      <c r="E4" s="107"/>
      <c r="F4" s="107"/>
      <c r="G4" s="107"/>
      <c r="H4" s="107"/>
      <c r="I4" s="107"/>
      <c r="J4" s="107"/>
    </row>
    <row r="5" spans="2:10" ht="15" customHeight="1" x14ac:dyDescent="0.3">
      <c r="B5" s="107"/>
      <c r="C5" s="185" t="s">
        <v>185</v>
      </c>
      <c r="D5" s="186" t="s">
        <v>360</v>
      </c>
      <c r="E5" s="198"/>
      <c r="F5" s="107"/>
      <c r="G5" s="187" t="s">
        <v>184</v>
      </c>
      <c r="H5" s="199"/>
      <c r="I5" s="199"/>
      <c r="J5" s="107"/>
    </row>
    <row r="6" spans="2:10" ht="14.4" customHeight="1" x14ac:dyDescent="0.3">
      <c r="B6" s="107"/>
      <c r="C6" s="185"/>
      <c r="D6" s="198"/>
      <c r="E6" s="198"/>
      <c r="F6" s="107"/>
      <c r="G6" s="199"/>
      <c r="H6" s="199"/>
      <c r="I6" s="199"/>
      <c r="J6" s="107"/>
    </row>
    <row r="7" spans="2:10" ht="14.4" customHeight="1" x14ac:dyDescent="0.3">
      <c r="B7" s="107"/>
      <c r="C7" s="185"/>
      <c r="D7" s="198"/>
      <c r="E7" s="198"/>
      <c r="F7" s="107"/>
      <c r="G7" s="199"/>
      <c r="H7" s="199"/>
      <c r="I7" s="199"/>
      <c r="J7" s="107"/>
    </row>
    <row r="8" spans="2:10" ht="15.6" x14ac:dyDescent="0.3">
      <c r="B8" s="107"/>
      <c r="C8" s="107"/>
      <c r="D8" s="107"/>
      <c r="E8" s="107"/>
      <c r="F8" s="107"/>
      <c r="G8" s="109"/>
      <c r="H8" s="109"/>
      <c r="I8" s="109"/>
      <c r="J8" s="107"/>
    </row>
    <row r="9" spans="2:10" ht="15.6" x14ac:dyDescent="0.3">
      <c r="B9" s="107"/>
      <c r="C9" s="109" t="s">
        <v>74</v>
      </c>
      <c r="D9" s="109"/>
      <c r="E9" s="110">
        <v>170387.16</v>
      </c>
      <c r="F9" s="107"/>
      <c r="G9" s="109" t="s">
        <v>73</v>
      </c>
      <c r="H9" s="109"/>
      <c r="I9" s="109">
        <v>28</v>
      </c>
      <c r="J9" s="107"/>
    </row>
    <row r="10" spans="2:10" ht="15.6" x14ac:dyDescent="0.3">
      <c r="B10" s="107"/>
      <c r="C10" s="109" t="s">
        <v>76</v>
      </c>
      <c r="D10" s="109"/>
      <c r="E10" s="110">
        <f>'REPORT unit DT HAUL'!D79</f>
        <v>202342.57</v>
      </c>
      <c r="F10" s="107"/>
      <c r="G10" s="109" t="s">
        <v>75</v>
      </c>
      <c r="H10" s="109"/>
      <c r="I10" s="109">
        <f>9*I9</f>
        <v>252</v>
      </c>
      <c r="J10" s="107"/>
    </row>
    <row r="11" spans="2:10" ht="15.6" x14ac:dyDescent="0.3">
      <c r="B11" s="107"/>
      <c r="C11" s="109" t="s">
        <v>183</v>
      </c>
      <c r="D11" s="109"/>
      <c r="E11" s="110">
        <v>33006.630000000005</v>
      </c>
      <c r="F11" s="107"/>
      <c r="G11" s="109" t="s">
        <v>77</v>
      </c>
      <c r="H11" s="111"/>
      <c r="I11" s="111">
        <v>0.85</v>
      </c>
      <c r="J11" s="107"/>
    </row>
    <row r="12" spans="2:10" ht="15.6" x14ac:dyDescent="0.3">
      <c r="B12" s="107"/>
      <c r="C12" s="109" t="s">
        <v>78</v>
      </c>
      <c r="D12" s="109"/>
      <c r="E12" s="110">
        <f>E9/E10</f>
        <v>0.84207272844266035</v>
      </c>
      <c r="F12" s="107"/>
      <c r="G12" s="109"/>
      <c r="H12" s="112"/>
      <c r="I12" s="109"/>
      <c r="J12" s="107"/>
    </row>
    <row r="13" spans="2:10" ht="15.6" x14ac:dyDescent="0.3">
      <c r="B13" s="107"/>
      <c r="C13" s="109"/>
      <c r="D13" s="109"/>
      <c r="E13" s="113"/>
      <c r="F13" s="107"/>
      <c r="G13" s="109" t="s">
        <v>87</v>
      </c>
      <c r="H13" s="112" t="s">
        <v>79</v>
      </c>
      <c r="I13" s="110">
        <v>11500</v>
      </c>
      <c r="J13" s="107"/>
    </row>
    <row r="14" spans="2:10" ht="15.6" x14ac:dyDescent="0.3">
      <c r="B14" s="107"/>
      <c r="C14" s="109" t="s">
        <v>352</v>
      </c>
      <c r="D14" s="109"/>
      <c r="E14" s="113"/>
      <c r="F14" s="107"/>
      <c r="G14" s="114" t="s">
        <v>353</v>
      </c>
      <c r="H14" s="115"/>
      <c r="I14" s="109"/>
      <c r="J14" s="107"/>
    </row>
    <row r="15" spans="2:10" ht="15.6" x14ac:dyDescent="0.3">
      <c r="B15" s="107"/>
      <c r="C15" s="109" t="s">
        <v>165</v>
      </c>
      <c r="D15" s="109"/>
      <c r="E15" s="110">
        <f>(E9+E11)/AVERAGE('REPORT unit OB'!D8:D38)</f>
        <v>1298.1691352686844</v>
      </c>
      <c r="F15" s="107"/>
      <c r="G15" s="115" t="s">
        <v>141</v>
      </c>
      <c r="H15" s="116" t="s">
        <v>142</v>
      </c>
      <c r="I15" s="117">
        <f>'REPORT unit OB'!G40+'REPORT unit QUARRY'!G26+'REPORT unit DEVELOP'!G11+'REPORT unit ORE GETTING'!G29+'REPORT unit DT HAUL'!H79+'REPORT unit LV &amp; support'!E37</f>
        <v>373910</v>
      </c>
      <c r="J15" s="107"/>
    </row>
    <row r="16" spans="2:10" ht="15.6" x14ac:dyDescent="0.3">
      <c r="B16" s="107"/>
      <c r="C16" s="109"/>
      <c r="D16" s="109"/>
      <c r="E16" s="113"/>
      <c r="F16" s="107"/>
      <c r="G16" s="115"/>
      <c r="H16" s="115"/>
      <c r="I16" s="118"/>
      <c r="J16" s="107"/>
    </row>
    <row r="17" spans="2:10" ht="17.399999999999999" x14ac:dyDescent="0.3">
      <c r="B17" s="107"/>
      <c r="C17" s="119" t="s">
        <v>171</v>
      </c>
      <c r="D17" s="119"/>
      <c r="E17" s="120"/>
      <c r="F17" s="107"/>
      <c r="G17" s="121"/>
      <c r="H17" s="112"/>
      <c r="I17" s="122"/>
      <c r="J17" s="107"/>
    </row>
    <row r="18" spans="2:10" ht="15.6" x14ac:dyDescent="0.3">
      <c r="B18" s="107"/>
      <c r="C18" s="123" t="s">
        <v>172</v>
      </c>
      <c r="D18" s="120" t="s">
        <v>79</v>
      </c>
      <c r="E18" s="124">
        <f>'REPORT unit OB'!J40</f>
        <v>5863845675.0929871</v>
      </c>
      <c r="F18" s="107"/>
      <c r="G18" s="109" t="s">
        <v>181</v>
      </c>
      <c r="H18" s="125">
        <f>I18/$I$26</f>
        <v>0.31881979292043428</v>
      </c>
      <c r="I18" s="126">
        <f>E18/E10</f>
        <v>28979.792413889903</v>
      </c>
      <c r="J18" s="127">
        <f>I18/$I$28</f>
        <v>1.9517640364958178</v>
      </c>
    </row>
    <row r="19" spans="2:10" ht="15.6" x14ac:dyDescent="0.3">
      <c r="B19" s="107"/>
      <c r="C19" s="123" t="s">
        <v>173</v>
      </c>
      <c r="D19" s="120" t="s">
        <v>79</v>
      </c>
      <c r="E19" s="124">
        <f>'REPORT unit QUARRY'!J26</f>
        <v>913239430.08529866</v>
      </c>
      <c r="F19" s="107"/>
      <c r="G19" s="109" t="s">
        <v>182</v>
      </c>
      <c r="H19" s="125">
        <f t="shared" ref="H19:H23" si="0">I19/$I$26</f>
        <v>4.9653217720801161E-2</v>
      </c>
      <c r="I19" s="126">
        <f>E19/E10</f>
        <v>4513.333156168268</v>
      </c>
      <c r="J19" s="127">
        <f t="shared" ref="J19:J23" si="1">I19/$I$28</f>
        <v>0.30396909726348786</v>
      </c>
    </row>
    <row r="20" spans="2:10" ht="15.6" x14ac:dyDescent="0.3">
      <c r="B20" s="107"/>
      <c r="C20" s="123" t="s">
        <v>174</v>
      </c>
      <c r="D20" s="120" t="s">
        <v>79</v>
      </c>
      <c r="E20" s="124">
        <f>'REPORT unit DEVELOP'!J11</f>
        <v>50126000</v>
      </c>
      <c r="F20" s="107"/>
      <c r="G20" s="109" t="s">
        <v>177</v>
      </c>
      <c r="H20" s="125">
        <f t="shared" si="0"/>
        <v>2.7253720212676411E-3</v>
      </c>
      <c r="I20" s="126">
        <f>E20/E10</f>
        <v>247.72839447477611</v>
      </c>
      <c r="J20" s="127">
        <f t="shared" si="1"/>
        <v>1.6684293808915417E-2</v>
      </c>
    </row>
    <row r="21" spans="2:10" ht="15.6" x14ac:dyDescent="0.3">
      <c r="B21" s="107"/>
      <c r="C21" s="123" t="s">
        <v>175</v>
      </c>
      <c r="D21" s="120" t="s">
        <v>79</v>
      </c>
      <c r="E21" s="124">
        <f>'REPORT unit ORE GETTING'!J29</f>
        <v>1626803827.5208366</v>
      </c>
      <c r="F21" s="107"/>
      <c r="G21" s="109" t="s">
        <v>178</v>
      </c>
      <c r="H21" s="125">
        <f t="shared" si="0"/>
        <v>8.8450018665291411E-2</v>
      </c>
      <c r="I21" s="126">
        <f>E21/E10</f>
        <v>8039.8495853879713</v>
      </c>
      <c r="J21" s="127">
        <f t="shared" si="1"/>
        <v>0.54147693867106483</v>
      </c>
    </row>
    <row r="22" spans="2:10" ht="15.6" x14ac:dyDescent="0.3">
      <c r="B22" s="107"/>
      <c r="C22" s="123" t="s">
        <v>176</v>
      </c>
      <c r="D22" s="120" t="s">
        <v>79</v>
      </c>
      <c r="E22" s="124">
        <f>'REPORT unit DT HAUL'!M79</f>
        <v>9642996500</v>
      </c>
      <c r="F22" s="107"/>
      <c r="G22" s="109" t="s">
        <v>179</v>
      </c>
      <c r="H22" s="125">
        <f t="shared" si="0"/>
        <v>0.52429383677695773</v>
      </c>
      <c r="I22" s="126">
        <f>E22/E10</f>
        <v>47656.785717409832</v>
      </c>
      <c r="J22" s="127">
        <f t="shared" si="1"/>
        <v>3.2096434346315887</v>
      </c>
    </row>
    <row r="23" spans="2:10" ht="15.6" x14ac:dyDescent="0.3">
      <c r="B23" s="107"/>
      <c r="C23" s="123" t="s">
        <v>83</v>
      </c>
      <c r="D23" s="120" t="s">
        <v>79</v>
      </c>
      <c r="E23" s="124">
        <f>'REPORT unit LV &amp; support'!H37</f>
        <v>295340000</v>
      </c>
      <c r="F23" s="107"/>
      <c r="G23" s="109" t="s">
        <v>180</v>
      </c>
      <c r="H23" s="125">
        <f t="shared" si="0"/>
        <v>1.6057761895247678E-2</v>
      </c>
      <c r="I23" s="126">
        <f>E23/E10</f>
        <v>1459.6038787092602</v>
      </c>
      <c r="J23" s="127">
        <f t="shared" si="1"/>
        <v>9.8303062951862891E-2</v>
      </c>
    </row>
    <row r="24" spans="2:10" ht="15.6" x14ac:dyDescent="0.3">
      <c r="B24" s="107"/>
      <c r="C24" s="123"/>
      <c r="D24" s="123"/>
      <c r="E24" s="124"/>
      <c r="F24" s="107"/>
      <c r="G24" s="115"/>
      <c r="H24" s="128">
        <f>SUM(H18:H23)</f>
        <v>0.99999999999999989</v>
      </c>
      <c r="I24" s="129">
        <f t="shared" ref="I24:J24" si="2">SUM(I18:I23)</f>
        <v>90897.093146040002</v>
      </c>
      <c r="J24" s="130">
        <f t="shared" si="2"/>
        <v>6.1218408638227375</v>
      </c>
    </row>
    <row r="25" spans="2:10" ht="15.6" x14ac:dyDescent="0.3">
      <c r="B25" s="107"/>
      <c r="C25" s="131"/>
      <c r="D25" s="131"/>
      <c r="E25" s="132"/>
      <c r="F25" s="107"/>
      <c r="G25" s="133"/>
      <c r="H25" s="125"/>
      <c r="I25" s="134"/>
      <c r="J25" s="135"/>
    </row>
    <row r="26" spans="2:10" ht="18" x14ac:dyDescent="0.3">
      <c r="B26" s="107"/>
      <c r="C26" s="136" t="s">
        <v>46</v>
      </c>
      <c r="D26" s="120" t="s">
        <v>79</v>
      </c>
      <c r="E26" s="137">
        <f>SUM(E18:E24)</f>
        <v>18392351432.699123</v>
      </c>
      <c r="F26" s="138"/>
      <c r="G26" s="133" t="s">
        <v>95</v>
      </c>
      <c r="H26" s="139"/>
      <c r="I26" s="134">
        <f>E26/E10</f>
        <v>90897.093146040017</v>
      </c>
      <c r="J26" s="135"/>
    </row>
    <row r="27" spans="2:10" ht="18" x14ac:dyDescent="0.3">
      <c r="B27" s="107"/>
      <c r="C27" s="136"/>
      <c r="D27" s="136"/>
      <c r="E27" s="140"/>
      <c r="F27" s="138"/>
      <c r="G27" s="133" t="s">
        <v>85</v>
      </c>
      <c r="H27" s="139"/>
      <c r="I27" s="141">
        <f>I26/I28</f>
        <v>6.1218408638227384</v>
      </c>
      <c r="J27" s="142"/>
    </row>
    <row r="28" spans="2:10" ht="18" x14ac:dyDescent="0.3">
      <c r="B28" s="107"/>
      <c r="C28" s="136" t="s">
        <v>49</v>
      </c>
      <c r="D28" s="120" t="s">
        <v>79</v>
      </c>
      <c r="E28" s="140">
        <f>E10*(I29*I28)</f>
        <v>31546016033.280003</v>
      </c>
      <c r="F28" s="138"/>
      <c r="G28" s="143" t="s">
        <v>80</v>
      </c>
      <c r="H28" s="144"/>
      <c r="I28" s="145">
        <v>14848</v>
      </c>
      <c r="J28" s="107"/>
    </row>
    <row r="29" spans="2:10" ht="18" x14ac:dyDescent="0.3">
      <c r="B29" s="107"/>
      <c r="C29" s="107"/>
      <c r="D29" s="107"/>
      <c r="E29" s="146"/>
      <c r="F29" s="107"/>
      <c r="G29" s="143" t="s">
        <v>86</v>
      </c>
      <c r="H29" s="144"/>
      <c r="I29" s="147">
        <v>10.5</v>
      </c>
      <c r="J29" s="107"/>
    </row>
    <row r="30" spans="2:10" ht="23.4" x14ac:dyDescent="0.3">
      <c r="B30" s="107"/>
      <c r="C30" s="148" t="s">
        <v>81</v>
      </c>
      <c r="D30" s="148" t="s">
        <v>79</v>
      </c>
      <c r="E30" s="149">
        <f>E28-E26</f>
        <v>13153664600.580879</v>
      </c>
      <c r="F30" s="107"/>
      <c r="G30" s="143"/>
      <c r="H30" s="144"/>
      <c r="I30" s="150"/>
      <c r="J30" s="107"/>
    </row>
    <row r="31" spans="2:10" ht="14.4" customHeight="1" x14ac:dyDescent="0.3">
      <c r="B31" s="189" t="str">
        <f>IF(E28&lt;E26,("….RUGI …..!!!!!"),("OKE….."))</f>
        <v>OKE…..</v>
      </c>
      <c r="C31" s="189"/>
      <c r="D31" s="189"/>
      <c r="E31" s="189"/>
      <c r="F31" s="189"/>
      <c r="G31" s="189"/>
      <c r="H31" s="189"/>
      <c r="I31" s="189"/>
      <c r="J31" s="189"/>
    </row>
    <row r="32" spans="2:10" ht="14.4" customHeight="1" x14ac:dyDescent="0.3">
      <c r="B32" s="189"/>
      <c r="C32" s="189"/>
      <c r="D32" s="189"/>
      <c r="E32" s="189"/>
      <c r="F32" s="189"/>
      <c r="G32" s="189"/>
      <c r="H32" s="189"/>
      <c r="I32" s="189"/>
      <c r="J32" s="189"/>
    </row>
    <row r="33" spans="2:10" ht="14.4" customHeight="1" x14ac:dyDescent="0.3">
      <c r="B33" s="189"/>
      <c r="C33" s="189"/>
      <c r="D33" s="189"/>
      <c r="E33" s="189"/>
      <c r="F33" s="189"/>
      <c r="G33" s="189"/>
      <c r="H33" s="189"/>
      <c r="I33" s="189"/>
      <c r="J33" s="189"/>
    </row>
    <row r="35" spans="2:10" x14ac:dyDescent="0.3">
      <c r="G35" s="153"/>
    </row>
  </sheetData>
  <mergeCells count="5">
    <mergeCell ref="B31:J33"/>
    <mergeCell ref="B2:J3"/>
    <mergeCell ref="D5:E7"/>
    <mergeCell ref="C5:C7"/>
    <mergeCell ref="G5:I7"/>
  </mergeCells>
  <conditionalFormatting sqref="E30">
    <cfRule type="iconSet" priority="1">
      <iconSet iconSet="3Arrows">
        <cfvo type="percent" val="0"/>
        <cfvo type="percent" val="33"/>
        <cfvo type="percent" val="50"/>
      </iconSet>
    </cfRule>
  </conditionalFormatting>
  <printOptions horizontalCentered="1" verticalCentered="1"/>
  <pageMargins left="0.7" right="0.7" top="0.75" bottom="0.75" header="0.3" footer="0.3"/>
  <pageSetup paperSize="9" scale="88" orientation="landscape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F77A5-1DAD-40F8-A348-3CF98908B2B6}">
  <sheetPr>
    <tabColor rgb="FF00B0F0"/>
  </sheetPr>
  <dimension ref="A1:Q74"/>
  <sheetViews>
    <sheetView zoomScaleNormal="100" workbookViewId="0">
      <pane xSplit="1" ySplit="2" topLeftCell="B3" activePane="bottomRight" state="frozenSplit"/>
      <selection pane="topRight" activeCell="B1" sqref="B1"/>
      <selection pane="bottomLeft" activeCell="A4" sqref="A4"/>
      <selection pane="bottomRight" activeCell="H25" sqref="H25"/>
    </sheetView>
  </sheetViews>
  <sheetFormatPr defaultRowHeight="12" x14ac:dyDescent="0.3"/>
  <cols>
    <col min="1" max="1" width="26" style="69" customWidth="1"/>
    <col min="2" max="2" width="17.77734375" style="69" customWidth="1"/>
    <col min="3" max="14" width="15.77734375" style="74" customWidth="1"/>
    <col min="15" max="15" width="17.77734375" style="74" customWidth="1"/>
    <col min="16" max="16384" width="8.88671875" style="74"/>
  </cols>
  <sheetData>
    <row r="1" spans="1:17" x14ac:dyDescent="0.3">
      <c r="C1" s="74">
        <v>1</v>
      </c>
      <c r="D1" s="74">
        <v>2</v>
      </c>
      <c r="E1" s="74">
        <v>3</v>
      </c>
      <c r="F1" s="74">
        <v>4</v>
      </c>
      <c r="G1" s="74">
        <v>5</v>
      </c>
      <c r="H1" s="74">
        <v>6</v>
      </c>
      <c r="I1" s="74">
        <v>7</v>
      </c>
      <c r="J1" s="74">
        <v>8</v>
      </c>
      <c r="K1" s="74">
        <v>9</v>
      </c>
      <c r="L1" s="74">
        <v>10</v>
      </c>
      <c r="M1" s="74">
        <v>11</v>
      </c>
      <c r="N1" s="74">
        <v>12</v>
      </c>
    </row>
    <row r="2" spans="1:17" s="69" customFormat="1" x14ac:dyDescent="0.3">
      <c r="B2" s="70" t="s">
        <v>355</v>
      </c>
      <c r="C2" s="70" t="s">
        <v>153</v>
      </c>
      <c r="D2" s="70" t="s">
        <v>154</v>
      </c>
      <c r="E2" s="70" t="s">
        <v>155</v>
      </c>
      <c r="F2" s="70" t="s">
        <v>156</v>
      </c>
      <c r="G2" s="70" t="s">
        <v>157</v>
      </c>
      <c r="H2" s="70" t="s">
        <v>158</v>
      </c>
      <c r="I2" s="70" t="s">
        <v>159</v>
      </c>
      <c r="J2" s="70" t="s">
        <v>160</v>
      </c>
      <c r="K2" s="70" t="s">
        <v>161</v>
      </c>
      <c r="L2" s="70" t="s">
        <v>162</v>
      </c>
      <c r="M2" s="70" t="s">
        <v>163</v>
      </c>
      <c r="N2" s="70" t="s">
        <v>164</v>
      </c>
      <c r="O2" s="71" t="s">
        <v>356</v>
      </c>
    </row>
    <row r="3" spans="1:17" x14ac:dyDescent="0.3">
      <c r="A3" s="72" t="s">
        <v>367</v>
      </c>
      <c r="B3" s="91">
        <v>2593394.6799999997</v>
      </c>
      <c r="C3" s="73">
        <v>162229.22999999998</v>
      </c>
      <c r="D3" s="73">
        <v>170387.16</v>
      </c>
      <c r="E3" s="73">
        <v>141007.28000000003</v>
      </c>
      <c r="F3" s="73">
        <f>SUMMARY!$E$10</f>
        <v>111460.29999999999</v>
      </c>
      <c r="G3" s="73"/>
      <c r="H3" s="73"/>
      <c r="I3" s="73"/>
      <c r="J3" s="73"/>
      <c r="K3" s="73"/>
      <c r="L3" s="73"/>
      <c r="M3" s="73"/>
      <c r="N3" s="73"/>
      <c r="O3" s="91">
        <f>SUM(C3:N3)</f>
        <v>585083.97</v>
      </c>
    </row>
    <row r="4" spans="1:17" x14ac:dyDescent="0.3">
      <c r="A4" s="75" t="s">
        <v>76</v>
      </c>
      <c r="B4" s="92">
        <v>2365922.3199999998</v>
      </c>
      <c r="C4" s="76">
        <v>242547.79000000004</v>
      </c>
      <c r="D4" s="76">
        <v>231630.66999999995</v>
      </c>
      <c r="E4" s="76">
        <v>220801.4</v>
      </c>
      <c r="F4" s="76">
        <f>SUMMARY!$E$11</f>
        <v>202342.57</v>
      </c>
      <c r="G4" s="76"/>
      <c r="H4" s="76"/>
      <c r="I4" s="76"/>
      <c r="J4" s="76"/>
      <c r="K4" s="76"/>
      <c r="L4" s="76"/>
      <c r="M4" s="76"/>
      <c r="N4" s="76"/>
      <c r="O4" s="92">
        <f>SUM(C4:N4)</f>
        <v>897322.42999999993</v>
      </c>
    </row>
    <row r="5" spans="1:17" x14ac:dyDescent="0.3">
      <c r="A5" s="101" t="s">
        <v>183</v>
      </c>
      <c r="B5" s="103">
        <v>485042.22</v>
      </c>
      <c r="C5" s="102">
        <v>18017.98</v>
      </c>
      <c r="D5" s="102">
        <v>33006.630000000005</v>
      </c>
      <c r="E5" s="102">
        <v>34352.259999999995</v>
      </c>
      <c r="F5" s="102">
        <f>SUMMARY!$E$12</f>
        <v>22346.49</v>
      </c>
      <c r="G5" s="102"/>
      <c r="H5" s="102"/>
      <c r="I5" s="102"/>
      <c r="J5" s="102"/>
      <c r="K5" s="102"/>
      <c r="L5" s="102"/>
      <c r="M5" s="102"/>
      <c r="N5" s="102"/>
      <c r="O5" s="103">
        <f>SUM(C5:N5)</f>
        <v>107723.36</v>
      </c>
    </row>
    <row r="6" spans="1:17" x14ac:dyDescent="0.3">
      <c r="A6" s="77" t="s">
        <v>78</v>
      </c>
      <c r="B6" s="93">
        <v>1.0961453206122169</v>
      </c>
      <c r="C6" s="78">
        <v>0.66885470281959669</v>
      </c>
      <c r="D6" s="78">
        <v>0.73559844212340286</v>
      </c>
      <c r="E6" s="78">
        <v>0.63861587834135125</v>
      </c>
      <c r="F6" s="78">
        <f>SUMMARY!$E$13</f>
        <v>0.55084948263729172</v>
      </c>
      <c r="G6" s="78"/>
      <c r="H6" s="78"/>
      <c r="I6" s="78"/>
      <c r="J6" s="78"/>
      <c r="K6" s="78"/>
      <c r="L6" s="78"/>
      <c r="M6" s="78"/>
      <c r="N6" s="78"/>
      <c r="O6" s="93">
        <f>O3/O4</f>
        <v>0.65203314933295498</v>
      </c>
    </row>
    <row r="7" spans="1:17" x14ac:dyDescent="0.3">
      <c r="A7" s="69" t="s">
        <v>375</v>
      </c>
      <c r="B7" s="94"/>
      <c r="C7" s="177">
        <v>0.74253772354962899</v>
      </c>
      <c r="D7" s="177">
        <v>0.83765309627028406</v>
      </c>
      <c r="E7" s="177">
        <v>0.70707209506681568</v>
      </c>
      <c r="F7" s="177">
        <f>SUMMARY!$F$10</f>
        <v>0.66103056420606143</v>
      </c>
      <c r="G7" s="79"/>
      <c r="H7" s="79"/>
      <c r="I7" s="79"/>
      <c r="J7" s="79"/>
      <c r="K7" s="79"/>
      <c r="L7" s="79"/>
      <c r="M7" s="79"/>
      <c r="N7" s="79"/>
      <c r="O7" s="98">
        <f t="shared" ref="O7:O9" si="0">AVERAGE(C7:N7)</f>
        <v>0.73707336977319748</v>
      </c>
    </row>
    <row r="8" spans="1:17" x14ac:dyDescent="0.3">
      <c r="A8" s="69" t="s">
        <v>376</v>
      </c>
      <c r="B8" s="94"/>
      <c r="C8" s="177">
        <v>0.97757868733841513</v>
      </c>
      <c r="D8" s="177">
        <v>1.0200287269450323</v>
      </c>
      <c r="E8" s="177">
        <v>0.72406828784212274</v>
      </c>
      <c r="F8" s="177">
        <f>SUMMARY!$F$11</f>
        <v>0.60339142988368932</v>
      </c>
      <c r="G8" s="79"/>
      <c r="H8" s="79"/>
      <c r="I8" s="79"/>
      <c r="J8" s="79"/>
      <c r="K8" s="79"/>
      <c r="L8" s="79"/>
      <c r="M8" s="79"/>
      <c r="N8" s="79"/>
      <c r="O8" s="98">
        <f t="shared" si="0"/>
        <v>0.83126678300231494</v>
      </c>
    </row>
    <row r="9" spans="1:17" x14ac:dyDescent="0.3">
      <c r="A9" s="69" t="s">
        <v>377</v>
      </c>
      <c r="B9" s="94"/>
      <c r="C9" s="177">
        <v>0.41234954552156672</v>
      </c>
      <c r="D9" s="177">
        <v>0.8113318461598763</v>
      </c>
      <c r="E9" s="177">
        <v>0.86128618495725751</v>
      </c>
      <c r="F9" s="177">
        <f>SUMMARY!$F$12</f>
        <v>0.66264458702897411</v>
      </c>
      <c r="G9" s="79"/>
      <c r="H9" s="79"/>
      <c r="I9" s="79"/>
      <c r="J9" s="79"/>
      <c r="K9" s="79"/>
      <c r="L9" s="79"/>
      <c r="M9" s="79"/>
      <c r="N9" s="79"/>
      <c r="O9" s="98">
        <f t="shared" si="0"/>
        <v>0.68690304091691867</v>
      </c>
    </row>
    <row r="10" spans="1:17" x14ac:dyDescent="0.3">
      <c r="A10" s="69" t="s">
        <v>165</v>
      </c>
      <c r="B10" s="94">
        <v>996.25291105027236</v>
      </c>
      <c r="C10" s="79">
        <v>910.65663588850146</v>
      </c>
      <c r="D10" s="79">
        <v>1244.3992947995494</v>
      </c>
      <c r="E10" s="79">
        <v>213.95746705710121</v>
      </c>
      <c r="F10" s="79">
        <f>SUMMARY!$E$18</f>
        <v>182.79616120218577</v>
      </c>
      <c r="G10" s="79"/>
      <c r="H10" s="79"/>
      <c r="I10" s="79"/>
      <c r="J10" s="79"/>
      <c r="K10" s="79"/>
      <c r="L10" s="79"/>
      <c r="M10" s="79"/>
      <c r="N10" s="79"/>
      <c r="O10" s="94">
        <f>AVERAGE(C10:N10)</f>
        <v>637.95238973683456</v>
      </c>
    </row>
    <row r="11" spans="1:17" x14ac:dyDescent="0.3">
      <c r="A11" s="94" t="str">
        <f>'SUMMARY 2'!C18</f>
        <v>COST OB REMOVAL</v>
      </c>
      <c r="B11" s="95">
        <v>117351549119.59256</v>
      </c>
      <c r="C11" s="80">
        <v>7778110546.181385</v>
      </c>
      <c r="D11" s="80">
        <v>7751770028.8050671</v>
      </c>
      <c r="E11" s="80">
        <v>7633760648.9456692</v>
      </c>
      <c r="F11" s="80">
        <f>SUMMARY!$D$22</f>
        <v>5863845675.0929871</v>
      </c>
      <c r="G11" s="80"/>
      <c r="H11" s="80"/>
      <c r="I11" s="80"/>
      <c r="J11" s="80"/>
      <c r="K11" s="80"/>
      <c r="L11" s="80"/>
      <c r="M11" s="80"/>
      <c r="N11" s="80"/>
      <c r="O11" s="95">
        <f t="shared" ref="O11:O30" si="1">SUM(C11:N11)</f>
        <v>29027486899.025108</v>
      </c>
      <c r="Q11" s="108"/>
    </row>
    <row r="12" spans="1:17" x14ac:dyDescent="0.3">
      <c r="A12" s="94" t="str">
        <f>'SUMMARY 2'!C19</f>
        <v>COST QUARRY HAULING</v>
      </c>
      <c r="B12" s="95">
        <v>15778967244.113117</v>
      </c>
      <c r="C12" s="80">
        <v>618619864.22040582</v>
      </c>
      <c r="D12" s="80">
        <v>1075055326.3786521</v>
      </c>
      <c r="E12" s="80">
        <v>1215626563.5057042</v>
      </c>
      <c r="F12" s="80">
        <f>SUMMARY!$D$23</f>
        <v>913239430.08529866</v>
      </c>
      <c r="G12" s="80"/>
      <c r="H12" s="80"/>
      <c r="I12" s="80"/>
      <c r="J12" s="80"/>
      <c r="K12" s="80"/>
      <c r="L12" s="80"/>
      <c r="M12" s="80"/>
      <c r="N12" s="80"/>
      <c r="O12" s="95">
        <f t="shared" si="1"/>
        <v>3822541184.1900606</v>
      </c>
      <c r="Q12" s="108"/>
    </row>
    <row r="13" spans="1:17" x14ac:dyDescent="0.3">
      <c r="A13" s="94" t="str">
        <f>'SUMMARY 2'!C20</f>
        <v>COST DEVELOP ACT.</v>
      </c>
      <c r="B13" s="95">
        <v>279499500</v>
      </c>
      <c r="C13" s="80">
        <v>0</v>
      </c>
      <c r="D13" s="80">
        <v>141737500</v>
      </c>
      <c r="E13" s="80">
        <v>112614000</v>
      </c>
      <c r="F13" s="80">
        <f>SUMMARY!$D$24</f>
        <v>50126000</v>
      </c>
      <c r="G13" s="80"/>
      <c r="H13" s="80"/>
      <c r="I13" s="80"/>
      <c r="J13" s="80"/>
      <c r="K13" s="80"/>
      <c r="L13" s="80"/>
      <c r="M13" s="80"/>
      <c r="N13" s="80"/>
      <c r="O13" s="95">
        <f t="shared" si="1"/>
        <v>304477500</v>
      </c>
      <c r="Q13" s="108"/>
    </row>
    <row r="14" spans="1:17" x14ac:dyDescent="0.3">
      <c r="A14" s="94" t="str">
        <f>'SUMMARY 2'!C21</f>
        <v>COST ORE GETTING</v>
      </c>
      <c r="B14" s="95">
        <v>36943314302.027191</v>
      </c>
      <c r="C14" s="80">
        <v>2360847500</v>
      </c>
      <c r="D14" s="80">
        <v>2163072201.0775251</v>
      </c>
      <c r="E14" s="80">
        <v>2216656000.4908934</v>
      </c>
      <c r="F14" s="80">
        <f>SUMMARY!$D$25</f>
        <v>1626803827.5208366</v>
      </c>
      <c r="G14" s="80"/>
      <c r="H14" s="80"/>
      <c r="I14" s="80"/>
      <c r="J14" s="80"/>
      <c r="K14" s="80"/>
      <c r="L14" s="80"/>
      <c r="M14" s="80"/>
      <c r="N14" s="80"/>
      <c r="O14" s="95">
        <f t="shared" si="1"/>
        <v>8367379529.0892553</v>
      </c>
      <c r="Q14" s="108"/>
    </row>
    <row r="15" spans="1:17" x14ac:dyDescent="0.3">
      <c r="A15" s="94" t="str">
        <f>'SUMMARY 2'!C22</f>
        <v>COST ORE HAULING</v>
      </c>
      <c r="B15" s="95">
        <v>97545270500</v>
      </c>
      <c r="C15" s="80">
        <v>8362268500</v>
      </c>
      <c r="D15" s="80">
        <v>8066319000</v>
      </c>
      <c r="E15" s="80">
        <v>9946061000</v>
      </c>
      <c r="F15" s="80">
        <f>SUMMARY!$D$26</f>
        <v>9642996500</v>
      </c>
      <c r="G15" s="80"/>
      <c r="H15" s="80"/>
      <c r="I15" s="80"/>
      <c r="J15" s="80"/>
      <c r="K15" s="80"/>
      <c r="L15" s="80"/>
      <c r="M15" s="80"/>
      <c r="N15" s="80"/>
      <c r="O15" s="95">
        <f t="shared" si="1"/>
        <v>36017645000</v>
      </c>
      <c r="Q15" s="108"/>
    </row>
    <row r="16" spans="1:17" x14ac:dyDescent="0.3">
      <c r="A16" s="94" t="str">
        <f>'SUMMARY 2'!C23</f>
        <v>COST UNIT SUPPORT</v>
      </c>
      <c r="B16" s="95">
        <v>4177854000</v>
      </c>
      <c r="C16" s="80">
        <v>323262000</v>
      </c>
      <c r="D16" s="80">
        <v>331087000</v>
      </c>
      <c r="E16" s="80">
        <v>204840000</v>
      </c>
      <c r="F16" s="80">
        <f>SUMMARY!$D$27</f>
        <v>295340000</v>
      </c>
      <c r="G16" s="80"/>
      <c r="H16" s="80"/>
      <c r="I16" s="80"/>
      <c r="J16" s="80"/>
      <c r="K16" s="80"/>
      <c r="L16" s="80"/>
      <c r="M16" s="80"/>
      <c r="N16" s="80"/>
      <c r="O16" s="95">
        <f t="shared" si="1"/>
        <v>1154529000</v>
      </c>
      <c r="Q16" s="108"/>
    </row>
    <row r="17" spans="1:15" x14ac:dyDescent="0.3">
      <c r="A17" s="69" t="s">
        <v>46</v>
      </c>
      <c r="B17" s="95">
        <v>272076454665.73285</v>
      </c>
      <c r="C17" s="80">
        <v>19443108410.401791</v>
      </c>
      <c r="D17" s="80">
        <v>19529041056.261246</v>
      </c>
      <c r="E17" s="80">
        <v>21329558212.942268</v>
      </c>
      <c r="F17" s="80">
        <f>SUMMARY!$D$30</f>
        <v>18392351432.699123</v>
      </c>
      <c r="G17" s="80"/>
      <c r="H17" s="80"/>
      <c r="I17" s="80"/>
      <c r="J17" s="80"/>
      <c r="K17" s="80"/>
      <c r="L17" s="80"/>
      <c r="M17" s="80"/>
      <c r="N17" s="80"/>
      <c r="O17" s="95">
        <f t="shared" si="1"/>
        <v>78694059112.304428</v>
      </c>
    </row>
    <row r="18" spans="1:15" x14ac:dyDescent="0.3">
      <c r="A18" s="69" t="s">
        <v>49</v>
      </c>
      <c r="B18" s="95">
        <v>368856753377.27997</v>
      </c>
      <c r="C18" s="80">
        <v>37814170652.160004</v>
      </c>
      <c r="D18" s="80">
        <v>36112147975.679993</v>
      </c>
      <c r="E18" s="80">
        <v>34423821465.599998</v>
      </c>
      <c r="F18" s="80">
        <f>SUMMARY!$D$31</f>
        <v>31546016033.280003</v>
      </c>
      <c r="G18" s="80"/>
      <c r="H18" s="80"/>
      <c r="I18" s="80"/>
      <c r="J18" s="80"/>
      <c r="K18" s="80"/>
      <c r="L18" s="80"/>
      <c r="M18" s="80"/>
      <c r="N18" s="80"/>
      <c r="O18" s="95">
        <f t="shared" si="1"/>
        <v>139896156126.72</v>
      </c>
    </row>
    <row r="19" spans="1:15" x14ac:dyDescent="0.3">
      <c r="A19" s="71" t="s">
        <v>166</v>
      </c>
      <c r="B19" s="96">
        <v>96780298711.547134</v>
      </c>
      <c r="C19" s="81">
        <f>C18-C17</f>
        <v>18371062241.758213</v>
      </c>
      <c r="D19" s="81">
        <f>D18-D17</f>
        <v>16583106919.418747</v>
      </c>
      <c r="E19" s="81">
        <v>13094263252.65773</v>
      </c>
      <c r="F19" s="81">
        <f>F18-F17</f>
        <v>13153664600.580879</v>
      </c>
      <c r="G19" s="81"/>
      <c r="H19" s="81"/>
      <c r="I19" s="81"/>
      <c r="J19" s="81"/>
      <c r="K19" s="81"/>
      <c r="L19" s="81"/>
      <c r="M19" s="81"/>
      <c r="N19" s="81"/>
      <c r="O19" s="96">
        <f t="shared" si="1"/>
        <v>61202097014.415565</v>
      </c>
    </row>
    <row r="20" spans="1:15" x14ac:dyDescent="0.3">
      <c r="A20" s="86" t="s">
        <v>342</v>
      </c>
      <c r="B20" s="88">
        <v>0.73762091157225806</v>
      </c>
      <c r="C20" s="87">
        <f>C17/C18</f>
        <v>0.51417519081014595</v>
      </c>
      <c r="D20" s="87">
        <f>D17/D18</f>
        <v>0.54078868610677022</v>
      </c>
      <c r="E20" s="87">
        <v>0.61961622227959401</v>
      </c>
      <c r="F20" s="87">
        <f>F17/F18</f>
        <v>0.58303246322121316</v>
      </c>
      <c r="G20" s="87"/>
      <c r="H20" s="87"/>
      <c r="I20" s="87"/>
      <c r="J20" s="87"/>
      <c r="K20" s="87"/>
      <c r="L20" s="87"/>
      <c r="M20" s="87"/>
      <c r="N20" s="87"/>
      <c r="O20" s="87">
        <f t="shared" ref="O20" si="2">O17/O18</f>
        <v>0.56251766518175228</v>
      </c>
    </row>
    <row r="21" spans="1:15" x14ac:dyDescent="0.3">
      <c r="A21" s="86" t="s">
        <v>167</v>
      </c>
      <c r="B21" s="88">
        <v>0.26237908842774194</v>
      </c>
      <c r="C21" s="87">
        <f>IFERROR(C19/C18,"")</f>
        <v>0.48582480918985405</v>
      </c>
      <c r="D21" s="87">
        <f>IFERROR(D19/D18,"")</f>
        <v>0.45921131389322978</v>
      </c>
      <c r="E21" s="87">
        <v>0.38038377772040599</v>
      </c>
      <c r="F21" s="87">
        <f>IFERROR(F19/F18,"")</f>
        <v>0.41696753677878684</v>
      </c>
      <c r="G21" s="87"/>
      <c r="H21" s="87"/>
      <c r="I21" s="87"/>
      <c r="J21" s="87"/>
      <c r="K21" s="87"/>
      <c r="L21" s="87"/>
      <c r="M21" s="87"/>
      <c r="N21" s="87"/>
      <c r="O21" s="88">
        <f t="shared" ref="O21" si="3">O19/O18</f>
        <v>0.43748233481824766</v>
      </c>
    </row>
    <row r="22" spans="1:15" x14ac:dyDescent="0.3">
      <c r="A22" s="89" t="s">
        <v>318</v>
      </c>
      <c r="B22" s="97">
        <v>2.4824366268315292</v>
      </c>
      <c r="C22" s="90">
        <f t="shared" ref="C22:D22" si="4">IFERROR(C27/C4,0)</f>
        <v>1.7187375733252401</v>
      </c>
      <c r="D22" s="90">
        <f t="shared" si="4"/>
        <v>1.9424888767968427</v>
      </c>
      <c r="E22" s="90">
        <v>2.0214183424561618</v>
      </c>
      <c r="F22" s="90">
        <f t="shared" ref="F22" si="5">IFERROR(F27/F4,0)</f>
        <v>1.8479057570534958</v>
      </c>
      <c r="G22" s="90"/>
      <c r="H22" s="90"/>
      <c r="I22" s="90"/>
      <c r="J22" s="90"/>
      <c r="K22" s="90"/>
      <c r="L22" s="90"/>
      <c r="M22" s="90"/>
      <c r="N22" s="90"/>
      <c r="O22" s="97">
        <f t="shared" ref="O22" si="6">IFERROR(O27/O4,0)</f>
        <v>1.8801023395793195</v>
      </c>
    </row>
    <row r="23" spans="1:15" x14ac:dyDescent="0.3">
      <c r="A23" s="89" t="s">
        <v>378</v>
      </c>
      <c r="B23" s="97"/>
      <c r="C23" s="178">
        <f>2.08/C22</f>
        <v>1.2101905679386677</v>
      </c>
      <c r="D23" s="178">
        <f>2.11/D22</f>
        <v>1.086235306263057</v>
      </c>
      <c r="E23" s="178">
        <v>0.95477514944032693</v>
      </c>
      <c r="F23" s="178">
        <f>SUMMARY!$F$14</f>
        <v>0.941606460913054</v>
      </c>
      <c r="G23" s="90"/>
      <c r="H23" s="90"/>
      <c r="I23" s="90"/>
      <c r="J23" s="90"/>
      <c r="K23" s="90"/>
      <c r="L23" s="90"/>
      <c r="M23" s="90"/>
      <c r="N23" s="90"/>
      <c r="O23" s="179">
        <f>AVERAGE(C23:N23)</f>
        <v>1.0482018711387764</v>
      </c>
    </row>
    <row r="24" spans="1:15" x14ac:dyDescent="0.3">
      <c r="A24" s="69" t="s">
        <v>73</v>
      </c>
      <c r="B24" s="69">
        <v>367</v>
      </c>
      <c r="C24" s="74">
        <v>31</v>
      </c>
      <c r="D24" s="74">
        <v>28</v>
      </c>
      <c r="E24" s="74">
        <v>31</v>
      </c>
      <c r="F24" s="74">
        <f>SUMMARY!$J$9</f>
        <v>30</v>
      </c>
      <c r="O24" s="69">
        <f t="shared" si="1"/>
        <v>120</v>
      </c>
    </row>
    <row r="25" spans="1:15" x14ac:dyDescent="0.3">
      <c r="A25" s="69" t="s">
        <v>75</v>
      </c>
      <c r="B25" s="69">
        <v>3303</v>
      </c>
      <c r="C25" s="74">
        <v>279</v>
      </c>
      <c r="D25" s="74">
        <v>252</v>
      </c>
      <c r="E25" s="74">
        <v>279</v>
      </c>
      <c r="F25" s="74">
        <f>SUMMARY!$J$10</f>
        <v>270</v>
      </c>
      <c r="O25" s="69">
        <f t="shared" si="1"/>
        <v>1080</v>
      </c>
    </row>
    <row r="26" spans="1:15" x14ac:dyDescent="0.3">
      <c r="A26" s="69" t="s">
        <v>77</v>
      </c>
      <c r="B26" s="98">
        <v>0.84999999999999976</v>
      </c>
      <c r="C26" s="82">
        <v>0.85</v>
      </c>
      <c r="D26" s="82">
        <v>0.85</v>
      </c>
      <c r="E26" s="82">
        <v>0.85</v>
      </c>
      <c r="F26" s="82">
        <f>SUMMARY!$J$11</f>
        <v>0.85</v>
      </c>
      <c r="G26" s="82"/>
      <c r="H26" s="82"/>
      <c r="I26" s="82"/>
      <c r="J26" s="82"/>
      <c r="K26" s="82"/>
      <c r="L26" s="82"/>
      <c r="M26" s="82"/>
      <c r="N26" s="82"/>
      <c r="O26" s="98">
        <f>AVERAGE(C26:N26)</f>
        <v>0.85</v>
      </c>
    </row>
    <row r="27" spans="1:15" x14ac:dyDescent="0.3">
      <c r="A27" s="69" t="s">
        <v>141</v>
      </c>
      <c r="B27" s="99">
        <v>5873252.2234062254</v>
      </c>
      <c r="C27" s="83">
        <v>416876</v>
      </c>
      <c r="D27" s="83">
        <v>449940.00000000006</v>
      </c>
      <c r="E27" s="83">
        <v>446332</v>
      </c>
      <c r="F27" s="83">
        <f>SUMMARY!$J$18</f>
        <v>373910</v>
      </c>
      <c r="G27" s="83"/>
      <c r="H27" s="83"/>
      <c r="I27" s="83"/>
      <c r="J27" s="83"/>
      <c r="K27" s="83"/>
      <c r="L27" s="83"/>
      <c r="M27" s="83"/>
      <c r="N27" s="83"/>
      <c r="O27" s="99">
        <f t="shared" si="1"/>
        <v>1687058</v>
      </c>
    </row>
    <row r="28" spans="1:15" x14ac:dyDescent="0.3">
      <c r="A28" s="69" t="s">
        <v>379</v>
      </c>
      <c r="B28" s="99"/>
      <c r="C28" s="108">
        <v>1.2396340073786931</v>
      </c>
      <c r="D28" s="108">
        <v>1.0628169729208339</v>
      </c>
      <c r="E28" s="108">
        <v>1.3193021041287654</v>
      </c>
      <c r="F28" s="108">
        <f>SUMMARY!$J$19</f>
        <v>1.5605752921291223</v>
      </c>
      <c r="G28" s="83"/>
      <c r="H28" s="83"/>
      <c r="I28" s="83"/>
      <c r="J28" s="83"/>
      <c r="K28" s="83"/>
      <c r="L28" s="83"/>
      <c r="M28" s="83"/>
      <c r="N28" s="83"/>
      <c r="O28" s="98">
        <f>AVERAGE(C28:N28)</f>
        <v>1.2955820941393537</v>
      </c>
    </row>
    <row r="29" spans="1:15" s="106" customFormat="1" x14ac:dyDescent="0.3">
      <c r="A29" s="104" t="s">
        <v>95</v>
      </c>
      <c r="B29" s="100">
        <v>1535031.7436756471</v>
      </c>
      <c r="C29" s="85">
        <v>80161.968948064983</v>
      </c>
      <c r="D29" s="85">
        <v>84311.119318789904</v>
      </c>
      <c r="E29" s="85">
        <v>96600.647518277823</v>
      </c>
      <c r="F29" s="85">
        <f>SUMMARY!$J$30</f>
        <v>90897.093146040017</v>
      </c>
      <c r="G29" s="85"/>
      <c r="H29" s="85"/>
      <c r="I29" s="85"/>
      <c r="J29" s="85"/>
      <c r="K29" s="85"/>
      <c r="L29" s="105"/>
      <c r="M29" s="105"/>
      <c r="N29" s="105"/>
      <c r="O29" s="104">
        <f t="shared" si="1"/>
        <v>351970.82893117273</v>
      </c>
    </row>
    <row r="30" spans="1:15" x14ac:dyDescent="0.3">
      <c r="A30" s="84" t="str">
        <f>[1]SUMMARY!G21</f>
        <v>( USD / Ton )</v>
      </c>
      <c r="B30" s="100">
        <v>104.79207638114839</v>
      </c>
      <c r="C30" s="85">
        <v>5.3988395035065313</v>
      </c>
      <c r="D30" s="85">
        <v>5.6782812041210873</v>
      </c>
      <c r="E30" s="85">
        <v>6.5059703339357373</v>
      </c>
      <c r="F30" s="85">
        <f>SUMMARY!$J$31</f>
        <v>6.1218408638227384</v>
      </c>
      <c r="G30" s="85"/>
      <c r="H30" s="85"/>
      <c r="I30" s="85"/>
      <c r="J30" s="85"/>
      <c r="K30" s="85"/>
      <c r="L30" s="85"/>
      <c r="M30" s="85"/>
      <c r="N30" s="85"/>
      <c r="O30" s="100">
        <f t="shared" si="1"/>
        <v>23.704931905386097</v>
      </c>
    </row>
    <row r="31" spans="1:15" x14ac:dyDescent="0.3">
      <c r="I31" s="79"/>
      <c r="J31" s="82"/>
    </row>
    <row r="41" spans="1:2" x14ac:dyDescent="0.3">
      <c r="A41" s="151"/>
      <c r="B41" s="151"/>
    </row>
    <row r="43" spans="1:2" x14ac:dyDescent="0.3">
      <c r="A43" s="152"/>
      <c r="B43" s="152"/>
    </row>
    <row r="59" spans="9:10" x14ac:dyDescent="0.3">
      <c r="I59" s="181"/>
    </row>
    <row r="61" spans="9:10" x14ac:dyDescent="0.3">
      <c r="J61" s="182"/>
    </row>
    <row r="67" spans="1:2" x14ac:dyDescent="0.3">
      <c r="A67" s="69" t="s">
        <v>400</v>
      </c>
      <c r="B67" s="74"/>
    </row>
    <row r="68" spans="1:2" x14ac:dyDescent="0.3">
      <c r="A68" s="69" t="s">
        <v>375</v>
      </c>
      <c r="B68" s="182"/>
    </row>
    <row r="69" spans="1:2" x14ac:dyDescent="0.3">
      <c r="A69" s="69" t="s">
        <v>376</v>
      </c>
      <c r="B69" s="182" t="s">
        <v>401</v>
      </c>
    </row>
    <row r="70" spans="1:2" x14ac:dyDescent="0.3">
      <c r="A70" s="69" t="s">
        <v>377</v>
      </c>
      <c r="B70" s="182"/>
    </row>
    <row r="71" spans="1:2" x14ac:dyDescent="0.3">
      <c r="A71" s="69" t="s">
        <v>378</v>
      </c>
      <c r="B71" s="182" t="s">
        <v>402</v>
      </c>
    </row>
    <row r="72" spans="1:2" x14ac:dyDescent="0.3">
      <c r="A72" s="69" t="s">
        <v>379</v>
      </c>
      <c r="B72" s="182"/>
    </row>
    <row r="73" spans="1:2" x14ac:dyDescent="0.3">
      <c r="B73" s="74"/>
    </row>
    <row r="74" spans="1:2" x14ac:dyDescent="0.3">
      <c r="B74" s="74"/>
    </row>
  </sheetData>
  <pageMargins left="0.7" right="0.7" top="0.75" bottom="0.75" header="0.3" footer="0.3"/>
  <pageSetup paperSize="8" scale="74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1"/>
  </sheetPr>
  <dimension ref="B2:O45"/>
  <sheetViews>
    <sheetView zoomScaleNormal="100" workbookViewId="0">
      <pane xSplit="3" ySplit="7" topLeftCell="D26" activePane="bottomRight" state="frozenSplit"/>
      <selection activeCell="B47" sqref="B47"/>
      <selection pane="topRight" activeCell="B47" sqref="B47"/>
      <selection pane="bottomLeft" activeCell="B47" sqref="B47"/>
      <selection pane="bottomRight" activeCell="F36" sqref="F36"/>
    </sheetView>
  </sheetViews>
  <sheetFormatPr defaultColWidth="9.109375" defaultRowHeight="13.8" x14ac:dyDescent="0.3"/>
  <cols>
    <col min="1" max="1" width="9.109375" style="15"/>
    <col min="2" max="2" width="11.5546875" style="15" customWidth="1"/>
    <col min="3" max="3" width="26.109375" style="15" bestFit="1" customWidth="1"/>
    <col min="4" max="4" width="12.6640625" style="15" customWidth="1"/>
    <col min="5" max="5" width="15.33203125" style="27" bestFit="1" customWidth="1"/>
    <col min="6" max="6" width="21.21875" style="15" bestFit="1" customWidth="1"/>
    <col min="7" max="7" width="12.6640625" style="15" customWidth="1"/>
    <col min="8" max="8" width="19.6640625" style="15" bestFit="1" customWidth="1"/>
    <col min="9" max="9" width="11" style="15" customWidth="1"/>
    <col min="10" max="10" width="20.77734375" style="15" customWidth="1"/>
    <col min="11" max="11" width="11" style="15" customWidth="1"/>
    <col min="12" max="12" width="18.5546875" style="15" customWidth="1"/>
    <col min="13" max="13" width="12.44140625" style="15" bestFit="1" customWidth="1"/>
    <col min="14" max="14" width="26.109375" style="15" bestFit="1" customWidth="1"/>
    <col min="15" max="16384" width="9.109375" style="15"/>
  </cols>
  <sheetData>
    <row r="2" spans="2:15" ht="13.8" customHeight="1" x14ac:dyDescent="0.3">
      <c r="B2" s="204" t="s">
        <v>168</v>
      </c>
      <c r="C2" s="204"/>
      <c r="D2" s="38"/>
      <c r="E2" s="38"/>
      <c r="F2" s="38"/>
      <c r="G2" s="38"/>
      <c r="H2" s="38"/>
      <c r="I2" s="38"/>
      <c r="J2" s="38"/>
    </row>
    <row r="3" spans="2:15" ht="13.8" customHeight="1" x14ac:dyDescent="0.3">
      <c r="B3" s="204"/>
      <c r="C3" s="204"/>
      <c r="D3" s="38"/>
      <c r="E3" s="38"/>
      <c r="F3" s="38"/>
      <c r="G3" s="38"/>
      <c r="H3" s="38"/>
      <c r="I3" s="38"/>
      <c r="J3" s="38"/>
    </row>
    <row r="4" spans="2:15" x14ac:dyDescent="0.3">
      <c r="D4" s="30"/>
    </row>
    <row r="5" spans="2:15" ht="15" customHeight="1" x14ac:dyDescent="0.3">
      <c r="B5" s="201" t="s">
        <v>1</v>
      </c>
      <c r="C5" s="201" t="s">
        <v>88</v>
      </c>
      <c r="D5" s="202" t="s">
        <v>36</v>
      </c>
      <c r="E5" s="202"/>
      <c r="F5" s="202"/>
      <c r="G5" s="203" t="s">
        <v>37</v>
      </c>
      <c r="H5" s="203"/>
      <c r="I5" s="201" t="s">
        <v>54</v>
      </c>
      <c r="J5" s="205" t="s">
        <v>82</v>
      </c>
      <c r="K5" s="31"/>
      <c r="L5" s="201" t="s">
        <v>47</v>
      </c>
      <c r="M5" s="201" t="s">
        <v>89</v>
      </c>
      <c r="N5" s="201"/>
    </row>
    <row r="6" spans="2:15" ht="15" customHeight="1" x14ac:dyDescent="0.3">
      <c r="B6" s="201"/>
      <c r="C6" s="201"/>
      <c r="D6" s="39" t="s">
        <v>26</v>
      </c>
      <c r="E6" s="40" t="s">
        <v>31</v>
      </c>
      <c r="F6" s="201" t="s">
        <v>28</v>
      </c>
      <c r="G6" s="39" t="s">
        <v>27</v>
      </c>
      <c r="H6" s="201" t="s">
        <v>28</v>
      </c>
      <c r="I6" s="201"/>
      <c r="J6" s="205"/>
      <c r="K6" s="31"/>
      <c r="L6" s="201"/>
      <c r="M6" s="201"/>
      <c r="N6" s="201"/>
    </row>
    <row r="7" spans="2:15" ht="15" customHeight="1" x14ac:dyDescent="0.3">
      <c r="B7" s="201"/>
      <c r="C7" s="201"/>
      <c r="D7" s="39" t="s">
        <v>29</v>
      </c>
      <c r="E7" s="40" t="s">
        <v>30</v>
      </c>
      <c r="F7" s="201"/>
      <c r="G7" s="39" t="s">
        <v>32</v>
      </c>
      <c r="H7" s="201"/>
      <c r="I7" s="39" t="s">
        <v>33</v>
      </c>
      <c r="J7" s="205"/>
      <c r="K7" s="31"/>
      <c r="L7" s="201"/>
      <c r="M7" s="201"/>
      <c r="N7" s="201"/>
    </row>
    <row r="8" spans="2:15" x14ac:dyDescent="0.3">
      <c r="B8" s="41">
        <v>1</v>
      </c>
      <c r="C8" s="41" t="s">
        <v>186</v>
      </c>
      <c r="D8" s="42">
        <v>202</v>
      </c>
      <c r="E8" s="62">
        <f>IF(O8="K",VLOOKUP(M8,Table2[[#All],[UNIT]:[Column7]],10,FALSE),0)</f>
        <v>1000000</v>
      </c>
      <c r="F8" s="43">
        <f>D8*E8</f>
        <v>202000000</v>
      </c>
      <c r="G8" s="42">
        <v>6059</v>
      </c>
      <c r="H8" s="44">
        <f t="shared" ref="H8:H38" si="0">G8*$C$43</f>
        <v>69678500</v>
      </c>
      <c r="I8" s="42">
        <f t="shared" ref="I8:I40" si="1">IFERROR(G8/D8,0)</f>
        <v>29.995049504950494</v>
      </c>
      <c r="J8" s="45">
        <f>F8+H8</f>
        <v>271678500</v>
      </c>
      <c r="K8" s="36"/>
      <c r="L8" s="41" t="s">
        <v>299</v>
      </c>
      <c r="M8" s="41" t="str">
        <f>VLOOKUP(N8,'list rate unit'!O:P,2,FALSE)</f>
        <v>PC 500 LCE-10R</v>
      </c>
      <c r="N8" s="41" t="str">
        <f>C8</f>
        <v>KOMATSU PC 500 - 01</v>
      </c>
      <c r="O8" s="15" t="s">
        <v>56</v>
      </c>
    </row>
    <row r="9" spans="2:15" x14ac:dyDescent="0.3">
      <c r="B9" s="41">
        <v>2</v>
      </c>
      <c r="C9" s="41" t="s">
        <v>187</v>
      </c>
      <c r="D9" s="42">
        <v>204</v>
      </c>
      <c r="E9" s="62">
        <f>IF(O9="K",VLOOKUP(M9,Table2[[#All],[UNIT]:[Column7]],10,FALSE),0)</f>
        <v>1000000</v>
      </c>
      <c r="F9" s="43">
        <f t="shared" ref="F9:F27" si="2">D9*E9</f>
        <v>204000000</v>
      </c>
      <c r="G9" s="42">
        <v>6014</v>
      </c>
      <c r="H9" s="44">
        <f t="shared" si="0"/>
        <v>69161000</v>
      </c>
      <c r="I9" s="42">
        <f t="shared" ref="I9:I27" si="3">IFERROR(G9/D9,0)</f>
        <v>29.480392156862745</v>
      </c>
      <c r="J9" s="45">
        <f t="shared" ref="J9:J27" si="4">F9+H9</f>
        <v>273161000</v>
      </c>
      <c r="K9" s="36"/>
      <c r="L9" s="41" t="s">
        <v>299</v>
      </c>
      <c r="M9" s="41" t="str">
        <f>VLOOKUP(N9,'list rate unit'!O:P,2,FALSE)</f>
        <v>PC 500 LCE-10R</v>
      </c>
      <c r="N9" s="41" t="str">
        <f t="shared" ref="N9:N27" si="5">C9</f>
        <v>KOMATSU PC 500 - 02</v>
      </c>
      <c r="O9" s="15" t="s">
        <v>56</v>
      </c>
    </row>
    <row r="10" spans="2:15" x14ac:dyDescent="0.3">
      <c r="B10" s="41">
        <v>3</v>
      </c>
      <c r="C10" s="41" t="s">
        <v>188</v>
      </c>
      <c r="D10" s="42">
        <v>211</v>
      </c>
      <c r="E10" s="62">
        <f>IF(O10="K",VLOOKUP(M10,Table2[[#All],[UNIT]:[Column7]],10,FALSE),0)</f>
        <v>1000000</v>
      </c>
      <c r="F10" s="43">
        <f t="shared" si="2"/>
        <v>211000000</v>
      </c>
      <c r="G10" s="42">
        <v>6440.7990867579911</v>
      </c>
      <c r="H10" s="44">
        <f t="shared" si="0"/>
        <v>74069189.497716904</v>
      </c>
      <c r="I10" s="42">
        <f t="shared" si="3"/>
        <v>30.525114155251142</v>
      </c>
      <c r="J10" s="45">
        <f t="shared" si="4"/>
        <v>285069189.4977169</v>
      </c>
      <c r="K10" s="36"/>
      <c r="L10" s="41" t="s">
        <v>299</v>
      </c>
      <c r="M10" s="41" t="str">
        <f>VLOOKUP(N10,'list rate unit'!O:P,2,FALSE)</f>
        <v>PC 500 LCE-10R</v>
      </c>
      <c r="N10" s="41" t="str">
        <f t="shared" si="5"/>
        <v>KOMATSU PC 500 - 03</v>
      </c>
      <c r="O10" s="15" t="s">
        <v>56</v>
      </c>
    </row>
    <row r="11" spans="2:15" x14ac:dyDescent="0.3">
      <c r="B11" s="41">
        <v>4</v>
      </c>
      <c r="C11" s="41" t="s">
        <v>279</v>
      </c>
      <c r="D11" s="42">
        <v>115</v>
      </c>
      <c r="E11" s="62">
        <f>IF(O11="K",VLOOKUP(M11,Table2[[#All],[UNIT]:[Column7]],10,FALSE),0)</f>
        <v>1000000</v>
      </c>
      <c r="F11" s="43">
        <f t="shared" si="2"/>
        <v>115000000</v>
      </c>
      <c r="G11" s="42">
        <v>3752.9908675799088</v>
      </c>
      <c r="H11" s="44">
        <f t="shared" si="0"/>
        <v>43159394.977168955</v>
      </c>
      <c r="I11" s="42">
        <f t="shared" si="3"/>
        <v>32.634703196347033</v>
      </c>
      <c r="J11" s="45">
        <f t="shared" si="4"/>
        <v>158159394.97716895</v>
      </c>
      <c r="K11" s="36"/>
      <c r="L11" s="41" t="s">
        <v>299</v>
      </c>
      <c r="M11" s="41" t="str">
        <f>VLOOKUP(N11,'list rate unit'!O:P,2,FALSE)</f>
        <v>PC 500 LCE-10R</v>
      </c>
      <c r="N11" s="41" t="str">
        <f t="shared" si="5"/>
        <v>KOMATSU PC 500 - 04</v>
      </c>
      <c r="O11" s="15" t="s">
        <v>56</v>
      </c>
    </row>
    <row r="12" spans="2:15" x14ac:dyDescent="0.3">
      <c r="B12" s="41">
        <v>5</v>
      </c>
      <c r="C12" s="41" t="s">
        <v>280</v>
      </c>
      <c r="D12" s="42">
        <v>41</v>
      </c>
      <c r="E12" s="62">
        <f>IF(O12="K",VLOOKUP(M12,Table2[[#All],[UNIT]:[Column7]],10,FALSE),0)</f>
        <v>950000</v>
      </c>
      <c r="F12" s="43">
        <f t="shared" si="2"/>
        <v>38950000</v>
      </c>
      <c r="G12" s="42">
        <v>992.88811188811189</v>
      </c>
      <c r="H12" s="44">
        <f t="shared" si="0"/>
        <v>11418213.286713287</v>
      </c>
      <c r="I12" s="42">
        <f t="shared" si="3"/>
        <v>24.216783216783217</v>
      </c>
      <c r="J12" s="45">
        <f t="shared" si="4"/>
        <v>50368213.286713287</v>
      </c>
      <c r="K12" s="36"/>
      <c r="L12" s="41" t="s">
        <v>299</v>
      </c>
      <c r="M12" s="41" t="str">
        <f>VLOOKUP(N12,'list rate unit'!O:P,2,FALSE)</f>
        <v>PC 400 LC SE-8</v>
      </c>
      <c r="N12" s="41" t="str">
        <f t="shared" si="5"/>
        <v>KOMATSU PC 400 - 04</v>
      </c>
      <c r="O12" s="15" t="s">
        <v>56</v>
      </c>
    </row>
    <row r="13" spans="2:15" x14ac:dyDescent="0.3">
      <c r="B13" s="41">
        <v>6</v>
      </c>
      <c r="C13" s="41" t="s">
        <v>189</v>
      </c>
      <c r="D13" s="42">
        <v>60</v>
      </c>
      <c r="E13" s="62">
        <f>IF(O13="K",VLOOKUP(M13,Table2[[#All],[UNIT]:[Column7]],10,FALSE),0)</f>
        <v>950000</v>
      </c>
      <c r="F13" s="43">
        <f t="shared" si="2"/>
        <v>57000000</v>
      </c>
      <c r="G13" s="42">
        <v>1243.5616438356165</v>
      </c>
      <c r="H13" s="44">
        <f t="shared" si="0"/>
        <v>14300958.90410959</v>
      </c>
      <c r="I13" s="42">
        <f t="shared" si="3"/>
        <v>20.726027397260275</v>
      </c>
      <c r="J13" s="45">
        <f t="shared" si="4"/>
        <v>71300958.904109597</v>
      </c>
      <c r="K13" s="36"/>
      <c r="L13" s="41" t="s">
        <v>299</v>
      </c>
      <c r="M13" s="41" t="str">
        <f>VLOOKUP(N13,'list rate unit'!O:P,2,FALSE)</f>
        <v>PC 400 LC SE-8</v>
      </c>
      <c r="N13" s="41" t="str">
        <f t="shared" si="5"/>
        <v>KOMATSU PC 400 - 05</v>
      </c>
      <c r="O13" s="15" t="s">
        <v>56</v>
      </c>
    </row>
    <row r="14" spans="2:15" x14ac:dyDescent="0.3">
      <c r="B14" s="41">
        <v>7</v>
      </c>
      <c r="C14" s="41" t="s">
        <v>207</v>
      </c>
      <c r="D14" s="42">
        <v>88</v>
      </c>
      <c r="E14" s="62">
        <f>IF(O14="K",VLOOKUP(M14,Table2[[#All],[UNIT]:[Column7]],10,FALSE),0)</f>
        <v>1424304.3667884208</v>
      </c>
      <c r="F14" s="43">
        <f t="shared" si="2"/>
        <v>125338784.27738103</v>
      </c>
      <c r="G14" s="42">
        <v>1176.2978723404256</v>
      </c>
      <c r="H14" s="44">
        <f t="shared" si="0"/>
        <v>13527425.531914894</v>
      </c>
      <c r="I14" s="42">
        <f t="shared" si="3"/>
        <v>13.367021276595745</v>
      </c>
      <c r="J14" s="45">
        <f t="shared" si="4"/>
        <v>138866209.80929592</v>
      </c>
      <c r="K14" s="36"/>
      <c r="L14" s="41" t="s">
        <v>299</v>
      </c>
      <c r="M14" s="41" t="str">
        <f>VLOOKUP(N14,'list rate unit'!O:P,2,FALSE)</f>
        <v>HM 400-3R</v>
      </c>
      <c r="N14" s="41" t="str">
        <f t="shared" si="5"/>
        <v>KOMATSU HM 400 - 11</v>
      </c>
      <c r="O14" s="15" t="s">
        <v>56</v>
      </c>
    </row>
    <row r="15" spans="2:15" x14ac:dyDescent="0.3">
      <c r="B15" s="41">
        <v>8</v>
      </c>
      <c r="C15" s="41" t="s">
        <v>208</v>
      </c>
      <c r="D15" s="42">
        <v>170</v>
      </c>
      <c r="E15" s="62">
        <f>IF(O15="K",VLOOKUP(M15,Table2[[#All],[UNIT]:[Column7]],10,FALSE),0)</f>
        <v>1424304.3667884208</v>
      </c>
      <c r="F15" s="43">
        <f t="shared" si="2"/>
        <v>242131742.35403153</v>
      </c>
      <c r="G15" s="42">
        <v>2910.5789473684213</v>
      </c>
      <c r="H15" s="44">
        <f t="shared" si="0"/>
        <v>33471657.894736845</v>
      </c>
      <c r="I15" s="42">
        <f t="shared" si="3"/>
        <v>17.121052631578948</v>
      </c>
      <c r="J15" s="45">
        <f t="shared" si="4"/>
        <v>275603400.24876839</v>
      </c>
      <c r="K15" s="36"/>
      <c r="L15" s="41" t="s">
        <v>299</v>
      </c>
      <c r="M15" s="41" t="str">
        <f>VLOOKUP(N15,'list rate unit'!O:P,2,FALSE)</f>
        <v>HM 400-3R</v>
      </c>
      <c r="N15" s="41" t="str">
        <f t="shared" si="5"/>
        <v>KOMATSU HM 400 - 12</v>
      </c>
      <c r="O15" s="15" t="s">
        <v>56</v>
      </c>
    </row>
    <row r="16" spans="2:15" x14ac:dyDescent="0.3">
      <c r="B16" s="41">
        <v>9</v>
      </c>
      <c r="C16" s="41" t="s">
        <v>209</v>
      </c>
      <c r="D16" s="42">
        <v>65</v>
      </c>
      <c r="E16" s="62">
        <f>IF(O16="K",VLOOKUP(M16,Table2[[#All],[UNIT]:[Column7]],10,FALSE),0)</f>
        <v>1424304.3667884208</v>
      </c>
      <c r="F16" s="43">
        <f t="shared" si="2"/>
        <v>92579783.84124735</v>
      </c>
      <c r="G16" s="42">
        <v>1020.7795698924732</v>
      </c>
      <c r="H16" s="44">
        <f t="shared" si="0"/>
        <v>11738965.053763442</v>
      </c>
      <c r="I16" s="42">
        <f t="shared" si="3"/>
        <v>15.704301075268818</v>
      </c>
      <c r="J16" s="45">
        <f t="shared" si="4"/>
        <v>104318748.8950108</v>
      </c>
      <c r="K16" s="36"/>
      <c r="L16" s="41" t="s">
        <v>299</v>
      </c>
      <c r="M16" s="41" t="str">
        <f>VLOOKUP(N16,'list rate unit'!O:P,2,FALSE)</f>
        <v>HM 400-3R</v>
      </c>
      <c r="N16" s="41" t="str">
        <f t="shared" si="5"/>
        <v>KOMATSU HM 400 - 13</v>
      </c>
      <c r="O16" s="15" t="s">
        <v>56</v>
      </c>
    </row>
    <row r="17" spans="2:15" x14ac:dyDescent="0.3">
      <c r="B17" s="41">
        <v>10</v>
      </c>
      <c r="C17" s="41" t="s">
        <v>210</v>
      </c>
      <c r="D17" s="42">
        <v>168</v>
      </c>
      <c r="E17" s="62">
        <f>IF(O17="K",VLOOKUP(M17,Table2[[#All],[UNIT]:[Column7]],10,FALSE),0)</f>
        <v>1424304.3667884208</v>
      </c>
      <c r="F17" s="43">
        <f t="shared" si="2"/>
        <v>239283133.6204547</v>
      </c>
      <c r="G17" s="42">
        <v>2487.355450236967</v>
      </c>
      <c r="H17" s="44">
        <f t="shared" si="0"/>
        <v>28604587.677725121</v>
      </c>
      <c r="I17" s="42">
        <f t="shared" si="3"/>
        <v>14.80568720379147</v>
      </c>
      <c r="J17" s="45">
        <f t="shared" si="4"/>
        <v>267887721.29817981</v>
      </c>
      <c r="K17" s="36"/>
      <c r="L17" s="41" t="s">
        <v>299</v>
      </c>
      <c r="M17" s="41" t="str">
        <f>VLOOKUP(N17,'list rate unit'!O:P,2,FALSE)</f>
        <v>HM 400-3R</v>
      </c>
      <c r="N17" s="41" t="str">
        <f t="shared" si="5"/>
        <v>KOMATSU HM 400 - 14</v>
      </c>
      <c r="O17" s="15" t="s">
        <v>56</v>
      </c>
    </row>
    <row r="18" spans="2:15" x14ac:dyDescent="0.3">
      <c r="B18" s="41">
        <v>11</v>
      </c>
      <c r="C18" s="41" t="s">
        <v>211</v>
      </c>
      <c r="D18" s="42">
        <v>82</v>
      </c>
      <c r="E18" s="62">
        <f>IF(O18="K",VLOOKUP(M18,Table2[[#All],[UNIT]:[Column7]],10,FALSE),0)</f>
        <v>1424304.3667884208</v>
      </c>
      <c r="F18" s="43">
        <f t="shared" ref="F18:F19" si="6">D18*E18</f>
        <v>116792958.0766505</v>
      </c>
      <c r="G18" s="42">
        <v>1150.6451612903227</v>
      </c>
      <c r="H18" s="44">
        <f t="shared" si="0"/>
        <v>13232419.35483871</v>
      </c>
      <c r="I18" s="42">
        <f t="shared" ref="I18:I19" si="7">IFERROR(G18/D18,0)</f>
        <v>14.03225806451613</v>
      </c>
      <c r="J18" s="45">
        <f t="shared" ref="J18:J19" si="8">F18+H18</f>
        <v>130025377.43148921</v>
      </c>
      <c r="K18" s="36"/>
      <c r="L18" s="41" t="s">
        <v>299</v>
      </c>
      <c r="M18" s="41" t="str">
        <f>VLOOKUP(N18,'list rate unit'!O:P,2,FALSE)</f>
        <v>HM 400-3R</v>
      </c>
      <c r="N18" s="41" t="str">
        <f t="shared" ref="N18:N19" si="9">C18</f>
        <v>KOMATSU HM 400 - 15</v>
      </c>
      <c r="O18" s="15" t="s">
        <v>56</v>
      </c>
    </row>
    <row r="19" spans="2:15" x14ac:dyDescent="0.3">
      <c r="B19" s="41">
        <v>12</v>
      </c>
      <c r="C19" s="41" t="s">
        <v>212</v>
      </c>
      <c r="D19" s="42">
        <v>154</v>
      </c>
      <c r="E19" s="62">
        <f>IF(O19="K",VLOOKUP(M19,Table2[[#All],[UNIT]:[Column7]],10,FALSE),0)</f>
        <v>1424304.3667884208</v>
      </c>
      <c r="F19" s="43">
        <f t="shared" si="6"/>
        <v>219342872.4854168</v>
      </c>
      <c r="G19" s="42">
        <v>2403</v>
      </c>
      <c r="H19" s="44">
        <f t="shared" si="0"/>
        <v>27634500</v>
      </c>
      <c r="I19" s="42">
        <f t="shared" si="7"/>
        <v>15.603896103896103</v>
      </c>
      <c r="J19" s="45">
        <f t="shared" si="8"/>
        <v>246977372.4854168</v>
      </c>
      <c r="K19" s="36"/>
      <c r="L19" s="41" t="s">
        <v>299</v>
      </c>
      <c r="M19" s="41" t="str">
        <f>VLOOKUP(N19,'list rate unit'!O:P,2,FALSE)</f>
        <v>HM 400-3R</v>
      </c>
      <c r="N19" s="41" t="str">
        <f t="shared" si="9"/>
        <v>KOMATSU HM 400 - 16</v>
      </c>
      <c r="O19" s="15" t="s">
        <v>56</v>
      </c>
    </row>
    <row r="20" spans="2:15" x14ac:dyDescent="0.3">
      <c r="B20" s="41">
        <v>13</v>
      </c>
      <c r="C20" s="41" t="s">
        <v>213</v>
      </c>
      <c r="D20" s="42">
        <v>119</v>
      </c>
      <c r="E20" s="62">
        <f>IF(O20="K",VLOOKUP(M20,Table2[[#All],[UNIT]:[Column7]],10,FALSE),0)</f>
        <v>1424304.3667884208</v>
      </c>
      <c r="F20" s="43">
        <f t="shared" si="2"/>
        <v>169492219.64782208</v>
      </c>
      <c r="G20" s="42">
        <v>1708.2536231884058</v>
      </c>
      <c r="H20" s="44">
        <f t="shared" si="0"/>
        <v>19644916.666666668</v>
      </c>
      <c r="I20" s="42">
        <f t="shared" si="3"/>
        <v>14.355072463768115</v>
      </c>
      <c r="J20" s="45">
        <f t="shared" si="4"/>
        <v>189137136.31448874</v>
      </c>
      <c r="K20" s="36"/>
      <c r="L20" s="41" t="s">
        <v>299</v>
      </c>
      <c r="M20" s="41" t="str">
        <f>VLOOKUP(N20,'list rate unit'!O:P,2,FALSE)</f>
        <v>HM 400-3R</v>
      </c>
      <c r="N20" s="41" t="str">
        <f t="shared" si="5"/>
        <v>KOMATSU HM 400 - 17</v>
      </c>
      <c r="O20" s="15" t="s">
        <v>56</v>
      </c>
    </row>
    <row r="21" spans="2:15" x14ac:dyDescent="0.3">
      <c r="B21" s="41">
        <v>14</v>
      </c>
      <c r="C21" s="41" t="s">
        <v>214</v>
      </c>
      <c r="D21" s="42">
        <v>149</v>
      </c>
      <c r="E21" s="62">
        <f>IF(O21="K",VLOOKUP(M21,Table2[[#All],[UNIT]:[Column7]],10,FALSE),0)</f>
        <v>1424304.3667884208</v>
      </c>
      <c r="F21" s="43">
        <f t="shared" si="2"/>
        <v>212221350.65147471</v>
      </c>
      <c r="G21" s="42">
        <v>2008.7112299465239</v>
      </c>
      <c r="H21" s="44">
        <f t="shared" si="0"/>
        <v>23100179.144385025</v>
      </c>
      <c r="I21" s="42">
        <f t="shared" si="3"/>
        <v>13.481283422459892</v>
      </c>
      <c r="J21" s="45">
        <f t="shared" si="4"/>
        <v>235321529.79585975</v>
      </c>
      <c r="K21" s="36"/>
      <c r="L21" s="41" t="s">
        <v>299</v>
      </c>
      <c r="M21" s="41" t="str">
        <f>VLOOKUP(N21,'list rate unit'!O:P,2,FALSE)</f>
        <v>HM 400-3R</v>
      </c>
      <c r="N21" s="41" t="str">
        <f t="shared" si="5"/>
        <v>KOMATSU HM 400 - 18</v>
      </c>
      <c r="O21" s="15" t="s">
        <v>56</v>
      </c>
    </row>
    <row r="22" spans="2:15" x14ac:dyDescent="0.3">
      <c r="B22" s="41">
        <v>15</v>
      </c>
      <c r="C22" s="41" t="s">
        <v>215</v>
      </c>
      <c r="D22" s="42">
        <v>119</v>
      </c>
      <c r="E22" s="62">
        <f>IF(O22="K",VLOOKUP(M22,Table2[[#All],[UNIT]:[Column7]],10,FALSE),0)</f>
        <v>1424304.3667884208</v>
      </c>
      <c r="F22" s="43">
        <f t="shared" si="2"/>
        <v>169492219.64782208</v>
      </c>
      <c r="G22" s="42">
        <v>1528.744318181818</v>
      </c>
      <c r="H22" s="44">
        <f t="shared" si="0"/>
        <v>17580559.659090906</v>
      </c>
      <c r="I22" s="42">
        <f t="shared" si="3"/>
        <v>12.846590909090908</v>
      </c>
      <c r="J22" s="45">
        <f t="shared" si="4"/>
        <v>187072779.30691299</v>
      </c>
      <c r="K22" s="36"/>
      <c r="L22" s="41" t="s">
        <v>299</v>
      </c>
      <c r="M22" s="41" t="str">
        <f>VLOOKUP(N22,'list rate unit'!O:P,2,FALSE)</f>
        <v>HM 400-3R</v>
      </c>
      <c r="N22" s="41" t="str">
        <f t="shared" si="5"/>
        <v>KOMATSU HM 400 - 19</v>
      </c>
      <c r="O22" s="15" t="s">
        <v>56</v>
      </c>
    </row>
    <row r="23" spans="2:15" x14ac:dyDescent="0.3">
      <c r="B23" s="41">
        <v>16</v>
      </c>
      <c r="C23" s="41" t="s">
        <v>216</v>
      </c>
      <c r="D23" s="42">
        <v>192</v>
      </c>
      <c r="E23" s="62">
        <f>IF(O23="K",VLOOKUP(M23,Table2[[#All],[UNIT]:[Column7]],10,FALSE),0)</f>
        <v>1424304.3667884208</v>
      </c>
      <c r="F23" s="43">
        <f t="shared" si="2"/>
        <v>273466438.4233768</v>
      </c>
      <c r="G23" s="42">
        <v>3134</v>
      </c>
      <c r="H23" s="44">
        <f t="shared" si="0"/>
        <v>36041000</v>
      </c>
      <c r="I23" s="42">
        <f t="shared" si="3"/>
        <v>16.322916666666668</v>
      </c>
      <c r="J23" s="45">
        <f t="shared" si="4"/>
        <v>309507438.4233768</v>
      </c>
      <c r="K23" s="36"/>
      <c r="L23" s="41" t="s">
        <v>299</v>
      </c>
      <c r="M23" s="41" t="str">
        <f>VLOOKUP(N23,'list rate unit'!O:P,2,FALSE)</f>
        <v>HM 400-3R</v>
      </c>
      <c r="N23" s="41" t="str">
        <f t="shared" si="5"/>
        <v>KOMATSU HM 400 - 20</v>
      </c>
      <c r="O23" s="15" t="s">
        <v>56</v>
      </c>
    </row>
    <row r="24" spans="2:15" x14ac:dyDescent="0.3">
      <c r="B24" s="41">
        <v>17</v>
      </c>
      <c r="C24" s="41" t="s">
        <v>217</v>
      </c>
      <c r="D24" s="42">
        <v>184</v>
      </c>
      <c r="E24" s="62">
        <f>IF(O24="K",VLOOKUP(M24,Table2[[#All],[UNIT]:[Column7]],10,FALSE),0)</f>
        <v>1424304.3667884208</v>
      </c>
      <c r="F24" s="43">
        <f t="shared" si="2"/>
        <v>262072003.48906943</v>
      </c>
      <c r="G24" s="42">
        <v>2659.5510204081634</v>
      </c>
      <c r="H24" s="44">
        <f t="shared" si="0"/>
        <v>30584836.734693877</v>
      </c>
      <c r="I24" s="42">
        <f t="shared" si="3"/>
        <v>14.454081632653061</v>
      </c>
      <c r="J24" s="45">
        <f t="shared" si="4"/>
        <v>292656840.22376329</v>
      </c>
      <c r="K24" s="36"/>
      <c r="L24" s="41" t="s">
        <v>299</v>
      </c>
      <c r="M24" s="41" t="str">
        <f>VLOOKUP(N24,'list rate unit'!O:P,2,FALSE)</f>
        <v>HM 400-3R</v>
      </c>
      <c r="N24" s="41" t="str">
        <f t="shared" si="5"/>
        <v>KOMATSU HM 400 - 21</v>
      </c>
      <c r="O24" s="15" t="s">
        <v>56</v>
      </c>
    </row>
    <row r="25" spans="2:15" x14ac:dyDescent="0.3">
      <c r="B25" s="41">
        <v>18</v>
      </c>
      <c r="C25" s="41" t="s">
        <v>218</v>
      </c>
      <c r="D25" s="42">
        <v>190</v>
      </c>
      <c r="E25" s="62">
        <f>IF(O25="K",VLOOKUP(M25,Table2[[#All],[UNIT]:[Column7]],10,FALSE),0)</f>
        <v>1424304.3667884208</v>
      </c>
      <c r="F25" s="43">
        <f t="shared" si="2"/>
        <v>270617829.68979996</v>
      </c>
      <c r="G25" s="42">
        <v>2653</v>
      </c>
      <c r="H25" s="44">
        <f t="shared" si="0"/>
        <v>30509500</v>
      </c>
      <c r="I25" s="42">
        <f t="shared" si="3"/>
        <v>13.963157894736842</v>
      </c>
      <c r="J25" s="45">
        <f t="shared" si="4"/>
        <v>301127329.68979996</v>
      </c>
      <c r="K25" s="36"/>
      <c r="L25" s="41" t="s">
        <v>299</v>
      </c>
      <c r="M25" s="41" t="str">
        <f>VLOOKUP(N25,'list rate unit'!O:P,2,FALSE)</f>
        <v>HM 400-3R</v>
      </c>
      <c r="N25" s="41" t="str">
        <f t="shared" si="5"/>
        <v>KOMATSU HM 400 - 22</v>
      </c>
      <c r="O25" s="15" t="s">
        <v>56</v>
      </c>
    </row>
    <row r="26" spans="2:15" x14ac:dyDescent="0.3">
      <c r="B26" s="41">
        <v>19</v>
      </c>
      <c r="C26" s="41" t="s">
        <v>281</v>
      </c>
      <c r="D26" s="42">
        <v>170</v>
      </c>
      <c r="E26" s="62">
        <f>IF(O26="K",VLOOKUP(M26,Table2[[#All],[UNIT]:[Column7]],10,FALSE),0)</f>
        <v>1424304.3667884208</v>
      </c>
      <c r="F26" s="43">
        <f t="shared" si="2"/>
        <v>242131742.35403153</v>
      </c>
      <c r="G26" s="42">
        <v>2704.3783783783783</v>
      </c>
      <c r="H26" s="44">
        <f t="shared" si="0"/>
        <v>31100351.351351351</v>
      </c>
      <c r="I26" s="42">
        <f t="shared" si="3"/>
        <v>15.908108108108108</v>
      </c>
      <c r="J26" s="45">
        <f t="shared" si="4"/>
        <v>273232093.70538288</v>
      </c>
      <c r="K26" s="36"/>
      <c r="L26" s="41" t="s">
        <v>299</v>
      </c>
      <c r="M26" s="41" t="str">
        <f>VLOOKUP(N26,'list rate unit'!O:P,2,FALSE)</f>
        <v>HM 400-3R</v>
      </c>
      <c r="N26" s="41" t="str">
        <f t="shared" si="5"/>
        <v>KOMATSU HM 400 - 23</v>
      </c>
      <c r="O26" s="15" t="s">
        <v>56</v>
      </c>
    </row>
    <row r="27" spans="2:15" x14ac:dyDescent="0.3">
      <c r="B27" s="41">
        <v>20</v>
      </c>
      <c r="C27" s="41" t="s">
        <v>282</v>
      </c>
      <c r="D27" s="42">
        <v>156</v>
      </c>
      <c r="E27" s="62">
        <f>IF(O27="K",VLOOKUP(M27,Table2[[#All],[UNIT]:[Column7]],10,FALSE),0)</f>
        <v>1424304.3667884208</v>
      </c>
      <c r="F27" s="43">
        <f t="shared" si="2"/>
        <v>222191481.21899366</v>
      </c>
      <c r="G27" s="42">
        <v>1846</v>
      </c>
      <c r="H27" s="44">
        <f t="shared" si="0"/>
        <v>21229000</v>
      </c>
      <c r="I27" s="42">
        <f t="shared" si="3"/>
        <v>11.833333333333334</v>
      </c>
      <c r="J27" s="45">
        <f t="shared" si="4"/>
        <v>243420481.21899366</v>
      </c>
      <c r="K27" s="36"/>
      <c r="L27" s="41" t="s">
        <v>299</v>
      </c>
      <c r="M27" s="41" t="str">
        <f>VLOOKUP(N27,'list rate unit'!O:P,2,FALSE)</f>
        <v>HM 400-3R</v>
      </c>
      <c r="N27" s="41" t="str">
        <f t="shared" si="5"/>
        <v>KOMATSU HM 400 - 24</v>
      </c>
      <c r="O27" s="15" t="s">
        <v>56</v>
      </c>
    </row>
    <row r="28" spans="2:15" x14ac:dyDescent="0.3">
      <c r="B28" s="41">
        <v>21</v>
      </c>
      <c r="C28" s="41" t="s">
        <v>283</v>
      </c>
      <c r="D28" s="42">
        <v>177</v>
      </c>
      <c r="E28" s="62">
        <f>IF(O28="K",VLOOKUP(M28,Table2[[#All],[UNIT]:[Column7]],10,FALSE),0)</f>
        <v>1424304.3667884208</v>
      </c>
      <c r="F28" s="43">
        <f t="shared" ref="F28:F38" si="10">D28*E28</f>
        <v>252101872.92155048</v>
      </c>
      <c r="G28" s="42">
        <v>2211.6728971962616</v>
      </c>
      <c r="H28" s="44">
        <f t="shared" si="0"/>
        <v>25434238.317757007</v>
      </c>
      <c r="I28" s="42">
        <f t="shared" ref="I28:I38" si="11">IFERROR(G28/D28,0)</f>
        <v>12.495327102803738</v>
      </c>
      <c r="J28" s="45">
        <f t="shared" ref="J28:J38" si="12">F28+H28</f>
        <v>277536111.23930746</v>
      </c>
      <c r="K28" s="36"/>
      <c r="L28" s="41" t="s">
        <v>299</v>
      </c>
      <c r="M28" s="41" t="str">
        <f>VLOOKUP(N28,'list rate unit'!O:P,2,FALSE)</f>
        <v>HM 400-3R</v>
      </c>
      <c r="N28" s="41" t="str">
        <f t="shared" ref="N28:N38" si="13">C28</f>
        <v>KOMATSU HM 400 - 25</v>
      </c>
      <c r="O28" s="15" t="s">
        <v>56</v>
      </c>
    </row>
    <row r="29" spans="2:15" x14ac:dyDescent="0.3">
      <c r="B29" s="41">
        <v>22</v>
      </c>
      <c r="C29" s="41" t="s">
        <v>295</v>
      </c>
      <c r="D29" s="42">
        <v>158</v>
      </c>
      <c r="E29" s="62">
        <f>IF(O29="K",VLOOKUP(M29,Table2[[#All],[UNIT]:[Column7]],10,FALSE),0)</f>
        <v>425000</v>
      </c>
      <c r="F29" s="43">
        <f t="shared" si="10"/>
        <v>67150000</v>
      </c>
      <c r="G29" s="42">
        <v>3706</v>
      </c>
      <c r="H29" s="44">
        <f t="shared" si="0"/>
        <v>42619000</v>
      </c>
      <c r="I29" s="42">
        <f t="shared" si="11"/>
        <v>23.455696202531644</v>
      </c>
      <c r="J29" s="45">
        <f t="shared" si="12"/>
        <v>109769000</v>
      </c>
      <c r="K29" s="36"/>
      <c r="L29" s="41" t="s">
        <v>299</v>
      </c>
      <c r="M29" s="41" t="str">
        <f>VLOOKUP(N29,'list rate unit'!O:P,2,FALSE)</f>
        <v>D 65 P-12</v>
      </c>
      <c r="N29" s="41" t="str">
        <f t="shared" si="13"/>
        <v>KOMATSU DOZER D65 - 10</v>
      </c>
      <c r="O29" s="15" t="s">
        <v>56</v>
      </c>
    </row>
    <row r="30" spans="2:15" x14ac:dyDescent="0.3">
      <c r="B30" s="41">
        <v>23</v>
      </c>
      <c r="C30" s="41" t="s">
        <v>220</v>
      </c>
      <c r="D30" s="42">
        <v>205</v>
      </c>
      <c r="E30" s="62">
        <f>IF(O30="K",VLOOKUP(M30,Table2[[#All],[UNIT]:[Column7]],10,FALSE),0)</f>
        <v>425000</v>
      </c>
      <c r="F30" s="43">
        <f t="shared" si="10"/>
        <v>87125000</v>
      </c>
      <c r="G30" s="42">
        <v>5856</v>
      </c>
      <c r="H30" s="44">
        <f t="shared" si="0"/>
        <v>67344000</v>
      </c>
      <c r="I30" s="42">
        <f t="shared" si="11"/>
        <v>28.565853658536586</v>
      </c>
      <c r="J30" s="45">
        <f t="shared" si="12"/>
        <v>154469000</v>
      </c>
      <c r="K30" s="36"/>
      <c r="L30" s="41" t="s">
        <v>299</v>
      </c>
      <c r="M30" s="41" t="str">
        <f>VLOOKUP(N30,'list rate unit'!O:P,2,FALSE)</f>
        <v>D 65 P-12</v>
      </c>
      <c r="N30" s="41" t="str">
        <f t="shared" si="13"/>
        <v>KOMATSU DOZER D65 - 13</v>
      </c>
      <c r="O30" s="15" t="s">
        <v>56</v>
      </c>
    </row>
    <row r="31" spans="2:15" x14ac:dyDescent="0.3">
      <c r="B31" s="41">
        <v>24</v>
      </c>
      <c r="C31" s="41" t="s">
        <v>221</v>
      </c>
      <c r="D31" s="42">
        <v>210</v>
      </c>
      <c r="E31" s="62">
        <f>IF(O31="K",VLOOKUP(M31,Table2[[#All],[UNIT]:[Column7]],10,FALSE),0)</f>
        <v>425000</v>
      </c>
      <c r="F31" s="43">
        <f t="shared" si="10"/>
        <v>89250000</v>
      </c>
      <c r="G31" s="42">
        <v>5020</v>
      </c>
      <c r="H31" s="44">
        <f t="shared" si="0"/>
        <v>57730000</v>
      </c>
      <c r="I31" s="42">
        <f t="shared" si="11"/>
        <v>23.904761904761905</v>
      </c>
      <c r="J31" s="45">
        <f t="shared" si="12"/>
        <v>146980000</v>
      </c>
      <c r="K31" s="36"/>
      <c r="L31" s="41" t="s">
        <v>299</v>
      </c>
      <c r="M31" s="41" t="str">
        <f>VLOOKUP(N31,'list rate unit'!O:P,2,FALSE)</f>
        <v>D 65 P-12</v>
      </c>
      <c r="N31" s="41" t="str">
        <f t="shared" si="13"/>
        <v>KOMATSU DOZER D65 - 15</v>
      </c>
      <c r="O31" s="15" t="s">
        <v>56</v>
      </c>
    </row>
    <row r="32" spans="2:15" x14ac:dyDescent="0.3">
      <c r="B32" s="41">
        <v>25</v>
      </c>
      <c r="C32" s="41" t="s">
        <v>222</v>
      </c>
      <c r="D32" s="42">
        <v>240</v>
      </c>
      <c r="E32" s="62">
        <f>IF(O32="K",VLOOKUP(M32,Table2[[#All],[UNIT]:[Column7]],10,FALSE),0)</f>
        <v>425000</v>
      </c>
      <c r="F32" s="43">
        <f t="shared" si="10"/>
        <v>102000000</v>
      </c>
      <c r="G32" s="42">
        <v>6406</v>
      </c>
      <c r="H32" s="44">
        <f t="shared" si="0"/>
        <v>73669000</v>
      </c>
      <c r="I32" s="42">
        <f t="shared" si="11"/>
        <v>26.691666666666666</v>
      </c>
      <c r="J32" s="45">
        <f t="shared" si="12"/>
        <v>175669000</v>
      </c>
      <c r="K32" s="36"/>
      <c r="L32" s="41" t="s">
        <v>299</v>
      </c>
      <c r="M32" s="41" t="str">
        <f>VLOOKUP(N32,'list rate unit'!O:P,2,FALSE)</f>
        <v>D 65 P-12</v>
      </c>
      <c r="N32" s="41" t="str">
        <f t="shared" si="13"/>
        <v>KOMATSU DOZER D65 - 16</v>
      </c>
      <c r="O32" s="15" t="s">
        <v>56</v>
      </c>
    </row>
    <row r="33" spans="2:15" x14ac:dyDescent="0.3">
      <c r="B33" s="41">
        <v>26</v>
      </c>
      <c r="C33" s="41" t="s">
        <v>284</v>
      </c>
      <c r="D33" s="42">
        <v>207</v>
      </c>
      <c r="E33" s="62">
        <f>IF(O33="K",VLOOKUP(M33,Table2[[#All],[UNIT]:[Column7]],10,FALSE),0)</f>
        <v>425000</v>
      </c>
      <c r="F33" s="43">
        <f t="shared" si="10"/>
        <v>87975000</v>
      </c>
      <c r="G33" s="42">
        <v>5337</v>
      </c>
      <c r="H33" s="44">
        <f t="shared" si="0"/>
        <v>61375500</v>
      </c>
      <c r="I33" s="42">
        <f t="shared" si="11"/>
        <v>25.782608695652176</v>
      </c>
      <c r="J33" s="45">
        <f t="shared" si="12"/>
        <v>149350500</v>
      </c>
      <c r="K33" s="36"/>
      <c r="L33" s="41" t="s">
        <v>299</v>
      </c>
      <c r="M33" s="41" t="str">
        <f>VLOOKUP(N33,'list rate unit'!O:P,2,FALSE)</f>
        <v>D 65 P-12</v>
      </c>
      <c r="N33" s="41" t="str">
        <f t="shared" si="13"/>
        <v>KOMATSU DOZER D65 - 18</v>
      </c>
      <c r="O33" s="15" t="s">
        <v>56</v>
      </c>
    </row>
    <row r="34" spans="2:15" x14ac:dyDescent="0.3">
      <c r="B34" s="41">
        <v>27</v>
      </c>
      <c r="C34" s="41" t="s">
        <v>361</v>
      </c>
      <c r="D34" s="42">
        <v>93</v>
      </c>
      <c r="E34" s="62">
        <f>IF(O34="K",VLOOKUP(M34,Table2[[#All],[UNIT]:[Column7]],10,FALSE),0)</f>
        <v>425000</v>
      </c>
      <c r="F34" s="43">
        <f t="shared" si="10"/>
        <v>39525000</v>
      </c>
      <c r="G34" s="42">
        <v>1827</v>
      </c>
      <c r="H34" s="44">
        <f t="shared" si="0"/>
        <v>21010500</v>
      </c>
      <c r="I34" s="42">
        <f t="shared" si="11"/>
        <v>19.64516129032258</v>
      </c>
      <c r="J34" s="45">
        <f t="shared" si="12"/>
        <v>60535500</v>
      </c>
      <c r="K34" s="36"/>
      <c r="L34" s="41" t="s">
        <v>299</v>
      </c>
      <c r="M34" s="41" t="str">
        <f>VLOOKUP(N34,'list rate unit'!O:P,2,FALSE)</f>
        <v>D 85 ESS-2</v>
      </c>
      <c r="N34" s="41" t="str">
        <f t="shared" si="13"/>
        <v>KOMATSU DOZER D85SS - 06</v>
      </c>
      <c r="O34" s="15" t="s">
        <v>56</v>
      </c>
    </row>
    <row r="35" spans="2:15" x14ac:dyDescent="0.3">
      <c r="B35" s="41">
        <v>28</v>
      </c>
      <c r="C35" s="41" t="s">
        <v>223</v>
      </c>
      <c r="D35" s="42">
        <v>140</v>
      </c>
      <c r="E35" s="62">
        <f>IF(O35="K",VLOOKUP(M35,Table2[[#All],[UNIT]:[Column7]],10,FALSE),0)</f>
        <v>425000</v>
      </c>
      <c r="F35" s="43">
        <f t="shared" si="10"/>
        <v>59500000</v>
      </c>
      <c r="G35" s="42">
        <v>2864</v>
      </c>
      <c r="H35" s="44">
        <f t="shared" si="0"/>
        <v>32936000</v>
      </c>
      <c r="I35" s="42">
        <f t="shared" si="11"/>
        <v>20.457142857142856</v>
      </c>
      <c r="J35" s="45">
        <f t="shared" si="12"/>
        <v>92436000</v>
      </c>
      <c r="K35" s="36"/>
      <c r="L35" s="41" t="s">
        <v>299</v>
      </c>
      <c r="M35" s="41" t="str">
        <f>VLOOKUP(N35,'list rate unit'!O:P,2,FALSE)</f>
        <v>D 85 ESS-2</v>
      </c>
      <c r="N35" s="41" t="str">
        <f t="shared" si="13"/>
        <v>KOMATSU DOZER D85SS - 14</v>
      </c>
      <c r="O35" s="15" t="s">
        <v>56</v>
      </c>
    </row>
    <row r="36" spans="2:15" x14ac:dyDescent="0.3">
      <c r="B36" s="41">
        <v>29</v>
      </c>
      <c r="C36" s="41" t="s">
        <v>297</v>
      </c>
      <c r="D36" s="42">
        <v>212</v>
      </c>
      <c r="E36" s="62">
        <f>IF(O36="K",VLOOKUP(M36,Table2[[#All],[UNIT]:[Column7]],10,FALSE),0)</f>
        <v>425000</v>
      </c>
      <c r="F36" s="43">
        <f t="shared" si="10"/>
        <v>90100000</v>
      </c>
      <c r="G36" s="42">
        <v>5331</v>
      </c>
      <c r="H36" s="44">
        <f t="shared" si="0"/>
        <v>61306500</v>
      </c>
      <c r="I36" s="42">
        <f t="shared" si="11"/>
        <v>25.14622641509434</v>
      </c>
      <c r="J36" s="45">
        <f t="shared" si="12"/>
        <v>151406500</v>
      </c>
      <c r="K36" s="36"/>
      <c r="L36" s="41" t="s">
        <v>299</v>
      </c>
      <c r="M36" s="41" t="str">
        <f>VLOOKUP(N36,'list rate unit'!O:P,2,FALSE)</f>
        <v>D 85 ESS-2</v>
      </c>
      <c r="N36" s="41" t="str">
        <f t="shared" si="13"/>
        <v>KOMATSU DOZER D85SS - 17</v>
      </c>
      <c r="O36" s="15" t="s">
        <v>56</v>
      </c>
    </row>
    <row r="37" spans="2:15" x14ac:dyDescent="0.3">
      <c r="B37" s="41">
        <v>30</v>
      </c>
      <c r="C37" s="41" t="s">
        <v>224</v>
      </c>
      <c r="D37" s="42">
        <v>202</v>
      </c>
      <c r="E37" s="62">
        <f>IF(O37="K",VLOOKUP(M37,Table2[[#All],[UNIT]:[Column7]],10,FALSE),0)</f>
        <v>425000</v>
      </c>
      <c r="F37" s="43">
        <f t="shared" si="10"/>
        <v>85850000</v>
      </c>
      <c r="G37" s="42">
        <v>3059</v>
      </c>
      <c r="H37" s="44">
        <f t="shared" si="0"/>
        <v>35178500</v>
      </c>
      <c r="I37" s="42">
        <f t="shared" si="11"/>
        <v>15.143564356435643</v>
      </c>
      <c r="J37" s="45">
        <f t="shared" si="12"/>
        <v>121028500</v>
      </c>
      <c r="K37" s="36"/>
      <c r="L37" s="41" t="s">
        <v>299</v>
      </c>
      <c r="M37" s="41" t="str">
        <f>VLOOKUP(N37,'list rate unit'!O:P,2,FALSE)</f>
        <v>D 85 ESS-2</v>
      </c>
      <c r="N37" s="41" t="str">
        <f t="shared" si="13"/>
        <v>KOMATSU DOZER D85SS - 18</v>
      </c>
      <c r="O37" s="15" t="s">
        <v>56</v>
      </c>
    </row>
    <row r="38" spans="2:15" x14ac:dyDescent="0.3">
      <c r="B38" s="41">
        <v>31</v>
      </c>
      <c r="C38" s="41" t="s">
        <v>285</v>
      </c>
      <c r="D38" s="42">
        <v>174</v>
      </c>
      <c r="E38" s="62">
        <f>IF(O38="K",VLOOKUP(M38,Table2[[#All],[UNIT]:[Column7]],10,FALSE),0)</f>
        <v>425000</v>
      </c>
      <c r="F38" s="43">
        <f t="shared" si="10"/>
        <v>73950000</v>
      </c>
      <c r="G38" s="42">
        <v>3984.6824644549761</v>
      </c>
      <c r="H38" s="44">
        <f t="shared" si="0"/>
        <v>45823848.341232225</v>
      </c>
      <c r="I38" s="42">
        <f t="shared" si="11"/>
        <v>22.900473933649288</v>
      </c>
      <c r="J38" s="45">
        <f t="shared" si="12"/>
        <v>119773848.34123223</v>
      </c>
      <c r="K38" s="36"/>
      <c r="L38" s="41" t="s">
        <v>299</v>
      </c>
      <c r="M38" s="41" t="str">
        <f>VLOOKUP(N38,'list rate unit'!O:P,2,FALSE)</f>
        <v>D 85 ESS-2</v>
      </c>
      <c r="N38" s="41" t="str">
        <f t="shared" si="13"/>
        <v>KOMATSU DOZER D85SS - 20</v>
      </c>
      <c r="O38" s="15" t="s">
        <v>56</v>
      </c>
    </row>
    <row r="39" spans="2:15" x14ac:dyDescent="0.3">
      <c r="D39" s="18"/>
      <c r="F39" s="32"/>
      <c r="G39" s="18"/>
      <c r="H39" s="30"/>
      <c r="I39" s="18"/>
      <c r="J39" s="33"/>
      <c r="K39" s="18"/>
    </row>
    <row r="40" spans="2:15" s="1" customFormat="1" ht="15.75" customHeight="1" x14ac:dyDescent="0.3">
      <c r="B40" s="200" t="s">
        <v>21</v>
      </c>
      <c r="C40" s="200"/>
      <c r="D40" s="46">
        <f>SUM(D8:D39)</f>
        <v>4857</v>
      </c>
      <c r="E40" s="63">
        <f>AVERAGE(E8:E39)</f>
        <v>1016598.8871556876</v>
      </c>
      <c r="F40" s="47">
        <f>SUM(F8:F39)</f>
        <v>4719631432.6991224</v>
      </c>
      <c r="G40" s="46">
        <f>SUM(G8:G39)</f>
        <v>99496.890642944767</v>
      </c>
      <c r="H40" s="47">
        <f>SUM(H8:H39)</f>
        <v>1144214242.3938651</v>
      </c>
      <c r="I40" s="46">
        <f t="shared" si="1"/>
        <v>20.485256463443434</v>
      </c>
      <c r="J40" s="48">
        <f>SUM(J8:J39)</f>
        <v>5863845675.0929871</v>
      </c>
      <c r="K40" s="37"/>
    </row>
    <row r="42" spans="2:15" x14ac:dyDescent="0.3">
      <c r="B42" s="35" t="s">
        <v>34</v>
      </c>
      <c r="C42" s="29">
        <f>'SUMMARY 2'!I28</f>
        <v>14848</v>
      </c>
    </row>
    <row r="43" spans="2:15" x14ac:dyDescent="0.3">
      <c r="B43" s="35" t="s">
        <v>35</v>
      </c>
      <c r="C43" s="29">
        <f>'SUMMARY 2'!I13</f>
        <v>11500</v>
      </c>
      <c r="F43" s="30"/>
      <c r="G43" s="18"/>
    </row>
    <row r="45" spans="2:15" x14ac:dyDescent="0.3">
      <c r="F45" s="18"/>
    </row>
  </sheetData>
  <autoFilter ref="B7:O40" xr:uid="{00000000-0009-0000-0000-000003000000}"/>
  <mergeCells count="13">
    <mergeCell ref="B2:C3"/>
    <mergeCell ref="M5:M7"/>
    <mergeCell ref="N5:N7"/>
    <mergeCell ref="I5:I6"/>
    <mergeCell ref="L5:L7"/>
    <mergeCell ref="J5:J7"/>
    <mergeCell ref="B40:C40"/>
    <mergeCell ref="C5:C7"/>
    <mergeCell ref="B5:B7"/>
    <mergeCell ref="D5:F5"/>
    <mergeCell ref="G5:H5"/>
    <mergeCell ref="F6:F7"/>
    <mergeCell ref="H6:H7"/>
  </mergeCells>
  <phoneticPr fontId="14" type="noConversion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F33128B-9CB6-41BB-A6F2-5A1244E7F40E}">
          <x14:formula1>
            <xm:f>'list rate unit'!$B$6:$B$26</xm:f>
          </x14:formula1>
          <xm:sqref>M1:M1048576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72BFF-0320-4202-A883-1F84807D84F4}">
  <sheetPr>
    <tabColor theme="1"/>
  </sheetPr>
  <dimension ref="B2:O31"/>
  <sheetViews>
    <sheetView zoomScaleNormal="100" workbookViewId="0">
      <pane xSplit="3" ySplit="7" topLeftCell="D8" activePane="bottomRight" state="frozenSplit"/>
      <selection activeCell="B47" sqref="B47"/>
      <selection pane="topRight" activeCell="B47" sqref="B47"/>
      <selection pane="bottomLeft" activeCell="B47" sqref="B47"/>
      <selection pane="bottomRight" activeCell="H14" sqref="H14"/>
    </sheetView>
  </sheetViews>
  <sheetFormatPr defaultColWidth="9.109375" defaultRowHeight="13.8" x14ac:dyDescent="0.3"/>
  <cols>
    <col min="1" max="1" width="9.109375" style="15"/>
    <col min="2" max="2" width="11.5546875" style="15" customWidth="1"/>
    <col min="3" max="3" width="26.109375" style="15" bestFit="1" customWidth="1"/>
    <col min="4" max="4" width="12.6640625" style="15" customWidth="1"/>
    <col min="5" max="5" width="15.33203125" style="27" bestFit="1" customWidth="1"/>
    <col min="6" max="6" width="21.21875" style="15" bestFit="1" customWidth="1"/>
    <col min="7" max="7" width="12.6640625" style="15" customWidth="1"/>
    <col min="8" max="8" width="19.6640625" style="15" bestFit="1" customWidth="1"/>
    <col min="9" max="9" width="11" style="15" customWidth="1"/>
    <col min="10" max="10" width="20.77734375" style="15" customWidth="1"/>
    <col min="11" max="11" width="11" style="15" customWidth="1"/>
    <col min="12" max="12" width="18.5546875" style="15" customWidth="1"/>
    <col min="13" max="13" width="12.44140625" style="15" bestFit="1" customWidth="1"/>
    <col min="14" max="14" width="26.109375" style="15" bestFit="1" customWidth="1"/>
    <col min="15" max="16384" width="9.109375" style="15"/>
  </cols>
  <sheetData>
    <row r="2" spans="2:15" ht="13.8" customHeight="1" x14ac:dyDescent="0.3">
      <c r="B2" s="204" t="s">
        <v>169</v>
      </c>
      <c r="C2" s="204"/>
      <c r="D2" s="38"/>
      <c r="E2" s="38"/>
      <c r="F2" s="38"/>
      <c r="G2" s="38"/>
      <c r="H2" s="38"/>
      <c r="I2" s="38"/>
      <c r="J2" s="38"/>
    </row>
    <row r="3" spans="2:15" ht="13.8" customHeight="1" x14ac:dyDescent="0.3">
      <c r="B3" s="204"/>
      <c r="C3" s="204"/>
      <c r="D3" s="38"/>
      <c r="E3" s="38"/>
      <c r="F3" s="38"/>
      <c r="G3" s="38"/>
      <c r="H3" s="38"/>
      <c r="I3" s="38"/>
      <c r="J3" s="38"/>
    </row>
    <row r="4" spans="2:15" x14ac:dyDescent="0.3">
      <c r="D4" s="30"/>
    </row>
    <row r="5" spans="2:15" ht="15" customHeight="1" x14ac:dyDescent="0.3">
      <c r="B5" s="201" t="s">
        <v>1</v>
      </c>
      <c r="C5" s="201" t="s">
        <v>88</v>
      </c>
      <c r="D5" s="202" t="s">
        <v>36</v>
      </c>
      <c r="E5" s="202"/>
      <c r="F5" s="202"/>
      <c r="G5" s="203" t="s">
        <v>37</v>
      </c>
      <c r="H5" s="203"/>
      <c r="I5" s="201" t="s">
        <v>54</v>
      </c>
      <c r="J5" s="205" t="s">
        <v>82</v>
      </c>
      <c r="K5" s="31"/>
      <c r="L5" s="201" t="s">
        <v>47</v>
      </c>
      <c r="M5" s="201" t="s">
        <v>89</v>
      </c>
      <c r="N5" s="201"/>
    </row>
    <row r="6" spans="2:15" ht="15" customHeight="1" x14ac:dyDescent="0.3">
      <c r="B6" s="201"/>
      <c r="C6" s="201"/>
      <c r="D6" s="39" t="s">
        <v>26</v>
      </c>
      <c r="E6" s="40" t="s">
        <v>31</v>
      </c>
      <c r="F6" s="201" t="s">
        <v>28</v>
      </c>
      <c r="G6" s="39" t="s">
        <v>27</v>
      </c>
      <c r="H6" s="201" t="s">
        <v>28</v>
      </c>
      <c r="I6" s="201"/>
      <c r="J6" s="205"/>
      <c r="K6" s="31"/>
      <c r="L6" s="201"/>
      <c r="M6" s="201"/>
      <c r="N6" s="201"/>
    </row>
    <row r="7" spans="2:15" ht="15" customHeight="1" x14ac:dyDescent="0.3">
      <c r="B7" s="201"/>
      <c r="C7" s="201"/>
      <c r="D7" s="39" t="s">
        <v>29</v>
      </c>
      <c r="E7" s="40" t="s">
        <v>30</v>
      </c>
      <c r="F7" s="201"/>
      <c r="G7" s="39" t="s">
        <v>32</v>
      </c>
      <c r="H7" s="201"/>
      <c r="I7" s="39" t="s">
        <v>33</v>
      </c>
      <c r="J7" s="205"/>
      <c r="K7" s="31"/>
      <c r="L7" s="201"/>
      <c r="M7" s="201"/>
      <c r="N7" s="201"/>
    </row>
    <row r="8" spans="2:15" x14ac:dyDescent="0.3">
      <c r="B8" s="41">
        <v>1</v>
      </c>
      <c r="C8" s="41" t="s">
        <v>188</v>
      </c>
      <c r="D8" s="42">
        <v>8</v>
      </c>
      <c r="E8" s="62">
        <f>IF(O8="K",VLOOKUP(M8,Table2[[#All],[UNIT]:[Column7]],10,FALSE),0)</f>
        <v>1000000</v>
      </c>
      <c r="F8" s="43">
        <f>D8*E8</f>
        <v>8000000</v>
      </c>
      <c r="G8" s="42">
        <v>244.20091324200914</v>
      </c>
      <c r="H8" s="44">
        <f t="shared" ref="H8:H24" si="0">G8*$C$29</f>
        <v>2808310.5022831052</v>
      </c>
      <c r="I8" s="42">
        <f t="shared" ref="I8:I24" si="1">IFERROR(G8/D8,0)</f>
        <v>30.525114155251142</v>
      </c>
      <c r="J8" s="45">
        <f>F8+H8</f>
        <v>10808310.502283106</v>
      </c>
      <c r="K8" s="36"/>
      <c r="L8" s="41" t="s">
        <v>299</v>
      </c>
      <c r="M8" s="41" t="s">
        <v>150</v>
      </c>
      <c r="N8" s="41" t="str">
        <f>C8</f>
        <v>KOMATSU PC 500 - 03</v>
      </c>
      <c r="O8" s="15" t="s">
        <v>56</v>
      </c>
    </row>
    <row r="9" spans="2:15" x14ac:dyDescent="0.3">
      <c r="B9" s="41">
        <v>2</v>
      </c>
      <c r="C9" s="41" t="s">
        <v>279</v>
      </c>
      <c r="D9" s="42">
        <v>104</v>
      </c>
      <c r="E9" s="62">
        <f>IF(O9="K",VLOOKUP(M9,Table2[[#All],[UNIT]:[Column7]],10,FALSE),0)</f>
        <v>1000000</v>
      </c>
      <c r="F9" s="43">
        <f t="shared" ref="F9:F24" si="2">D9*E9</f>
        <v>104000000</v>
      </c>
      <c r="G9" s="42">
        <v>3394.0091324200912</v>
      </c>
      <c r="H9" s="44">
        <f t="shared" si="0"/>
        <v>39031105.022831045</v>
      </c>
      <c r="I9" s="42">
        <f t="shared" si="1"/>
        <v>32.634703196347033</v>
      </c>
      <c r="J9" s="45">
        <f t="shared" ref="J9:J24" si="3">F9+H9</f>
        <v>143031105.02283105</v>
      </c>
      <c r="K9" s="36"/>
      <c r="L9" s="41" t="s">
        <v>299</v>
      </c>
      <c r="M9" s="41" t="s">
        <v>150</v>
      </c>
      <c r="N9" s="41" t="str">
        <f t="shared" ref="N9:N24" si="4">C9</f>
        <v>KOMATSU PC 500 - 04</v>
      </c>
      <c r="O9" s="15" t="s">
        <v>56</v>
      </c>
    </row>
    <row r="10" spans="2:15" x14ac:dyDescent="0.3">
      <c r="B10" s="41">
        <v>3</v>
      </c>
      <c r="C10" s="41" t="s">
        <v>280</v>
      </c>
      <c r="D10" s="42">
        <v>102</v>
      </c>
      <c r="E10" s="62">
        <f>IF(O10="K",VLOOKUP(M10,Table2[[#All],[UNIT]:[Column7]],10,FALSE),0)</f>
        <v>1000000</v>
      </c>
      <c r="F10" s="43">
        <f t="shared" ref="F10:F23" si="5">D10*E10</f>
        <v>102000000</v>
      </c>
      <c r="G10" s="42">
        <v>2470.1118881118882</v>
      </c>
      <c r="H10" s="44">
        <f t="shared" si="0"/>
        <v>28406286.713286713</v>
      </c>
      <c r="I10" s="42">
        <f t="shared" ref="I10:I23" si="6">IFERROR(G10/D10,0)</f>
        <v>24.216783216783217</v>
      </c>
      <c r="J10" s="45">
        <f t="shared" ref="J10:J23" si="7">F10+H10</f>
        <v>130406286.71328671</v>
      </c>
      <c r="K10" s="36"/>
      <c r="L10" s="41" t="s">
        <v>299</v>
      </c>
      <c r="M10" s="41" t="s">
        <v>150</v>
      </c>
      <c r="N10" s="41" t="str">
        <f t="shared" ref="N10:N23" si="8">C10</f>
        <v>KOMATSU PC 400 - 04</v>
      </c>
      <c r="O10" s="15" t="s">
        <v>56</v>
      </c>
    </row>
    <row r="11" spans="2:15" x14ac:dyDescent="0.3">
      <c r="B11" s="41">
        <v>4</v>
      </c>
      <c r="C11" s="41" t="s">
        <v>189</v>
      </c>
      <c r="D11" s="42">
        <v>13</v>
      </c>
      <c r="E11" s="62">
        <f>IF(O11="K",VLOOKUP(M11,Table2[[#All],[UNIT]:[Column7]],10,FALSE),0)</f>
        <v>1000000</v>
      </c>
      <c r="F11" s="43">
        <f t="shared" si="5"/>
        <v>13000000</v>
      </c>
      <c r="G11" s="42">
        <v>269.43835616438355</v>
      </c>
      <c r="H11" s="44">
        <f t="shared" si="0"/>
        <v>3098541.0958904107</v>
      </c>
      <c r="I11" s="42">
        <f t="shared" si="6"/>
        <v>20.726027397260275</v>
      </c>
      <c r="J11" s="45">
        <f t="shared" si="7"/>
        <v>16098541.09589041</v>
      </c>
      <c r="K11" s="36"/>
      <c r="L11" s="41" t="s">
        <v>299</v>
      </c>
      <c r="M11" s="41" t="s">
        <v>150</v>
      </c>
      <c r="N11" s="41" t="str">
        <f t="shared" si="8"/>
        <v>KOMATSU PC 400 - 05</v>
      </c>
      <c r="O11" s="15" t="s">
        <v>56</v>
      </c>
    </row>
    <row r="12" spans="2:15" x14ac:dyDescent="0.3">
      <c r="B12" s="41">
        <v>5</v>
      </c>
      <c r="C12" s="41" t="s">
        <v>303</v>
      </c>
      <c r="D12" s="42">
        <v>4</v>
      </c>
      <c r="E12" s="62">
        <f>IF(O12="K",VLOOKUP(M12,Table2[[#All],[UNIT]:[Column7]],10,FALSE),0)</f>
        <v>1000000</v>
      </c>
      <c r="F12" s="43">
        <f t="shared" si="5"/>
        <v>4000000</v>
      </c>
      <c r="G12" s="42">
        <v>103.15862068965517</v>
      </c>
      <c r="H12" s="44">
        <f t="shared" si="0"/>
        <v>1186324.1379310344</v>
      </c>
      <c r="I12" s="42">
        <f t="shared" si="6"/>
        <v>25.789655172413791</v>
      </c>
      <c r="J12" s="45">
        <f t="shared" si="7"/>
        <v>5186324.137931034</v>
      </c>
      <c r="K12" s="36"/>
      <c r="L12" s="41" t="s">
        <v>299</v>
      </c>
      <c r="M12" s="41" t="s">
        <v>150</v>
      </c>
      <c r="N12" s="41" t="str">
        <f t="shared" si="8"/>
        <v>KOMATSU PC 300 - 15</v>
      </c>
      <c r="O12" s="15" t="s">
        <v>56</v>
      </c>
    </row>
    <row r="13" spans="2:15" x14ac:dyDescent="0.3">
      <c r="B13" s="41">
        <v>6</v>
      </c>
      <c r="C13" s="41" t="s">
        <v>193</v>
      </c>
      <c r="D13" s="42">
        <v>51</v>
      </c>
      <c r="E13" s="62">
        <f>IF(O13="K",VLOOKUP(M13,Table2[[#All],[UNIT]:[Column7]],10,FALSE),0)</f>
        <v>1000000</v>
      </c>
      <c r="F13" s="43">
        <f t="shared" si="5"/>
        <v>51000000</v>
      </c>
      <c r="G13" s="42">
        <v>517</v>
      </c>
      <c r="H13" s="44">
        <f t="shared" si="0"/>
        <v>5945500</v>
      </c>
      <c r="I13" s="42">
        <f t="shared" si="6"/>
        <v>10.137254901960784</v>
      </c>
      <c r="J13" s="45">
        <f t="shared" si="7"/>
        <v>56945500</v>
      </c>
      <c r="K13" s="36"/>
      <c r="L13" s="41" t="s">
        <v>299</v>
      </c>
      <c r="M13" s="41" t="s">
        <v>150</v>
      </c>
      <c r="N13" s="41" t="str">
        <f t="shared" si="8"/>
        <v>KOMATSU PC 200 - 22</v>
      </c>
      <c r="O13" s="15" t="s">
        <v>56</v>
      </c>
    </row>
    <row r="14" spans="2:15" x14ac:dyDescent="0.3">
      <c r="B14" s="41">
        <v>7</v>
      </c>
      <c r="C14" s="41" t="s">
        <v>207</v>
      </c>
      <c r="D14" s="42">
        <v>100</v>
      </c>
      <c r="E14" s="62">
        <f>IF(O14="K",VLOOKUP(M14,Table2[[#All],[UNIT]:[Column7]],10,FALSE),0)</f>
        <v>1000000</v>
      </c>
      <c r="F14" s="43">
        <f t="shared" si="5"/>
        <v>100000000</v>
      </c>
      <c r="G14" s="42">
        <v>1336.7021276595744</v>
      </c>
      <c r="H14" s="44">
        <f t="shared" si="0"/>
        <v>15372074.468085106</v>
      </c>
      <c r="I14" s="42">
        <f t="shared" si="6"/>
        <v>13.367021276595745</v>
      </c>
      <c r="J14" s="45">
        <f t="shared" si="7"/>
        <v>115372074.46808511</v>
      </c>
      <c r="K14" s="36"/>
      <c r="L14" s="41" t="s">
        <v>299</v>
      </c>
      <c r="M14" s="41" t="s">
        <v>150</v>
      </c>
      <c r="N14" s="41" t="str">
        <f t="shared" si="8"/>
        <v>KOMATSU HM 400 - 11</v>
      </c>
      <c r="O14" s="15" t="s">
        <v>56</v>
      </c>
    </row>
    <row r="15" spans="2:15" x14ac:dyDescent="0.3">
      <c r="B15" s="41">
        <v>8</v>
      </c>
      <c r="C15" s="41" t="s">
        <v>208</v>
      </c>
      <c r="D15" s="42">
        <v>20</v>
      </c>
      <c r="E15" s="62">
        <f>IF(O15="K",VLOOKUP(M15,Table2[[#All],[UNIT]:[Column7]],10,FALSE),0)</f>
        <v>1000000</v>
      </c>
      <c r="F15" s="43">
        <f t="shared" si="5"/>
        <v>20000000</v>
      </c>
      <c r="G15" s="42">
        <v>342.42105263157896</v>
      </c>
      <c r="H15" s="44">
        <f t="shared" si="0"/>
        <v>3937842.1052631582</v>
      </c>
      <c r="I15" s="42">
        <f t="shared" si="6"/>
        <v>17.121052631578948</v>
      </c>
      <c r="J15" s="45">
        <f t="shared" si="7"/>
        <v>23937842.105263159</v>
      </c>
      <c r="K15" s="36"/>
      <c r="L15" s="41" t="s">
        <v>299</v>
      </c>
      <c r="M15" s="41" t="s">
        <v>150</v>
      </c>
      <c r="N15" s="41" t="str">
        <f t="shared" si="8"/>
        <v>KOMATSU HM 400 - 12</v>
      </c>
      <c r="O15" s="15" t="s">
        <v>56</v>
      </c>
    </row>
    <row r="16" spans="2:15" x14ac:dyDescent="0.3">
      <c r="B16" s="41">
        <v>9</v>
      </c>
      <c r="C16" s="41" t="s">
        <v>209</v>
      </c>
      <c r="D16" s="42">
        <v>121</v>
      </c>
      <c r="E16" s="62">
        <f>IF(O16="K",VLOOKUP(M16,Table2[[#All],[UNIT]:[Column7]],10,FALSE),0)</f>
        <v>1000000</v>
      </c>
      <c r="F16" s="43">
        <f t="shared" si="5"/>
        <v>121000000</v>
      </c>
      <c r="G16" s="42">
        <v>1900.2204301075269</v>
      </c>
      <c r="H16" s="44">
        <f t="shared" si="0"/>
        <v>21852534.946236558</v>
      </c>
      <c r="I16" s="42">
        <f t="shared" si="6"/>
        <v>15.704301075268818</v>
      </c>
      <c r="J16" s="45">
        <f t="shared" si="7"/>
        <v>142852534.94623655</v>
      </c>
      <c r="K16" s="36"/>
      <c r="L16" s="41" t="s">
        <v>299</v>
      </c>
      <c r="M16" s="41" t="s">
        <v>150</v>
      </c>
      <c r="N16" s="41" t="str">
        <f t="shared" si="8"/>
        <v>KOMATSU HM 400 - 13</v>
      </c>
      <c r="O16" s="15" t="s">
        <v>56</v>
      </c>
    </row>
    <row r="17" spans="2:15" x14ac:dyDescent="0.3">
      <c r="B17" s="41">
        <v>10</v>
      </c>
      <c r="C17" s="41" t="s">
        <v>210</v>
      </c>
      <c r="D17" s="42">
        <v>43</v>
      </c>
      <c r="E17" s="62">
        <f>IF(O17="K",VLOOKUP(M17,Table2[[#All],[UNIT]:[Column7]],10,FALSE),0)</f>
        <v>1000000</v>
      </c>
      <c r="F17" s="43">
        <f t="shared" si="5"/>
        <v>43000000</v>
      </c>
      <c r="G17" s="42">
        <v>636.64454976303318</v>
      </c>
      <c r="H17" s="44">
        <f t="shared" si="0"/>
        <v>7321412.3222748814</v>
      </c>
      <c r="I17" s="42">
        <f t="shared" si="6"/>
        <v>14.80568720379147</v>
      </c>
      <c r="J17" s="45">
        <f t="shared" si="7"/>
        <v>50321412.322274879</v>
      </c>
      <c r="K17" s="36"/>
      <c r="L17" s="41" t="s">
        <v>299</v>
      </c>
      <c r="M17" s="41" t="s">
        <v>150</v>
      </c>
      <c r="N17" s="41" t="str">
        <f t="shared" si="8"/>
        <v>KOMATSU HM 400 - 14</v>
      </c>
      <c r="O17" s="15" t="s">
        <v>56</v>
      </c>
    </row>
    <row r="18" spans="2:15" x14ac:dyDescent="0.3">
      <c r="B18" s="41">
        <v>11</v>
      </c>
      <c r="C18" s="41" t="s">
        <v>211</v>
      </c>
      <c r="D18" s="42">
        <v>11</v>
      </c>
      <c r="E18" s="62">
        <f>IF(O18="K",VLOOKUP(M18,Table2[[#All],[UNIT]:[Column7]],10,FALSE),0)</f>
        <v>1000000</v>
      </c>
      <c r="F18" s="43">
        <f t="shared" si="5"/>
        <v>11000000</v>
      </c>
      <c r="G18" s="42">
        <v>154.35483870967744</v>
      </c>
      <c r="H18" s="44">
        <f t="shared" si="0"/>
        <v>1775080.6451612904</v>
      </c>
      <c r="I18" s="42">
        <f t="shared" si="6"/>
        <v>14.03225806451613</v>
      </c>
      <c r="J18" s="45">
        <f t="shared" si="7"/>
        <v>12775080.64516129</v>
      </c>
      <c r="K18" s="36"/>
      <c r="L18" s="41" t="s">
        <v>299</v>
      </c>
      <c r="M18" s="41" t="s">
        <v>150</v>
      </c>
      <c r="N18" s="41" t="str">
        <f t="shared" si="8"/>
        <v>KOMATSU HM 400 - 15</v>
      </c>
      <c r="O18" s="15" t="s">
        <v>56</v>
      </c>
    </row>
    <row r="19" spans="2:15" x14ac:dyDescent="0.3">
      <c r="B19" s="41">
        <v>12</v>
      </c>
      <c r="C19" s="41" t="s">
        <v>213</v>
      </c>
      <c r="D19" s="42">
        <v>19</v>
      </c>
      <c r="E19" s="62">
        <f>IF(O19="K",VLOOKUP(M19,Table2[[#All],[UNIT]:[Column7]],10,FALSE),0)</f>
        <v>1000000</v>
      </c>
      <c r="F19" s="43">
        <f t="shared" si="5"/>
        <v>19000000</v>
      </c>
      <c r="G19" s="42">
        <v>272.74637681159419</v>
      </c>
      <c r="H19" s="44">
        <f t="shared" si="0"/>
        <v>3136583.333333333</v>
      </c>
      <c r="I19" s="42">
        <f t="shared" si="6"/>
        <v>14.355072463768115</v>
      </c>
      <c r="J19" s="45">
        <f t="shared" si="7"/>
        <v>22136583.333333332</v>
      </c>
      <c r="K19" s="36"/>
      <c r="L19" s="41" t="s">
        <v>299</v>
      </c>
      <c r="M19" s="41" t="s">
        <v>150</v>
      </c>
      <c r="N19" s="41" t="str">
        <f t="shared" si="8"/>
        <v>KOMATSU HM 400 - 17</v>
      </c>
      <c r="O19" s="15" t="s">
        <v>56</v>
      </c>
    </row>
    <row r="20" spans="2:15" x14ac:dyDescent="0.3">
      <c r="B20" s="41">
        <v>13</v>
      </c>
      <c r="C20" s="41" t="s">
        <v>214</v>
      </c>
      <c r="D20" s="42">
        <v>38</v>
      </c>
      <c r="E20" s="62">
        <f>IF(O20="K",VLOOKUP(M20,Table2[[#All],[UNIT]:[Column7]],10,FALSE),0)</f>
        <v>1000000</v>
      </c>
      <c r="F20" s="43">
        <f t="shared" si="5"/>
        <v>38000000</v>
      </c>
      <c r="G20" s="42">
        <v>512.2887700534759</v>
      </c>
      <c r="H20" s="44">
        <f t="shared" si="0"/>
        <v>5891320.8556149732</v>
      </c>
      <c r="I20" s="42">
        <f t="shared" si="6"/>
        <v>13.481283422459892</v>
      </c>
      <c r="J20" s="45">
        <f t="shared" si="7"/>
        <v>43891320.855614975</v>
      </c>
      <c r="K20" s="36"/>
      <c r="L20" s="41" t="s">
        <v>299</v>
      </c>
      <c r="M20" s="41" t="s">
        <v>150</v>
      </c>
      <c r="N20" s="41" t="str">
        <f t="shared" si="8"/>
        <v>KOMATSU HM 400 - 18</v>
      </c>
      <c r="O20" s="15" t="s">
        <v>56</v>
      </c>
    </row>
    <row r="21" spans="2:15" x14ac:dyDescent="0.3">
      <c r="B21" s="41">
        <v>14</v>
      </c>
      <c r="C21" s="41" t="s">
        <v>215</v>
      </c>
      <c r="D21" s="42">
        <v>57</v>
      </c>
      <c r="E21" s="62">
        <f>IF(O21="K",VLOOKUP(M21,Table2[[#All],[UNIT]:[Column7]],10,FALSE),0)</f>
        <v>1000000</v>
      </c>
      <c r="F21" s="43">
        <f t="shared" si="5"/>
        <v>57000000</v>
      </c>
      <c r="G21" s="42">
        <v>732.25568181818176</v>
      </c>
      <c r="H21" s="44">
        <f t="shared" si="0"/>
        <v>8420940.3409090899</v>
      </c>
      <c r="I21" s="42">
        <f t="shared" si="6"/>
        <v>12.846590909090908</v>
      </c>
      <c r="J21" s="45">
        <f t="shared" si="7"/>
        <v>65420940.340909094</v>
      </c>
      <c r="K21" s="36"/>
      <c r="L21" s="41" t="s">
        <v>299</v>
      </c>
      <c r="M21" s="41" t="s">
        <v>150</v>
      </c>
      <c r="N21" s="41" t="str">
        <f t="shared" si="8"/>
        <v>KOMATSU HM 400 - 19</v>
      </c>
      <c r="O21" s="15" t="s">
        <v>56</v>
      </c>
    </row>
    <row r="22" spans="2:15" x14ac:dyDescent="0.3">
      <c r="B22" s="41">
        <v>15</v>
      </c>
      <c r="C22" s="41" t="s">
        <v>217</v>
      </c>
      <c r="D22" s="42">
        <v>12</v>
      </c>
      <c r="E22" s="62">
        <f>IF(O22="K",VLOOKUP(M22,Table2[[#All],[UNIT]:[Column7]],10,FALSE),0)</f>
        <v>1000000</v>
      </c>
      <c r="F22" s="43">
        <f t="shared" si="5"/>
        <v>12000000</v>
      </c>
      <c r="G22" s="42">
        <v>173.44897959183675</v>
      </c>
      <c r="H22" s="44">
        <f t="shared" si="0"/>
        <v>1994663.2653061226</v>
      </c>
      <c r="I22" s="42">
        <f t="shared" si="6"/>
        <v>14.454081632653063</v>
      </c>
      <c r="J22" s="45">
        <f t="shared" si="7"/>
        <v>13994663.265306123</v>
      </c>
      <c r="K22" s="36"/>
      <c r="L22" s="41" t="s">
        <v>299</v>
      </c>
      <c r="M22" s="41" t="s">
        <v>150</v>
      </c>
      <c r="N22" s="41" t="str">
        <f t="shared" si="8"/>
        <v>KOMATSU HM 400 - 21</v>
      </c>
      <c r="O22" s="15" t="s">
        <v>56</v>
      </c>
    </row>
    <row r="23" spans="2:15" x14ac:dyDescent="0.3">
      <c r="B23" s="41">
        <v>16</v>
      </c>
      <c r="C23" s="41" t="s">
        <v>281</v>
      </c>
      <c r="D23" s="42">
        <v>15</v>
      </c>
      <c r="E23" s="62">
        <f>IF(O23="K",VLOOKUP(M23,Table2[[#All],[UNIT]:[Column7]],10,FALSE),0)</f>
        <v>1000000</v>
      </c>
      <c r="F23" s="43">
        <f t="shared" si="5"/>
        <v>15000000</v>
      </c>
      <c r="G23" s="42">
        <v>238.62162162162161</v>
      </c>
      <c r="H23" s="44">
        <f t="shared" si="0"/>
        <v>2744148.6486486485</v>
      </c>
      <c r="I23" s="42">
        <f t="shared" si="6"/>
        <v>15.908108108108108</v>
      </c>
      <c r="J23" s="45">
        <f t="shared" si="7"/>
        <v>17744148.648648649</v>
      </c>
      <c r="K23" s="36"/>
      <c r="L23" s="41" t="s">
        <v>299</v>
      </c>
      <c r="M23" s="41" t="s">
        <v>150</v>
      </c>
      <c r="N23" s="41" t="str">
        <f t="shared" si="8"/>
        <v>KOMATSU HM 400 - 23</v>
      </c>
      <c r="O23" s="15" t="s">
        <v>56</v>
      </c>
    </row>
    <row r="24" spans="2:15" x14ac:dyDescent="0.3">
      <c r="B24" s="41">
        <v>17</v>
      </c>
      <c r="C24" s="41" t="s">
        <v>283</v>
      </c>
      <c r="D24" s="42">
        <v>37</v>
      </c>
      <c r="E24" s="62">
        <f>IF(O24="K",VLOOKUP(M24,Table2[[#All],[UNIT]:[Column7]],10,FALSE),0)</f>
        <v>1000000</v>
      </c>
      <c r="F24" s="43">
        <f t="shared" si="2"/>
        <v>37000000</v>
      </c>
      <c r="G24" s="42">
        <v>462.32710280373834</v>
      </c>
      <c r="H24" s="44">
        <f t="shared" si="0"/>
        <v>5316761.6822429905</v>
      </c>
      <c r="I24" s="42">
        <f t="shared" si="1"/>
        <v>12.495327102803738</v>
      </c>
      <c r="J24" s="45">
        <f t="shared" si="3"/>
        <v>42316761.68224299</v>
      </c>
      <c r="K24" s="36"/>
      <c r="L24" s="41" t="s">
        <v>299</v>
      </c>
      <c r="M24" s="41" t="s">
        <v>150</v>
      </c>
      <c r="N24" s="41" t="str">
        <f t="shared" si="4"/>
        <v>KOMATSU HM 400 - 25</v>
      </c>
      <c r="O24" s="15" t="s">
        <v>56</v>
      </c>
    </row>
    <row r="25" spans="2:15" x14ac:dyDescent="0.3">
      <c r="D25" s="18"/>
      <c r="F25" s="32"/>
      <c r="G25" s="18"/>
      <c r="H25" s="30"/>
      <c r="I25" s="18"/>
      <c r="J25" s="33"/>
      <c r="K25" s="18"/>
    </row>
    <row r="26" spans="2:15" s="1" customFormat="1" ht="15.75" customHeight="1" x14ac:dyDescent="0.3">
      <c r="B26" s="200" t="s">
        <v>21</v>
      </c>
      <c r="C26" s="200"/>
      <c r="D26" s="46">
        <f>SUM(D8:D24)</f>
        <v>755</v>
      </c>
      <c r="E26" s="63">
        <f>AVERAGE(E8:E24)</f>
        <v>1000000</v>
      </c>
      <c r="F26" s="47">
        <f>SUM(F8:F24)</f>
        <v>755000000</v>
      </c>
      <c r="G26" s="46">
        <f>SUM(G8:G24)</f>
        <v>13759.950442199866</v>
      </c>
      <c r="H26" s="47">
        <f>SUM(H8:H24)</f>
        <v>158239430.08529845</v>
      </c>
      <c r="I26" s="46">
        <f t="shared" ref="I26" si="9">IFERROR(G26/D26,0)</f>
        <v>18.22509992344353</v>
      </c>
      <c r="J26" s="48">
        <f>SUM(J8:J24)</f>
        <v>913239430.08529866</v>
      </c>
      <c r="K26" s="37"/>
    </row>
    <row r="28" spans="2:15" x14ac:dyDescent="0.3">
      <c r="B28" s="35" t="s">
        <v>34</v>
      </c>
      <c r="C28" s="29">
        <f>'SUMMARY 2'!I28</f>
        <v>14848</v>
      </c>
    </row>
    <row r="29" spans="2:15" x14ac:dyDescent="0.3">
      <c r="B29" s="35" t="s">
        <v>35</v>
      </c>
      <c r="C29" s="29">
        <f>'SUMMARY 2'!I13</f>
        <v>11500</v>
      </c>
      <c r="F29" s="30"/>
      <c r="G29" s="18"/>
    </row>
    <row r="31" spans="2:15" x14ac:dyDescent="0.3">
      <c r="F31" s="18"/>
    </row>
  </sheetData>
  <autoFilter ref="B7:O24" xr:uid="{00000000-0009-0000-0000-000003000000}"/>
  <mergeCells count="13">
    <mergeCell ref="N5:N7"/>
    <mergeCell ref="H6:H7"/>
    <mergeCell ref="I5:I6"/>
    <mergeCell ref="B2:C3"/>
    <mergeCell ref="B5:B7"/>
    <mergeCell ref="C5:C7"/>
    <mergeCell ref="D5:F5"/>
    <mergeCell ref="F6:F7"/>
    <mergeCell ref="B26:C26"/>
    <mergeCell ref="G5:H5"/>
    <mergeCell ref="J5:J7"/>
    <mergeCell ref="L5:L7"/>
    <mergeCell ref="M5:M7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22385A75-3452-4E3E-8D5E-19E9DB95BB07}">
          <x14:formula1>
            <xm:f>'list rate unit'!$B$6:$B$26</xm:f>
          </x14:formula1>
          <xm:sqref>M1:M1048576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1D64C-F22A-4796-9BF3-FD8F4E602400}">
  <sheetPr>
    <tabColor theme="1"/>
  </sheetPr>
  <dimension ref="B2:O16"/>
  <sheetViews>
    <sheetView zoomScaleNormal="100" workbookViewId="0">
      <pane xSplit="3" ySplit="7" topLeftCell="D8" activePane="bottomRight" state="frozenSplit"/>
      <selection activeCell="B47" sqref="B47"/>
      <selection pane="topRight" activeCell="B47" sqref="B47"/>
      <selection pane="bottomLeft" activeCell="B47" sqref="B47"/>
      <selection pane="bottomRight" activeCell="H17" sqref="H17"/>
    </sheetView>
  </sheetViews>
  <sheetFormatPr defaultColWidth="9.109375" defaultRowHeight="13.8" x14ac:dyDescent="0.3"/>
  <cols>
    <col min="1" max="1" width="9.109375" style="15"/>
    <col min="2" max="2" width="11.5546875" style="15" customWidth="1"/>
    <col min="3" max="3" width="26.109375" style="15" bestFit="1" customWidth="1"/>
    <col min="4" max="4" width="12.6640625" style="15" customWidth="1"/>
    <col min="5" max="5" width="15.33203125" style="27" bestFit="1" customWidth="1"/>
    <col min="6" max="6" width="21.21875" style="15" bestFit="1" customWidth="1"/>
    <col min="7" max="7" width="12.6640625" style="15" customWidth="1"/>
    <col min="8" max="8" width="19.6640625" style="15" bestFit="1" customWidth="1"/>
    <col min="9" max="9" width="11" style="15" customWidth="1"/>
    <col min="10" max="10" width="20.77734375" style="15" customWidth="1"/>
    <col min="11" max="11" width="11" style="15" customWidth="1"/>
    <col min="12" max="12" width="18.5546875" style="15" customWidth="1"/>
    <col min="13" max="13" width="12.44140625" style="15" bestFit="1" customWidth="1"/>
    <col min="14" max="14" width="26.109375" style="15" bestFit="1" customWidth="1"/>
    <col min="15" max="16384" width="9.109375" style="15"/>
  </cols>
  <sheetData>
    <row r="2" spans="2:15" ht="13.8" customHeight="1" x14ac:dyDescent="0.3">
      <c r="B2" s="204" t="s">
        <v>330</v>
      </c>
      <c r="C2" s="204"/>
      <c r="D2" s="38"/>
      <c r="E2" s="38"/>
      <c r="F2" s="38"/>
      <c r="G2" s="38"/>
      <c r="H2" s="38"/>
      <c r="I2" s="38"/>
      <c r="J2" s="38"/>
    </row>
    <row r="3" spans="2:15" ht="13.8" customHeight="1" x14ac:dyDescent="0.3">
      <c r="B3" s="204"/>
      <c r="C3" s="204"/>
      <c r="D3" s="38"/>
      <c r="E3" s="38"/>
      <c r="F3" s="38"/>
      <c r="G3" s="38"/>
      <c r="H3" s="38"/>
      <c r="I3" s="38"/>
      <c r="J3" s="38"/>
    </row>
    <row r="4" spans="2:15" x14ac:dyDescent="0.3">
      <c r="D4" s="30"/>
    </row>
    <row r="5" spans="2:15" ht="15" customHeight="1" x14ac:dyDescent="0.3">
      <c r="B5" s="201" t="s">
        <v>1</v>
      </c>
      <c r="C5" s="201" t="s">
        <v>88</v>
      </c>
      <c r="D5" s="202" t="s">
        <v>36</v>
      </c>
      <c r="E5" s="202"/>
      <c r="F5" s="202"/>
      <c r="G5" s="203" t="s">
        <v>37</v>
      </c>
      <c r="H5" s="203"/>
      <c r="I5" s="201" t="s">
        <v>54</v>
      </c>
      <c r="J5" s="205" t="s">
        <v>82</v>
      </c>
      <c r="K5" s="31"/>
      <c r="L5" s="201" t="s">
        <v>47</v>
      </c>
      <c r="M5" s="201" t="s">
        <v>89</v>
      </c>
      <c r="N5" s="201"/>
    </row>
    <row r="6" spans="2:15" ht="15" customHeight="1" x14ac:dyDescent="0.3">
      <c r="B6" s="201"/>
      <c r="C6" s="201"/>
      <c r="D6" s="39" t="s">
        <v>26</v>
      </c>
      <c r="E6" s="40" t="s">
        <v>31</v>
      </c>
      <c r="F6" s="201" t="s">
        <v>28</v>
      </c>
      <c r="G6" s="39" t="s">
        <v>27</v>
      </c>
      <c r="H6" s="201" t="s">
        <v>28</v>
      </c>
      <c r="I6" s="201"/>
      <c r="J6" s="205"/>
      <c r="K6" s="31"/>
      <c r="L6" s="201"/>
      <c r="M6" s="201"/>
      <c r="N6" s="201"/>
    </row>
    <row r="7" spans="2:15" ht="15" customHeight="1" x14ac:dyDescent="0.3">
      <c r="B7" s="201"/>
      <c r="C7" s="201"/>
      <c r="D7" s="39" t="s">
        <v>29</v>
      </c>
      <c r="E7" s="40" t="s">
        <v>30</v>
      </c>
      <c r="F7" s="201"/>
      <c r="G7" s="39" t="s">
        <v>32</v>
      </c>
      <c r="H7" s="201"/>
      <c r="I7" s="39" t="s">
        <v>33</v>
      </c>
      <c r="J7" s="205"/>
      <c r="K7" s="31"/>
      <c r="L7" s="201"/>
      <c r="M7" s="201"/>
      <c r="N7" s="201"/>
    </row>
    <row r="8" spans="2:15" x14ac:dyDescent="0.3">
      <c r="B8" s="41">
        <v>1</v>
      </c>
      <c r="C8" s="41" t="s">
        <v>327</v>
      </c>
      <c r="D8" s="42">
        <v>65</v>
      </c>
      <c r="E8" s="62">
        <f>IF(O8="K",VLOOKUP(M8,Table2[[#All],[UNIT]:[Column7]],10,FALSE),0)</f>
        <v>220000</v>
      </c>
      <c r="F8" s="43">
        <f>D8*E8</f>
        <v>14300000</v>
      </c>
      <c r="G8" s="42">
        <v>124</v>
      </c>
      <c r="H8" s="44">
        <f>G8*$C$14</f>
        <v>1426000</v>
      </c>
      <c r="I8" s="42">
        <f t="shared" ref="I8:I9" si="0">IFERROR(G8/D8,0)</f>
        <v>1.9076923076923078</v>
      </c>
      <c r="J8" s="45">
        <f>F8+H8</f>
        <v>15726000</v>
      </c>
      <c r="K8" s="36"/>
      <c r="L8" s="41" t="s">
        <v>299</v>
      </c>
      <c r="M8" s="41" t="str">
        <f>VLOOKUP(N8,'list rate unit'!O:P,2,FALSE)</f>
        <v>SV 525 D</v>
      </c>
      <c r="N8" s="41" t="str">
        <f>C8</f>
        <v>SAKAI - 03</v>
      </c>
      <c r="O8" s="15" t="s">
        <v>56</v>
      </c>
    </row>
    <row r="9" spans="2:15" x14ac:dyDescent="0.3">
      <c r="B9" s="41">
        <v>2</v>
      </c>
      <c r="C9" s="41" t="s">
        <v>226</v>
      </c>
      <c r="D9" s="42">
        <v>125</v>
      </c>
      <c r="E9" s="62">
        <f>IF(O9="K",VLOOKUP(M9,Table2[[#All],[UNIT]:[Column7]],10,FALSE),0)</f>
        <v>220000</v>
      </c>
      <c r="F9" s="43">
        <f t="shared" ref="F9" si="1">D9*E9</f>
        <v>27500000</v>
      </c>
      <c r="G9" s="42">
        <v>600</v>
      </c>
      <c r="H9" s="44">
        <f>G9*$C$14</f>
        <v>6900000</v>
      </c>
      <c r="I9" s="42">
        <f t="shared" si="0"/>
        <v>4.8</v>
      </c>
      <c r="J9" s="45">
        <f t="shared" ref="J9" si="2">F9+H9</f>
        <v>34400000</v>
      </c>
      <c r="K9" s="36"/>
      <c r="L9" s="41" t="s">
        <v>299</v>
      </c>
      <c r="M9" s="41" t="str">
        <f>VLOOKUP(N9,'list rate unit'!O:P,2,FALSE)</f>
        <v>SV 525 D</v>
      </c>
      <c r="N9" s="41" t="str">
        <f t="shared" ref="N9" si="3">C9</f>
        <v>SAKAI - 07</v>
      </c>
      <c r="O9" s="15" t="s">
        <v>56</v>
      </c>
    </row>
    <row r="10" spans="2:15" x14ac:dyDescent="0.3">
      <c r="D10" s="18"/>
      <c r="F10" s="32"/>
      <c r="G10" s="18"/>
      <c r="H10" s="30"/>
      <c r="I10" s="18"/>
      <c r="J10" s="33"/>
      <c r="K10" s="18"/>
    </row>
    <row r="11" spans="2:15" s="1" customFormat="1" ht="15.75" customHeight="1" x14ac:dyDescent="0.3">
      <c r="B11" s="200" t="s">
        <v>21</v>
      </c>
      <c r="C11" s="200"/>
      <c r="D11" s="46">
        <f>SUM(D8:D9)</f>
        <v>190</v>
      </c>
      <c r="E11" s="63">
        <f>AVERAGE(E8:E9)</f>
        <v>220000</v>
      </c>
      <c r="F11" s="47">
        <f>SUM(F8:F9)</f>
        <v>41800000</v>
      </c>
      <c r="G11" s="46">
        <f>SUM(G8:G9)</f>
        <v>724</v>
      </c>
      <c r="H11" s="47">
        <f>SUM(H8:H9)</f>
        <v>8326000</v>
      </c>
      <c r="I11" s="46">
        <f t="shared" ref="I11" si="4">IFERROR(G11/D11,0)</f>
        <v>3.8105263157894735</v>
      </c>
      <c r="J11" s="48">
        <f>SUM(J8:J9)</f>
        <v>50126000</v>
      </c>
      <c r="K11" s="37"/>
    </row>
    <row r="13" spans="2:15" x14ac:dyDescent="0.3">
      <c r="B13" s="35" t="s">
        <v>34</v>
      </c>
      <c r="C13" s="29">
        <f>'SUMMARY 2'!I28</f>
        <v>14848</v>
      </c>
    </row>
    <row r="14" spans="2:15" x14ac:dyDescent="0.3">
      <c r="B14" s="35" t="s">
        <v>35</v>
      </c>
      <c r="C14" s="29">
        <f>'SUMMARY 2'!I13</f>
        <v>11500</v>
      </c>
      <c r="F14" s="30"/>
      <c r="G14" s="18"/>
    </row>
    <row r="16" spans="2:15" x14ac:dyDescent="0.3">
      <c r="F16" s="18"/>
    </row>
  </sheetData>
  <autoFilter ref="B7:O9" xr:uid="{00000000-0009-0000-0000-000003000000}"/>
  <mergeCells count="13">
    <mergeCell ref="N5:N7"/>
    <mergeCell ref="H6:H7"/>
    <mergeCell ref="I5:I6"/>
    <mergeCell ref="B2:C3"/>
    <mergeCell ref="B5:B7"/>
    <mergeCell ref="C5:C7"/>
    <mergeCell ref="D5:F5"/>
    <mergeCell ref="F6:F7"/>
    <mergeCell ref="B11:C11"/>
    <mergeCell ref="G5:H5"/>
    <mergeCell ref="J5:J7"/>
    <mergeCell ref="L5:L7"/>
    <mergeCell ref="M5:M7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D916AFC-3CA9-44A1-94DE-37E3739FB86F}">
          <x14:formula1>
            <xm:f>'list rate unit'!$B$6:$B$26</xm:f>
          </x14:formula1>
          <xm:sqref>M1:M1048576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D7C3D-195C-4538-855B-044EB64E9AF5}">
  <sheetPr>
    <tabColor theme="1"/>
  </sheetPr>
  <dimension ref="B2:O34"/>
  <sheetViews>
    <sheetView zoomScaleNormal="100" workbookViewId="0">
      <pane xSplit="3" ySplit="7" topLeftCell="D8" activePane="bottomRight" state="frozenSplit"/>
      <selection activeCell="B47" sqref="B47"/>
      <selection pane="topRight" activeCell="B47" sqref="B47"/>
      <selection pane="bottomLeft" activeCell="B47" sqref="B47"/>
      <selection pane="bottomRight" activeCell="H16" sqref="H16"/>
    </sheetView>
  </sheetViews>
  <sheetFormatPr defaultColWidth="9.109375" defaultRowHeight="13.8" x14ac:dyDescent="0.3"/>
  <cols>
    <col min="1" max="1" width="9.109375" style="15"/>
    <col min="2" max="2" width="11.5546875" style="15" customWidth="1"/>
    <col min="3" max="3" width="26.109375" style="15" bestFit="1" customWidth="1"/>
    <col min="4" max="4" width="12.6640625" style="15" customWidth="1"/>
    <col min="5" max="5" width="15.33203125" style="27" bestFit="1" customWidth="1"/>
    <col min="6" max="6" width="21.21875" style="15" bestFit="1" customWidth="1"/>
    <col min="7" max="7" width="12.6640625" style="15" customWidth="1"/>
    <col min="8" max="8" width="19.6640625" style="15" bestFit="1" customWidth="1"/>
    <col min="9" max="9" width="11" style="15" customWidth="1"/>
    <col min="10" max="10" width="20.77734375" style="15" customWidth="1"/>
    <col min="11" max="11" width="11" style="15" customWidth="1"/>
    <col min="12" max="12" width="18.5546875" style="15" customWidth="1"/>
    <col min="13" max="13" width="12.44140625" style="15" bestFit="1" customWidth="1"/>
    <col min="14" max="14" width="26.109375" style="15" bestFit="1" customWidth="1"/>
    <col min="15" max="16384" width="9.109375" style="15"/>
  </cols>
  <sheetData>
    <row r="2" spans="2:15" ht="13.8" customHeight="1" x14ac:dyDescent="0.3">
      <c r="B2" s="204" t="s">
        <v>170</v>
      </c>
      <c r="C2" s="204"/>
      <c r="D2" s="38"/>
      <c r="E2" s="38"/>
      <c r="F2" s="38"/>
      <c r="G2" s="38"/>
      <c r="H2" s="38"/>
      <c r="I2" s="38"/>
      <c r="J2" s="38"/>
    </row>
    <row r="3" spans="2:15" ht="13.8" customHeight="1" x14ac:dyDescent="0.3">
      <c r="B3" s="204"/>
      <c r="C3" s="204"/>
      <c r="D3" s="38"/>
      <c r="E3" s="38"/>
      <c r="F3" s="38"/>
      <c r="G3" s="38"/>
      <c r="H3" s="38"/>
      <c r="I3" s="38"/>
      <c r="J3" s="38"/>
    </row>
    <row r="4" spans="2:15" x14ac:dyDescent="0.3">
      <c r="D4" s="30"/>
    </row>
    <row r="5" spans="2:15" ht="15" customHeight="1" x14ac:dyDescent="0.3">
      <c r="B5" s="201" t="s">
        <v>1</v>
      </c>
      <c r="C5" s="201" t="s">
        <v>88</v>
      </c>
      <c r="D5" s="202" t="s">
        <v>36</v>
      </c>
      <c r="E5" s="202"/>
      <c r="F5" s="202"/>
      <c r="G5" s="203" t="s">
        <v>37</v>
      </c>
      <c r="H5" s="203"/>
      <c r="I5" s="201" t="s">
        <v>54</v>
      </c>
      <c r="J5" s="205" t="s">
        <v>82</v>
      </c>
      <c r="K5" s="31"/>
      <c r="L5" s="201" t="s">
        <v>47</v>
      </c>
      <c r="M5" s="201" t="s">
        <v>89</v>
      </c>
      <c r="N5" s="201"/>
    </row>
    <row r="6" spans="2:15" ht="15" customHeight="1" x14ac:dyDescent="0.3">
      <c r="B6" s="201"/>
      <c r="C6" s="201"/>
      <c r="D6" s="39" t="s">
        <v>26</v>
      </c>
      <c r="E6" s="40" t="s">
        <v>31</v>
      </c>
      <c r="F6" s="201" t="s">
        <v>28</v>
      </c>
      <c r="G6" s="39" t="s">
        <v>27</v>
      </c>
      <c r="H6" s="201" t="s">
        <v>28</v>
      </c>
      <c r="I6" s="201"/>
      <c r="J6" s="205"/>
      <c r="K6" s="31"/>
      <c r="L6" s="201"/>
      <c r="M6" s="201"/>
      <c r="N6" s="201"/>
    </row>
    <row r="7" spans="2:15" ht="15" customHeight="1" x14ac:dyDescent="0.3">
      <c r="B7" s="201"/>
      <c r="C7" s="201"/>
      <c r="D7" s="39" t="s">
        <v>29</v>
      </c>
      <c r="E7" s="40" t="s">
        <v>30</v>
      </c>
      <c r="F7" s="201"/>
      <c r="G7" s="39" t="s">
        <v>32</v>
      </c>
      <c r="H7" s="201"/>
      <c r="I7" s="39" t="s">
        <v>33</v>
      </c>
      <c r="J7" s="205"/>
      <c r="K7" s="31"/>
      <c r="L7" s="201"/>
      <c r="M7" s="201"/>
      <c r="N7" s="201"/>
    </row>
    <row r="8" spans="2:15" x14ac:dyDescent="0.3">
      <c r="B8" s="41">
        <v>1</v>
      </c>
      <c r="C8" s="41" t="s">
        <v>404</v>
      </c>
      <c r="D8" s="42">
        <v>137</v>
      </c>
      <c r="E8" s="62">
        <f>IF(O8="K",VLOOKUP(M8,Table2[[#All],[UNIT]:[Column7]],10,FALSE),0)</f>
        <v>400000</v>
      </c>
      <c r="F8" s="43">
        <f>D8*E8</f>
        <v>54800000</v>
      </c>
      <c r="G8" s="42">
        <v>3949</v>
      </c>
      <c r="H8" s="44">
        <f t="shared" ref="H8:H27" si="0">G8*$C$32</f>
        <v>45413500</v>
      </c>
      <c r="I8" s="42">
        <f t="shared" ref="I8:I27" si="1">IFERROR(G8/D8,0)</f>
        <v>28.824817518248175</v>
      </c>
      <c r="J8" s="45">
        <f>F8+H8</f>
        <v>100213500</v>
      </c>
      <c r="K8" s="36"/>
      <c r="L8" s="41" t="s">
        <v>299</v>
      </c>
      <c r="M8" s="41" t="str">
        <f>VLOOKUP(N8,'list rate unit'!O:P,2,FALSE)</f>
        <v>PC 300 SE-8</v>
      </c>
      <c r="N8" s="41" t="str">
        <f>C8</f>
        <v>KOMATSU PC 300 - 07</v>
      </c>
      <c r="O8" s="15" t="s">
        <v>56</v>
      </c>
    </row>
    <row r="9" spans="2:15" x14ac:dyDescent="0.3">
      <c r="B9" s="41">
        <v>2</v>
      </c>
      <c r="C9" s="41" t="s">
        <v>344</v>
      </c>
      <c r="D9" s="42">
        <v>205</v>
      </c>
      <c r="E9" s="62">
        <f>IF(O9="K",VLOOKUP(M9,Table2[[#All],[UNIT]:[Column7]],10,FALSE),0)</f>
        <v>400000</v>
      </c>
      <c r="F9" s="43">
        <f t="shared" ref="F9:F27" si="2">D9*E9</f>
        <v>82000000</v>
      </c>
      <c r="G9" s="42">
        <v>5359</v>
      </c>
      <c r="H9" s="44">
        <f t="shared" si="0"/>
        <v>61628500</v>
      </c>
      <c r="I9" s="42">
        <f t="shared" si="1"/>
        <v>26.141463414634146</v>
      </c>
      <c r="J9" s="45">
        <f t="shared" ref="J9:J27" si="3">F9+H9</f>
        <v>143628500</v>
      </c>
      <c r="K9" s="36"/>
      <c r="L9" s="41" t="s">
        <v>299</v>
      </c>
      <c r="M9" s="41" t="str">
        <f>VLOOKUP(N9,'list rate unit'!O:P,2,FALSE)</f>
        <v>PC 300 SE-8</v>
      </c>
      <c r="N9" s="41" t="str">
        <f t="shared" ref="N9:N27" si="4">C9</f>
        <v>KOMATSU PC 300 - 11</v>
      </c>
      <c r="O9" s="15" t="s">
        <v>56</v>
      </c>
    </row>
    <row r="10" spans="2:15" x14ac:dyDescent="0.3">
      <c r="B10" s="41">
        <v>3</v>
      </c>
      <c r="C10" s="41" t="s">
        <v>289</v>
      </c>
      <c r="D10" s="42">
        <v>28</v>
      </c>
      <c r="E10" s="62">
        <f>IF(O10="K",VLOOKUP(M10,Table2[[#All],[UNIT]:[Column7]],10,FALSE),0)</f>
        <v>400000</v>
      </c>
      <c r="F10" s="43">
        <f t="shared" si="2"/>
        <v>11200000</v>
      </c>
      <c r="G10" s="42">
        <v>932</v>
      </c>
      <c r="H10" s="44">
        <f t="shared" si="0"/>
        <v>10718000</v>
      </c>
      <c r="I10" s="42">
        <f t="shared" si="1"/>
        <v>33.285714285714285</v>
      </c>
      <c r="J10" s="45">
        <f t="shared" si="3"/>
        <v>21918000</v>
      </c>
      <c r="K10" s="36"/>
      <c r="L10" s="41" t="s">
        <v>299</v>
      </c>
      <c r="M10" s="41" t="str">
        <f>VLOOKUP(N10,'list rate unit'!O:P,2,FALSE)</f>
        <v>PC 300 SE-8</v>
      </c>
      <c r="N10" s="41" t="str">
        <f t="shared" si="4"/>
        <v>KOMATSU PC 300 - 14</v>
      </c>
      <c r="O10" s="15" t="s">
        <v>56</v>
      </c>
    </row>
    <row r="11" spans="2:15" x14ac:dyDescent="0.3">
      <c r="B11" s="41">
        <v>4</v>
      </c>
      <c r="C11" s="41" t="s">
        <v>303</v>
      </c>
      <c r="D11" s="42">
        <v>286</v>
      </c>
      <c r="E11" s="62">
        <f>IF(O11="K",VLOOKUP(M11,Table2[[#All],[UNIT]:[Column7]],10,FALSE),0)</f>
        <v>400000</v>
      </c>
      <c r="F11" s="43">
        <f t="shared" si="2"/>
        <v>114400000</v>
      </c>
      <c r="G11" s="42">
        <v>7375.8413793103446</v>
      </c>
      <c r="H11" s="44">
        <f t="shared" si="0"/>
        <v>84822175.862068966</v>
      </c>
      <c r="I11" s="42">
        <f t="shared" si="1"/>
        <v>25.789655172413791</v>
      </c>
      <c r="J11" s="45">
        <f t="shared" si="3"/>
        <v>199222175.86206895</v>
      </c>
      <c r="K11" s="36"/>
      <c r="L11" s="41" t="s">
        <v>299</v>
      </c>
      <c r="M11" s="41" t="str">
        <f>VLOOKUP(N11,'list rate unit'!O:P,2,FALSE)</f>
        <v>PC 300 SE-8</v>
      </c>
      <c r="N11" s="41" t="str">
        <f t="shared" si="4"/>
        <v>KOMATSU PC 300 - 15</v>
      </c>
      <c r="O11" s="15" t="s">
        <v>56</v>
      </c>
    </row>
    <row r="12" spans="2:15" x14ac:dyDescent="0.3">
      <c r="B12" s="41">
        <v>5</v>
      </c>
      <c r="C12" s="41" t="s">
        <v>191</v>
      </c>
      <c r="D12" s="42">
        <v>154</v>
      </c>
      <c r="E12" s="62">
        <f>IF(O12="K",VLOOKUP(M12,Table2[[#All],[UNIT]:[Column7]],10,FALSE),0)</f>
        <v>400000</v>
      </c>
      <c r="F12" s="43">
        <f t="shared" si="2"/>
        <v>61600000</v>
      </c>
      <c r="G12" s="42">
        <v>2687</v>
      </c>
      <c r="H12" s="44">
        <f t="shared" si="0"/>
        <v>30900500</v>
      </c>
      <c r="I12" s="42">
        <f t="shared" si="1"/>
        <v>17.448051948051948</v>
      </c>
      <c r="J12" s="45">
        <f t="shared" si="3"/>
        <v>92500500</v>
      </c>
      <c r="K12" s="36"/>
      <c r="L12" s="41" t="s">
        <v>299</v>
      </c>
      <c r="M12" s="41" t="str">
        <f>VLOOKUP(N12,'list rate unit'!O:P,2,FALSE)</f>
        <v>SK 330-8</v>
      </c>
      <c r="N12" s="41" t="str">
        <f t="shared" si="4"/>
        <v>KOBELCO SK 330 - 10</v>
      </c>
      <c r="O12" s="15" t="s">
        <v>56</v>
      </c>
    </row>
    <row r="13" spans="2:15" x14ac:dyDescent="0.3">
      <c r="B13" s="41">
        <v>6</v>
      </c>
      <c r="C13" s="41" t="s">
        <v>192</v>
      </c>
      <c r="D13" s="42">
        <v>176</v>
      </c>
      <c r="E13" s="62">
        <f>IF(O13="K",VLOOKUP(M13,Table2[[#All],[UNIT]:[Column7]],10,FALSE),0)</f>
        <v>400000</v>
      </c>
      <c r="F13" s="43">
        <f t="shared" si="2"/>
        <v>70400000</v>
      </c>
      <c r="G13" s="42">
        <v>2214</v>
      </c>
      <c r="H13" s="44">
        <f t="shared" si="0"/>
        <v>25461000</v>
      </c>
      <c r="I13" s="42">
        <f t="shared" si="1"/>
        <v>12.579545454545455</v>
      </c>
      <c r="J13" s="45">
        <f t="shared" si="3"/>
        <v>95861000</v>
      </c>
      <c r="K13" s="36"/>
      <c r="L13" s="41" t="s">
        <v>299</v>
      </c>
      <c r="M13" s="41" t="str">
        <f>VLOOKUP(N13,'list rate unit'!O:P,2,FALSE)</f>
        <v>SK 330-8</v>
      </c>
      <c r="N13" s="41" t="str">
        <f t="shared" si="4"/>
        <v>KOBELCO SK 330 - 11</v>
      </c>
      <c r="O13" s="15" t="s">
        <v>56</v>
      </c>
    </row>
    <row r="14" spans="2:15" x14ac:dyDescent="0.3">
      <c r="B14" s="41">
        <v>7</v>
      </c>
      <c r="C14" s="41" t="s">
        <v>405</v>
      </c>
      <c r="D14" s="42">
        <v>22</v>
      </c>
      <c r="E14" s="62">
        <f>IF(O14="K",VLOOKUP(M14,Table2[[#All],[UNIT]:[Column7]],10,FALSE),0)</f>
        <v>400000</v>
      </c>
      <c r="F14" s="43">
        <f t="shared" si="2"/>
        <v>8800000</v>
      </c>
      <c r="G14" s="42">
        <v>162</v>
      </c>
      <c r="H14" s="44">
        <f t="shared" si="0"/>
        <v>1863000</v>
      </c>
      <c r="I14" s="42">
        <f t="shared" si="1"/>
        <v>7.3636363636363633</v>
      </c>
      <c r="J14" s="45">
        <f t="shared" si="3"/>
        <v>10663000</v>
      </c>
      <c r="K14" s="36"/>
      <c r="L14" s="41" t="s">
        <v>299</v>
      </c>
      <c r="M14" s="41" t="str">
        <f>VLOOKUP(N14,'list rate unit'!O:P,2,FALSE)</f>
        <v>SK 330-8</v>
      </c>
      <c r="N14" s="41" t="str">
        <f t="shared" si="4"/>
        <v>KOBELCO SK 330 - 12</v>
      </c>
      <c r="O14" s="15" t="s">
        <v>56</v>
      </c>
    </row>
    <row r="15" spans="2:15" x14ac:dyDescent="0.3">
      <c r="B15" s="41">
        <v>8</v>
      </c>
      <c r="C15" s="41" t="s">
        <v>306</v>
      </c>
      <c r="D15" s="42">
        <v>232</v>
      </c>
      <c r="E15" s="62">
        <f>IF(O15="K",VLOOKUP(M15,Table2[[#All],[UNIT]:[Column7]],10,FALSE),0)</f>
        <v>275000</v>
      </c>
      <c r="F15" s="43">
        <f t="shared" si="2"/>
        <v>63800000</v>
      </c>
      <c r="G15" s="42">
        <v>3638</v>
      </c>
      <c r="H15" s="44">
        <f t="shared" si="0"/>
        <v>41837000</v>
      </c>
      <c r="I15" s="42">
        <f t="shared" si="1"/>
        <v>15.681034482758621</v>
      </c>
      <c r="J15" s="45">
        <f t="shared" si="3"/>
        <v>105637000</v>
      </c>
      <c r="K15" s="36"/>
      <c r="L15" s="41" t="s">
        <v>299</v>
      </c>
      <c r="M15" s="41" t="str">
        <f>VLOOKUP(N15,'list rate unit'!O:P,2,FALSE)</f>
        <v>PC 200-8 MO</v>
      </c>
      <c r="N15" s="41" t="str">
        <f t="shared" si="4"/>
        <v>KOMATSU PC 200 - 12</v>
      </c>
      <c r="O15" s="15" t="s">
        <v>56</v>
      </c>
    </row>
    <row r="16" spans="2:15" x14ac:dyDescent="0.3">
      <c r="B16" s="41">
        <v>9</v>
      </c>
      <c r="C16" s="41" t="s">
        <v>307</v>
      </c>
      <c r="D16" s="42">
        <v>260</v>
      </c>
      <c r="E16" s="62">
        <f>IF(O16="K",VLOOKUP(M16,Table2[[#All],[UNIT]:[Column7]],10,FALSE),0)</f>
        <v>275000</v>
      </c>
      <c r="F16" s="43">
        <f t="shared" si="2"/>
        <v>71500000</v>
      </c>
      <c r="G16" s="42">
        <v>4381</v>
      </c>
      <c r="H16" s="44">
        <f t="shared" si="0"/>
        <v>50381500</v>
      </c>
      <c r="I16" s="42">
        <f t="shared" si="1"/>
        <v>16.850000000000001</v>
      </c>
      <c r="J16" s="45">
        <f t="shared" si="3"/>
        <v>121881500</v>
      </c>
      <c r="K16" s="36"/>
      <c r="L16" s="41" t="s">
        <v>299</v>
      </c>
      <c r="M16" s="41" t="str">
        <f>VLOOKUP(N16,'list rate unit'!O:P,2,FALSE)</f>
        <v>PC 200-8 MO</v>
      </c>
      <c r="N16" s="41" t="str">
        <f t="shared" si="4"/>
        <v>KOMATSU PC 200 - 14</v>
      </c>
      <c r="O16" s="15" t="s">
        <v>56</v>
      </c>
    </row>
    <row r="17" spans="2:15" x14ac:dyDescent="0.3">
      <c r="B17" s="41">
        <v>10</v>
      </c>
      <c r="C17" s="41" t="s">
        <v>309</v>
      </c>
      <c r="D17" s="42">
        <v>194</v>
      </c>
      <c r="E17" s="62">
        <f>IF(O17="K",VLOOKUP(M17,Table2[[#All],[UNIT]:[Column7]],10,FALSE),0)</f>
        <v>275000</v>
      </c>
      <c r="F17" s="43">
        <f t="shared" si="2"/>
        <v>53350000</v>
      </c>
      <c r="G17" s="42">
        <v>3294</v>
      </c>
      <c r="H17" s="44">
        <f t="shared" si="0"/>
        <v>37881000</v>
      </c>
      <c r="I17" s="42">
        <f t="shared" si="1"/>
        <v>16.979381443298969</v>
      </c>
      <c r="J17" s="45">
        <f t="shared" si="3"/>
        <v>91231000</v>
      </c>
      <c r="K17" s="36"/>
      <c r="L17" s="41" t="s">
        <v>299</v>
      </c>
      <c r="M17" s="41" t="str">
        <f>VLOOKUP(N17,'list rate unit'!O:P,2,FALSE)</f>
        <v>PC 200-8 MO</v>
      </c>
      <c r="N17" s="41" t="str">
        <f t="shared" si="4"/>
        <v>KOMATSU PC 200 - 16</v>
      </c>
      <c r="O17" s="15" t="s">
        <v>56</v>
      </c>
    </row>
    <row r="18" spans="2:15" x14ac:dyDescent="0.3">
      <c r="B18" s="41">
        <v>11</v>
      </c>
      <c r="C18" s="41" t="s">
        <v>196</v>
      </c>
      <c r="D18" s="42">
        <v>68</v>
      </c>
      <c r="E18" s="62">
        <f>IF(O18="K",VLOOKUP(M18,Table2[[#All],[UNIT]:[Column7]],10,FALSE),0)</f>
        <v>275000</v>
      </c>
      <c r="F18" s="43">
        <f t="shared" si="2"/>
        <v>18700000</v>
      </c>
      <c r="G18" s="42">
        <v>269</v>
      </c>
      <c r="H18" s="44">
        <f t="shared" si="0"/>
        <v>3093500</v>
      </c>
      <c r="I18" s="42">
        <f t="shared" si="1"/>
        <v>3.9558823529411766</v>
      </c>
      <c r="J18" s="45">
        <f t="shared" si="3"/>
        <v>21793500</v>
      </c>
      <c r="K18" s="36"/>
      <c r="L18" s="41" t="s">
        <v>299</v>
      </c>
      <c r="M18" s="41" t="str">
        <f>VLOOKUP(N18,'list rate unit'!O:P,2,FALSE)</f>
        <v>SK 200-8 SX</v>
      </c>
      <c r="N18" s="41" t="str">
        <f t="shared" si="4"/>
        <v>KOBELCO SK 200 - 07</v>
      </c>
      <c r="O18" s="15" t="s">
        <v>56</v>
      </c>
    </row>
    <row r="19" spans="2:15" x14ac:dyDescent="0.3">
      <c r="B19" s="41">
        <v>12</v>
      </c>
      <c r="C19" s="41" t="s">
        <v>290</v>
      </c>
      <c r="D19" s="42">
        <v>82</v>
      </c>
      <c r="E19" s="62">
        <f>IF(O19="K",VLOOKUP(M19,Table2[[#All],[UNIT]:[Column7]],10,FALSE),0)</f>
        <v>275000</v>
      </c>
      <c r="F19" s="43">
        <f t="shared" si="2"/>
        <v>22550000</v>
      </c>
      <c r="G19" s="42">
        <v>449</v>
      </c>
      <c r="H19" s="44">
        <f t="shared" si="0"/>
        <v>5163500</v>
      </c>
      <c r="I19" s="42">
        <f t="shared" si="1"/>
        <v>5.475609756097561</v>
      </c>
      <c r="J19" s="45">
        <f t="shared" si="3"/>
        <v>27713500</v>
      </c>
      <c r="K19" s="36"/>
      <c r="L19" s="41" t="s">
        <v>299</v>
      </c>
      <c r="M19" s="41" t="str">
        <f>VLOOKUP(N19,'list rate unit'!O:P,2,FALSE)</f>
        <v>SK 200-8 SX</v>
      </c>
      <c r="N19" s="41" t="str">
        <f t="shared" si="4"/>
        <v>KOBELCO SK 200 - 08</v>
      </c>
      <c r="O19" s="15" t="s">
        <v>56</v>
      </c>
    </row>
    <row r="20" spans="2:15" x14ac:dyDescent="0.3">
      <c r="B20" s="41">
        <v>13</v>
      </c>
      <c r="C20" s="41" t="s">
        <v>197</v>
      </c>
      <c r="D20" s="42">
        <v>245</v>
      </c>
      <c r="E20" s="62">
        <f>IF(O20="K",VLOOKUP(M20,Table2[[#All],[UNIT]:[Column7]],10,FALSE),0)</f>
        <v>275000</v>
      </c>
      <c r="F20" s="43">
        <f t="shared" si="2"/>
        <v>67375000</v>
      </c>
      <c r="G20" s="42">
        <v>2730</v>
      </c>
      <c r="H20" s="44">
        <f t="shared" si="0"/>
        <v>31395000</v>
      </c>
      <c r="I20" s="42">
        <f t="shared" si="1"/>
        <v>11.142857142857142</v>
      </c>
      <c r="J20" s="45">
        <f t="shared" si="3"/>
        <v>98770000</v>
      </c>
      <c r="K20" s="36"/>
      <c r="L20" s="41" t="s">
        <v>299</v>
      </c>
      <c r="M20" s="41" t="str">
        <f>VLOOKUP(N20,'list rate unit'!O:P,2,FALSE)</f>
        <v>SK 200-8 SX</v>
      </c>
      <c r="N20" s="41" t="str">
        <f t="shared" si="4"/>
        <v>KOBELCO SK 200 - 10</v>
      </c>
      <c r="O20" s="15" t="s">
        <v>56</v>
      </c>
    </row>
    <row r="21" spans="2:15" x14ac:dyDescent="0.3">
      <c r="B21" s="41">
        <v>14</v>
      </c>
      <c r="C21" s="41" t="s">
        <v>198</v>
      </c>
      <c r="D21" s="42">
        <v>202</v>
      </c>
      <c r="E21" s="62">
        <f>IF(O21="K",VLOOKUP(M21,Table2[[#All],[UNIT]:[Column7]],10,FALSE),0)</f>
        <v>275000</v>
      </c>
      <c r="F21" s="43">
        <f t="shared" si="2"/>
        <v>55550000</v>
      </c>
      <c r="G21" s="42">
        <v>2889</v>
      </c>
      <c r="H21" s="44">
        <f t="shared" si="0"/>
        <v>33223500</v>
      </c>
      <c r="I21" s="42">
        <f t="shared" si="1"/>
        <v>14.301980198019802</v>
      </c>
      <c r="J21" s="45">
        <f t="shared" si="3"/>
        <v>88773500</v>
      </c>
      <c r="K21" s="36"/>
      <c r="L21" s="41" t="s">
        <v>299</v>
      </c>
      <c r="M21" s="41" t="str">
        <f>VLOOKUP(N21,'list rate unit'!O:P,2,FALSE)</f>
        <v>SK 200-8 SX</v>
      </c>
      <c r="N21" s="41" t="str">
        <f t="shared" si="4"/>
        <v>KOBELCO SK 200 - 11</v>
      </c>
      <c r="O21" s="15" t="s">
        <v>56</v>
      </c>
    </row>
    <row r="22" spans="2:15" x14ac:dyDescent="0.3">
      <c r="B22" s="41">
        <v>15</v>
      </c>
      <c r="C22" s="41" t="s">
        <v>199</v>
      </c>
      <c r="D22" s="42">
        <v>145</v>
      </c>
      <c r="E22" s="62">
        <f>IF(O22="K",VLOOKUP(M22,Table2[[#All],[UNIT]:[Column7]],10,FALSE),0)</f>
        <v>275000</v>
      </c>
      <c r="F22" s="43">
        <f t="shared" si="2"/>
        <v>39875000</v>
      </c>
      <c r="G22" s="42">
        <v>1965.9999999999998</v>
      </c>
      <c r="H22" s="44">
        <f t="shared" si="0"/>
        <v>22608999.999999996</v>
      </c>
      <c r="I22" s="42">
        <f t="shared" si="1"/>
        <v>13.558620689655172</v>
      </c>
      <c r="J22" s="45">
        <f t="shared" si="3"/>
        <v>62484000</v>
      </c>
      <c r="K22" s="36"/>
      <c r="L22" s="41" t="s">
        <v>299</v>
      </c>
      <c r="M22" s="41" t="str">
        <f>VLOOKUP(N22,'list rate unit'!O:P,2,FALSE)</f>
        <v>SK 200-8 SX</v>
      </c>
      <c r="N22" s="41" t="str">
        <f t="shared" si="4"/>
        <v>KOBELCO SK 200 - 13</v>
      </c>
      <c r="O22" s="15" t="s">
        <v>56</v>
      </c>
    </row>
    <row r="23" spans="2:15" x14ac:dyDescent="0.3">
      <c r="B23" s="41">
        <v>16</v>
      </c>
      <c r="C23" s="41" t="s">
        <v>200</v>
      </c>
      <c r="D23" s="42">
        <v>190</v>
      </c>
      <c r="E23" s="62">
        <f>IF(O23="K",VLOOKUP(M23,Table2[[#All],[UNIT]:[Column7]],10,FALSE),0)</f>
        <v>275000</v>
      </c>
      <c r="F23" s="43">
        <f t="shared" si="2"/>
        <v>52250000</v>
      </c>
      <c r="G23" s="42">
        <v>2797</v>
      </c>
      <c r="H23" s="44">
        <f t="shared" si="0"/>
        <v>32165500</v>
      </c>
      <c r="I23" s="42">
        <f t="shared" si="1"/>
        <v>14.721052631578948</v>
      </c>
      <c r="J23" s="45">
        <f t="shared" si="3"/>
        <v>84415500</v>
      </c>
      <c r="K23" s="36"/>
      <c r="L23" s="41" t="s">
        <v>299</v>
      </c>
      <c r="M23" s="41" t="str">
        <f>VLOOKUP(N23,'list rate unit'!O:P,2,FALSE)</f>
        <v>SK 200-8 SX</v>
      </c>
      <c r="N23" s="41" t="str">
        <f t="shared" si="4"/>
        <v>KOBELCO SK 200 - 15</v>
      </c>
      <c r="O23" s="15" t="s">
        <v>56</v>
      </c>
    </row>
    <row r="24" spans="2:15" x14ac:dyDescent="0.3">
      <c r="B24" s="41">
        <v>17</v>
      </c>
      <c r="C24" s="41" t="s">
        <v>201</v>
      </c>
      <c r="D24" s="42">
        <v>247</v>
      </c>
      <c r="E24" s="62">
        <f>IF(O24="K",VLOOKUP(M24,Table2[[#All],[UNIT]:[Column7]],10,FALSE),0)</f>
        <v>275000</v>
      </c>
      <c r="F24" s="43">
        <f t="shared" si="2"/>
        <v>67925000</v>
      </c>
      <c r="G24" s="42">
        <v>3359</v>
      </c>
      <c r="H24" s="44">
        <f t="shared" si="0"/>
        <v>38628500</v>
      </c>
      <c r="I24" s="42">
        <f t="shared" si="1"/>
        <v>13.59919028340081</v>
      </c>
      <c r="J24" s="45">
        <f t="shared" si="3"/>
        <v>106553500</v>
      </c>
      <c r="K24" s="36"/>
      <c r="L24" s="41" t="s">
        <v>299</v>
      </c>
      <c r="M24" s="41" t="str">
        <f>VLOOKUP(N24,'list rate unit'!O:P,2,FALSE)</f>
        <v>SK 200-8 SX</v>
      </c>
      <c r="N24" s="41" t="str">
        <f t="shared" si="4"/>
        <v>KOBELCO SK 200 - 16</v>
      </c>
      <c r="O24" s="15" t="s">
        <v>56</v>
      </c>
    </row>
    <row r="25" spans="2:15" x14ac:dyDescent="0.3">
      <c r="B25" s="41">
        <v>18</v>
      </c>
      <c r="C25" s="41" t="s">
        <v>202</v>
      </c>
      <c r="D25" s="42">
        <v>193</v>
      </c>
      <c r="E25" s="62">
        <f>IF(O25="K",VLOOKUP(M25,Table2[[#All],[UNIT]:[Column7]],10,FALSE),0)</f>
        <v>275000</v>
      </c>
      <c r="F25" s="43">
        <f t="shared" ref="F25:F26" si="5">D25*E25</f>
        <v>53075000</v>
      </c>
      <c r="G25" s="42">
        <v>2432</v>
      </c>
      <c r="H25" s="44">
        <f t="shared" si="0"/>
        <v>27968000</v>
      </c>
      <c r="I25" s="42">
        <f t="shared" ref="I25:I26" si="6">IFERROR(G25/D25,0)</f>
        <v>12.601036269430052</v>
      </c>
      <c r="J25" s="45">
        <f t="shared" ref="J25:J26" si="7">F25+H25</f>
        <v>81043000</v>
      </c>
      <c r="K25" s="36"/>
      <c r="L25" s="41" t="s">
        <v>299</v>
      </c>
      <c r="M25" s="41" t="str">
        <f>VLOOKUP(N25,'list rate unit'!O:P,2,FALSE)</f>
        <v>SK 200-8 SX</v>
      </c>
      <c r="N25" s="41" t="str">
        <f t="shared" ref="N25:N26" si="8">C25</f>
        <v>KOBELCO SK 200 - 18</v>
      </c>
      <c r="O25" s="15" t="s">
        <v>56</v>
      </c>
    </row>
    <row r="26" spans="2:15" x14ac:dyDescent="0.3">
      <c r="B26" s="41">
        <v>19</v>
      </c>
      <c r="C26" s="41" t="s">
        <v>204</v>
      </c>
      <c r="D26" s="42">
        <v>118</v>
      </c>
      <c r="E26" s="62">
        <f>IF(O26="K",VLOOKUP(M26,Table2[[#All],[UNIT]:[Column7]],10,FALSE),0)</f>
        <v>275000</v>
      </c>
      <c r="F26" s="43">
        <f t="shared" si="5"/>
        <v>32450000</v>
      </c>
      <c r="G26" s="42">
        <v>1268</v>
      </c>
      <c r="H26" s="44">
        <f t="shared" si="0"/>
        <v>14582000</v>
      </c>
      <c r="I26" s="42">
        <f t="shared" si="6"/>
        <v>10.745762711864407</v>
      </c>
      <c r="J26" s="45">
        <f t="shared" si="7"/>
        <v>47032000</v>
      </c>
      <c r="K26" s="36"/>
      <c r="L26" s="41" t="s">
        <v>299</v>
      </c>
      <c r="M26" s="41" t="str">
        <f>VLOOKUP(N26,'list rate unit'!O:P,2,FALSE)</f>
        <v>SK 200-8 SX</v>
      </c>
      <c r="N26" s="41" t="str">
        <f t="shared" si="8"/>
        <v>KOBELCO SK 200 - 20</v>
      </c>
      <c r="O26" s="15" t="s">
        <v>56</v>
      </c>
    </row>
    <row r="27" spans="2:15" x14ac:dyDescent="0.3">
      <c r="B27" s="41">
        <v>20</v>
      </c>
      <c r="C27" s="41" t="s">
        <v>285</v>
      </c>
      <c r="D27" s="42">
        <v>37</v>
      </c>
      <c r="E27" s="62">
        <f>IF(O27="K",VLOOKUP(M27,Table2[[#All],[UNIT]:[Column7]],10,FALSE),0)</f>
        <v>425000</v>
      </c>
      <c r="F27" s="43">
        <f t="shared" si="2"/>
        <v>15725000</v>
      </c>
      <c r="G27" s="42">
        <v>847.31753554502359</v>
      </c>
      <c r="H27" s="44">
        <f t="shared" si="0"/>
        <v>9744151.658767771</v>
      </c>
      <c r="I27" s="42">
        <f t="shared" si="1"/>
        <v>22.900473933649288</v>
      </c>
      <c r="J27" s="45">
        <f t="shared" si="3"/>
        <v>25469151.658767771</v>
      </c>
      <c r="K27" s="36"/>
      <c r="L27" s="41" t="s">
        <v>299</v>
      </c>
      <c r="M27" s="41" t="str">
        <f>VLOOKUP(N27,'list rate unit'!O:P,2,FALSE)</f>
        <v>D 85 ESS-2</v>
      </c>
      <c r="N27" s="41" t="str">
        <f t="shared" si="4"/>
        <v>KOMATSU DOZER D85SS - 20</v>
      </c>
      <c r="O27" s="15" t="s">
        <v>56</v>
      </c>
    </row>
    <row r="28" spans="2:15" x14ac:dyDescent="0.3">
      <c r="D28" s="18"/>
      <c r="F28" s="32"/>
      <c r="G28" s="18"/>
      <c r="H28" s="30"/>
      <c r="I28" s="18"/>
      <c r="J28" s="33"/>
      <c r="K28" s="18"/>
    </row>
    <row r="29" spans="2:15" s="1" customFormat="1" ht="15.75" customHeight="1" x14ac:dyDescent="0.3">
      <c r="B29" s="200" t="s">
        <v>21</v>
      </c>
      <c r="C29" s="200"/>
      <c r="D29" s="46">
        <f>SUM(D8:D27)</f>
        <v>3221</v>
      </c>
      <c r="E29" s="63">
        <f>AVERAGE(E8:E27)</f>
        <v>326250</v>
      </c>
      <c r="F29" s="47">
        <f>SUM(F8:F27)</f>
        <v>1017325000</v>
      </c>
      <c r="G29" s="46">
        <f>SUM(G8:G27)</f>
        <v>52998.158914855368</v>
      </c>
      <c r="H29" s="47">
        <f>SUM(H8:H27)</f>
        <v>609478827.52083671</v>
      </c>
      <c r="I29" s="46">
        <f t="shared" ref="I29" si="9">IFERROR(G29/D29,0)</f>
        <v>16.453945642612656</v>
      </c>
      <c r="J29" s="48">
        <f>SUM(J8:J27)</f>
        <v>1626803827.5208366</v>
      </c>
      <c r="K29" s="37"/>
    </row>
    <row r="31" spans="2:15" x14ac:dyDescent="0.3">
      <c r="B31" s="35" t="s">
        <v>34</v>
      </c>
      <c r="C31" s="29">
        <f>'SUMMARY 2'!I28</f>
        <v>14848</v>
      </c>
    </row>
    <row r="32" spans="2:15" x14ac:dyDescent="0.3">
      <c r="B32" s="35" t="s">
        <v>35</v>
      </c>
      <c r="C32" s="29">
        <f>'SUMMARY 2'!I13</f>
        <v>11500</v>
      </c>
      <c r="F32" s="30"/>
      <c r="G32" s="18"/>
    </row>
    <row r="34" spans="6:6" x14ac:dyDescent="0.3">
      <c r="F34" s="18"/>
    </row>
  </sheetData>
  <autoFilter ref="B7:O27" xr:uid="{00000000-0009-0000-0000-000003000000}"/>
  <mergeCells count="13">
    <mergeCell ref="N5:N7"/>
    <mergeCell ref="H6:H7"/>
    <mergeCell ref="I5:I6"/>
    <mergeCell ref="B2:C3"/>
    <mergeCell ref="B5:B7"/>
    <mergeCell ref="C5:C7"/>
    <mergeCell ref="D5:F5"/>
    <mergeCell ref="F6:F7"/>
    <mergeCell ref="B29:C29"/>
    <mergeCell ref="G5:H5"/>
    <mergeCell ref="J5:J7"/>
    <mergeCell ref="L5:L7"/>
    <mergeCell ref="M5:M7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7A23AA3-D48A-4EB0-A2D2-E518DCD0789A}">
          <x14:formula1>
            <xm:f>'list rate unit'!$B$6:$B$26</xm:f>
          </x14:formula1>
          <xm:sqref>M1:M1048576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1"/>
  </sheetPr>
  <dimension ref="B2:Q171"/>
  <sheetViews>
    <sheetView workbookViewId="0">
      <pane xSplit="3" ySplit="7" topLeftCell="D59" activePane="bottomRight" state="frozenSplit"/>
      <selection pane="topRight" activeCell="C1" sqref="C1"/>
      <selection pane="bottomLeft" activeCell="A8" sqref="A8"/>
      <selection pane="bottomRight" activeCell="J71" sqref="J71"/>
    </sheetView>
  </sheetViews>
  <sheetFormatPr defaultColWidth="9.109375" defaultRowHeight="13.8" x14ac:dyDescent="0.3"/>
  <cols>
    <col min="1" max="1" width="9.109375" style="15"/>
    <col min="2" max="2" width="11.5546875" style="15" customWidth="1"/>
    <col min="3" max="3" width="19.5546875" style="15" bestFit="1" customWidth="1"/>
    <col min="4" max="5" width="12.6640625" style="15" customWidth="1"/>
    <col min="6" max="6" width="12" style="15" bestFit="1" customWidth="1"/>
    <col min="7" max="7" width="19.5546875" style="15" customWidth="1"/>
    <col min="8" max="8" width="12.6640625" style="15" customWidth="1"/>
    <col min="9" max="9" width="19.6640625" style="15" bestFit="1" customWidth="1"/>
    <col min="10" max="12" width="11" style="15" customWidth="1"/>
    <col min="13" max="13" width="20.77734375" style="15" customWidth="1"/>
    <col min="14" max="14" width="16" style="15" customWidth="1"/>
    <col min="15" max="15" width="18.6640625" style="15" bestFit="1" customWidth="1"/>
    <col min="16" max="16" width="12.109375" style="15" bestFit="1" customWidth="1"/>
    <col min="17" max="17" width="16.6640625" style="15" customWidth="1"/>
    <col min="18" max="16384" width="9.109375" style="15"/>
  </cols>
  <sheetData>
    <row r="2" spans="2:17" x14ac:dyDescent="0.3">
      <c r="B2" s="204" t="s">
        <v>84</v>
      </c>
      <c r="C2" s="204"/>
    </row>
    <row r="3" spans="2:17" x14ac:dyDescent="0.3">
      <c r="B3" s="204"/>
      <c r="C3" s="204"/>
    </row>
    <row r="4" spans="2:17" x14ac:dyDescent="0.3">
      <c r="D4" s="30"/>
      <c r="E4" s="30"/>
    </row>
    <row r="5" spans="2:17" ht="15" customHeight="1" x14ac:dyDescent="0.3">
      <c r="B5" s="201" t="s">
        <v>1</v>
      </c>
      <c r="C5" s="201" t="s">
        <v>88</v>
      </c>
      <c r="D5" s="202" t="s">
        <v>39</v>
      </c>
      <c r="E5" s="202"/>
      <c r="F5" s="203" t="s">
        <v>52</v>
      </c>
      <c r="G5" s="203"/>
      <c r="H5" s="203" t="s">
        <v>37</v>
      </c>
      <c r="I5" s="203"/>
      <c r="J5" s="201" t="s">
        <v>90</v>
      </c>
      <c r="K5" s="201"/>
      <c r="L5" s="201"/>
      <c r="M5" s="205" t="s">
        <v>82</v>
      </c>
      <c r="N5" s="31"/>
      <c r="O5" s="201" t="s">
        <v>47</v>
      </c>
      <c r="P5" s="201" t="s">
        <v>89</v>
      </c>
      <c r="Q5" s="201"/>
    </row>
    <row r="6" spans="2:17" ht="15" customHeight="1" x14ac:dyDescent="0.3">
      <c r="B6" s="201"/>
      <c r="C6" s="201"/>
      <c r="D6" s="201" t="s">
        <v>41</v>
      </c>
      <c r="E6" s="201"/>
      <c r="F6" s="39" t="s">
        <v>48</v>
      </c>
      <c r="G6" s="201" t="s">
        <v>28</v>
      </c>
      <c r="H6" s="39" t="s">
        <v>27</v>
      </c>
      <c r="I6" s="201" t="s">
        <v>28</v>
      </c>
      <c r="J6" s="201"/>
      <c r="K6" s="201"/>
      <c r="L6" s="201"/>
      <c r="M6" s="205"/>
      <c r="N6" s="31"/>
      <c r="O6" s="201"/>
      <c r="P6" s="201"/>
      <c r="Q6" s="201"/>
    </row>
    <row r="7" spans="2:17" ht="15" customHeight="1" x14ac:dyDescent="0.3">
      <c r="B7" s="201"/>
      <c r="C7" s="201"/>
      <c r="D7" s="39" t="s">
        <v>42</v>
      </c>
      <c r="E7" s="39" t="s">
        <v>43</v>
      </c>
      <c r="F7" s="39" t="s">
        <v>30</v>
      </c>
      <c r="G7" s="201"/>
      <c r="H7" s="39" t="s">
        <v>32</v>
      </c>
      <c r="I7" s="201"/>
      <c r="J7" s="39" t="s">
        <v>40</v>
      </c>
      <c r="K7" s="39" t="s">
        <v>44</v>
      </c>
      <c r="L7" s="39" t="s">
        <v>55</v>
      </c>
      <c r="M7" s="205"/>
      <c r="N7" s="31"/>
      <c r="O7" s="201"/>
      <c r="P7" s="201"/>
      <c r="Q7" s="201"/>
    </row>
    <row r="8" spans="2:17" x14ac:dyDescent="0.3">
      <c r="B8" s="41">
        <v>1</v>
      </c>
      <c r="C8" s="41" t="s">
        <v>227</v>
      </c>
      <c r="D8" s="42">
        <v>3119.89</v>
      </c>
      <c r="E8" s="42">
        <v>68</v>
      </c>
      <c r="F8" s="49">
        <f>VLOOKUP(P8,'list rate unit'!$B$3:$K$40,10,FALSE)</f>
        <v>500000</v>
      </c>
      <c r="G8" s="44">
        <f t="shared" ref="G8:G39" si="0">IF(D8=0,0,F8*$C$84)</f>
        <v>105000000</v>
      </c>
      <c r="H8" s="42">
        <v>3039</v>
      </c>
      <c r="I8" s="44">
        <f t="shared" ref="I8:I39" si="1">H8*$C$83</f>
        <v>34948500</v>
      </c>
      <c r="J8" s="42">
        <f>IFERROR(H8/D8,0)</f>
        <v>0.97407280384885364</v>
      </c>
      <c r="K8" s="42">
        <f t="shared" ref="K8:K12" si="2">IFERROR(D8/E8,0)</f>
        <v>45.880735294117642</v>
      </c>
      <c r="L8" s="42">
        <f>H8/E8</f>
        <v>44.691176470588232</v>
      </c>
      <c r="M8" s="45">
        <f>G8+I8</f>
        <v>139948500</v>
      </c>
      <c r="N8" s="18">
        <f>D8*'SUMMARY 2'!$I$29*'SUMMARY 2'!$I$28</f>
        <v>486403330.55999994</v>
      </c>
      <c r="O8" s="41" t="s">
        <v>311</v>
      </c>
      <c r="P8" s="41" t="s">
        <v>151</v>
      </c>
      <c r="Q8" s="41" t="str">
        <f t="shared" ref="Q8:Q22" si="3">C8</f>
        <v xml:space="preserve"> DT HINO G 310</v>
      </c>
    </row>
    <row r="9" spans="2:17" x14ac:dyDescent="0.3">
      <c r="B9" s="41">
        <v>2</v>
      </c>
      <c r="C9" s="41" t="s">
        <v>228</v>
      </c>
      <c r="D9" s="42">
        <v>3981.7299999999996</v>
      </c>
      <c r="E9" s="42">
        <v>85</v>
      </c>
      <c r="F9" s="49">
        <f>VLOOKUP(P9,'list rate unit'!$B$3:$K$40,10,FALSE)</f>
        <v>500000</v>
      </c>
      <c r="G9" s="44">
        <f t="shared" si="0"/>
        <v>105000000</v>
      </c>
      <c r="H9" s="42">
        <v>3715</v>
      </c>
      <c r="I9" s="44">
        <f t="shared" si="1"/>
        <v>42722500</v>
      </c>
      <c r="J9" s="42">
        <f t="shared" ref="J9:J12" si="4">IFERROR(H9/D9,0)</f>
        <v>0.93301153016402427</v>
      </c>
      <c r="K9" s="42">
        <f t="shared" si="2"/>
        <v>46.843882352941172</v>
      </c>
      <c r="L9" s="42">
        <f t="shared" ref="L9:L12" si="5">H9/E9</f>
        <v>43.705882352941174</v>
      </c>
      <c r="M9" s="45">
        <f t="shared" ref="M9:M12" si="6">G9+I9</f>
        <v>147722500</v>
      </c>
      <c r="N9" s="18">
        <f>D9*'SUMMARY 2'!$I$29*'SUMMARY 2'!$I$28</f>
        <v>620767633.91999996</v>
      </c>
      <c r="O9" s="41" t="s">
        <v>311</v>
      </c>
      <c r="P9" s="41" t="s">
        <v>151</v>
      </c>
      <c r="Q9" s="41" t="str">
        <f t="shared" si="3"/>
        <v xml:space="preserve"> DT HINO G 311</v>
      </c>
    </row>
    <row r="10" spans="2:17" x14ac:dyDescent="0.3">
      <c r="B10" s="41">
        <v>3</v>
      </c>
      <c r="C10" s="41" t="s">
        <v>229</v>
      </c>
      <c r="D10" s="42">
        <v>3401.7</v>
      </c>
      <c r="E10" s="42">
        <v>74</v>
      </c>
      <c r="F10" s="49">
        <f>VLOOKUP(P10,'list rate unit'!$B$3:$K$40,10,FALSE)</f>
        <v>500000</v>
      </c>
      <c r="G10" s="44">
        <f t="shared" si="0"/>
        <v>105000000</v>
      </c>
      <c r="H10" s="42">
        <v>3541</v>
      </c>
      <c r="I10" s="44">
        <f t="shared" si="1"/>
        <v>40721500</v>
      </c>
      <c r="J10" s="42">
        <f t="shared" si="4"/>
        <v>1.0409501131787049</v>
      </c>
      <c r="K10" s="42">
        <f t="shared" si="2"/>
        <v>45.968918918918916</v>
      </c>
      <c r="L10" s="42">
        <f t="shared" si="5"/>
        <v>47.851351351351354</v>
      </c>
      <c r="M10" s="45">
        <f t="shared" si="6"/>
        <v>145721500</v>
      </c>
      <c r="N10" s="18">
        <f>D10*'SUMMARY 2'!$I$29*'SUMMARY 2'!$I$28</f>
        <v>530338636.79999995</v>
      </c>
      <c r="O10" s="41" t="s">
        <v>311</v>
      </c>
      <c r="P10" s="41" t="s">
        <v>151</v>
      </c>
      <c r="Q10" s="41" t="str">
        <f t="shared" si="3"/>
        <v xml:space="preserve"> DT HINO G 314</v>
      </c>
    </row>
    <row r="11" spans="2:17" x14ac:dyDescent="0.3">
      <c r="B11" s="41">
        <v>4</v>
      </c>
      <c r="C11" s="41" t="s">
        <v>230</v>
      </c>
      <c r="D11" s="42">
        <v>1298.42</v>
      </c>
      <c r="E11" s="42">
        <v>27</v>
      </c>
      <c r="F11" s="49">
        <f>VLOOKUP(P11,'list rate unit'!$B$3:$K$40,10,FALSE)</f>
        <v>500000</v>
      </c>
      <c r="G11" s="44">
        <f t="shared" si="0"/>
        <v>105000000</v>
      </c>
      <c r="H11" s="42">
        <v>1565</v>
      </c>
      <c r="I11" s="44">
        <f t="shared" si="1"/>
        <v>17997500</v>
      </c>
      <c r="J11" s="42">
        <f t="shared" si="4"/>
        <v>1.2053110703778438</v>
      </c>
      <c r="K11" s="42">
        <f t="shared" si="2"/>
        <v>48.089629629629634</v>
      </c>
      <c r="L11" s="42">
        <f t="shared" si="5"/>
        <v>57.962962962962962</v>
      </c>
      <c r="M11" s="45">
        <f t="shared" si="6"/>
        <v>122997500</v>
      </c>
      <c r="N11" s="18">
        <f>D11*'SUMMARY 2'!$I$29*'SUMMARY 2'!$I$28</f>
        <v>202428871.68000001</v>
      </c>
      <c r="O11" s="41" t="s">
        <v>311</v>
      </c>
      <c r="P11" s="41" t="s">
        <v>151</v>
      </c>
      <c r="Q11" s="41" t="str">
        <f t="shared" si="3"/>
        <v xml:space="preserve"> DT HINO G 315</v>
      </c>
    </row>
    <row r="12" spans="2:17" x14ac:dyDescent="0.3">
      <c r="B12" s="41">
        <v>5</v>
      </c>
      <c r="C12" s="41" t="s">
        <v>231</v>
      </c>
      <c r="D12" s="42">
        <v>2183.19</v>
      </c>
      <c r="E12" s="42">
        <v>48</v>
      </c>
      <c r="F12" s="49">
        <f>VLOOKUP(P12,'list rate unit'!$B$3:$K$40,10,FALSE)</f>
        <v>500000</v>
      </c>
      <c r="G12" s="44">
        <f t="shared" si="0"/>
        <v>105000000</v>
      </c>
      <c r="H12" s="42">
        <v>2157</v>
      </c>
      <c r="I12" s="44">
        <f t="shared" si="1"/>
        <v>24805500</v>
      </c>
      <c r="J12" s="42">
        <f t="shared" si="4"/>
        <v>0.98800379261539306</v>
      </c>
      <c r="K12" s="42">
        <f t="shared" si="2"/>
        <v>45.483125000000001</v>
      </c>
      <c r="L12" s="42">
        <f t="shared" si="5"/>
        <v>44.9375</v>
      </c>
      <c r="M12" s="45">
        <f t="shared" si="6"/>
        <v>129805500</v>
      </c>
      <c r="N12" s="18">
        <f>D12*'SUMMARY 2'!$I$29*'SUMMARY 2'!$I$28</f>
        <v>340368053.75999999</v>
      </c>
      <c r="O12" s="41" t="s">
        <v>311</v>
      </c>
      <c r="P12" s="41" t="s">
        <v>151</v>
      </c>
      <c r="Q12" s="41" t="str">
        <f t="shared" si="3"/>
        <v xml:space="preserve"> DT HINO G 317</v>
      </c>
    </row>
    <row r="13" spans="2:17" x14ac:dyDescent="0.3">
      <c r="B13" s="41">
        <v>6</v>
      </c>
      <c r="C13" s="41" t="s">
        <v>232</v>
      </c>
      <c r="D13" s="42">
        <v>1804.4999999999998</v>
      </c>
      <c r="E13" s="42">
        <v>39</v>
      </c>
      <c r="F13" s="49">
        <f>VLOOKUP(P13,'list rate unit'!$B$3:$K$40,10,FALSE)</f>
        <v>500000</v>
      </c>
      <c r="G13" s="44">
        <f t="shared" si="0"/>
        <v>105000000</v>
      </c>
      <c r="H13" s="42">
        <v>1680</v>
      </c>
      <c r="I13" s="44">
        <f t="shared" si="1"/>
        <v>19320000</v>
      </c>
      <c r="J13" s="42">
        <f t="shared" ref="J13:J22" si="7">IFERROR(H13/D13,0)</f>
        <v>0.93100581878636757</v>
      </c>
      <c r="K13" s="42">
        <f t="shared" ref="K13:K22" si="8">IFERROR(D13/E13,0)</f>
        <v>46.269230769230766</v>
      </c>
      <c r="L13" s="42">
        <f t="shared" ref="L13:L22" si="9">H13/E13</f>
        <v>43.07692307692308</v>
      </c>
      <c r="M13" s="45">
        <f t="shared" ref="M13:M22" si="10">G13+I13</f>
        <v>124320000</v>
      </c>
      <c r="N13" s="18">
        <f>D13*'SUMMARY 2'!$I$29*'SUMMARY 2'!$I$28</f>
        <v>281328767.99999994</v>
      </c>
      <c r="O13" s="41" t="s">
        <v>311</v>
      </c>
      <c r="P13" s="41" t="s">
        <v>151</v>
      </c>
      <c r="Q13" s="41" t="str">
        <f t="shared" si="3"/>
        <v xml:space="preserve"> DT HINO G 318</v>
      </c>
    </row>
    <row r="14" spans="2:17" x14ac:dyDescent="0.3">
      <c r="B14" s="41">
        <v>7</v>
      </c>
      <c r="C14" s="41" t="s">
        <v>233</v>
      </c>
      <c r="D14" s="42">
        <v>147.22999999999999</v>
      </c>
      <c r="E14" s="42">
        <v>3</v>
      </c>
      <c r="F14" s="49">
        <f>VLOOKUP(P14,'list rate unit'!$B$3:$K$40,10,FALSE)</f>
        <v>500000</v>
      </c>
      <c r="G14" s="44">
        <f t="shared" si="0"/>
        <v>105000000</v>
      </c>
      <c r="H14" s="42">
        <v>363</v>
      </c>
      <c r="I14" s="44">
        <f t="shared" si="1"/>
        <v>4174500</v>
      </c>
      <c r="J14" s="42">
        <f t="shared" si="7"/>
        <v>2.4655301229369018</v>
      </c>
      <c r="K14" s="42">
        <f t="shared" si="8"/>
        <v>49.076666666666661</v>
      </c>
      <c r="L14" s="42">
        <f t="shared" si="9"/>
        <v>121</v>
      </c>
      <c r="M14" s="45">
        <f t="shared" si="10"/>
        <v>109174500</v>
      </c>
      <c r="N14" s="18">
        <f>D14*'SUMMARY 2'!$I$29*'SUMMARY 2'!$I$28</f>
        <v>22953745.919999998</v>
      </c>
      <c r="O14" s="41" t="s">
        <v>311</v>
      </c>
      <c r="P14" s="41" t="s">
        <v>151</v>
      </c>
      <c r="Q14" s="41" t="str">
        <f t="shared" si="3"/>
        <v xml:space="preserve"> DT HINO G 321</v>
      </c>
    </row>
    <row r="15" spans="2:17" x14ac:dyDescent="0.3">
      <c r="B15" s="41">
        <v>8</v>
      </c>
      <c r="C15" s="41" t="s">
        <v>234</v>
      </c>
      <c r="D15" s="42">
        <v>2765.6</v>
      </c>
      <c r="E15" s="42">
        <v>60</v>
      </c>
      <c r="F15" s="49">
        <f>VLOOKUP(P15,'list rate unit'!$B$3:$K$40,10,FALSE)</f>
        <v>500000</v>
      </c>
      <c r="G15" s="44">
        <f t="shared" si="0"/>
        <v>105000000</v>
      </c>
      <c r="H15" s="42">
        <v>2931</v>
      </c>
      <c r="I15" s="44">
        <f t="shared" si="1"/>
        <v>33706500</v>
      </c>
      <c r="J15" s="42">
        <f t="shared" si="7"/>
        <v>1.0598061903384437</v>
      </c>
      <c r="K15" s="42">
        <f t="shared" si="8"/>
        <v>46.093333333333334</v>
      </c>
      <c r="L15" s="42">
        <f t="shared" si="9"/>
        <v>48.85</v>
      </c>
      <c r="M15" s="45">
        <f t="shared" si="10"/>
        <v>138706500</v>
      </c>
      <c r="N15" s="18">
        <f>D15*'SUMMARY 2'!$I$29*'SUMMARY 2'!$I$28</f>
        <v>431168102.39999998</v>
      </c>
      <c r="O15" s="41" t="s">
        <v>311</v>
      </c>
      <c r="P15" s="41" t="s">
        <v>151</v>
      </c>
      <c r="Q15" s="41" t="str">
        <f t="shared" si="3"/>
        <v xml:space="preserve"> DT HINO G 323</v>
      </c>
    </row>
    <row r="16" spans="2:17" x14ac:dyDescent="0.3">
      <c r="B16" s="41">
        <v>9</v>
      </c>
      <c r="C16" s="41" t="s">
        <v>235</v>
      </c>
      <c r="D16" s="42">
        <v>1945.6700000000003</v>
      </c>
      <c r="E16" s="42">
        <v>43</v>
      </c>
      <c r="F16" s="49">
        <f>VLOOKUP(P16,'list rate unit'!$B$3:$K$40,10,FALSE)</f>
        <v>500000</v>
      </c>
      <c r="G16" s="44">
        <f t="shared" si="0"/>
        <v>105000000</v>
      </c>
      <c r="H16" s="42">
        <v>1957</v>
      </c>
      <c r="I16" s="44">
        <f t="shared" si="1"/>
        <v>22505500</v>
      </c>
      <c r="J16" s="42">
        <f t="shared" si="7"/>
        <v>1.0058231868713603</v>
      </c>
      <c r="K16" s="42">
        <f t="shared" si="8"/>
        <v>45.248139534883727</v>
      </c>
      <c r="L16" s="42">
        <f t="shared" si="9"/>
        <v>45.511627906976742</v>
      </c>
      <c r="M16" s="45">
        <f t="shared" si="10"/>
        <v>127505500</v>
      </c>
      <c r="N16" s="18">
        <f>D16*'SUMMARY 2'!$I$29*'SUMMARY 2'!$I$28</f>
        <v>303337735.68000007</v>
      </c>
      <c r="O16" s="41" t="s">
        <v>311</v>
      </c>
      <c r="P16" s="41" t="s">
        <v>151</v>
      </c>
      <c r="Q16" s="41" t="str">
        <f t="shared" si="3"/>
        <v xml:space="preserve"> DT HINO G 324</v>
      </c>
    </row>
    <row r="17" spans="2:17" x14ac:dyDescent="0.3">
      <c r="B17" s="41">
        <v>10</v>
      </c>
      <c r="C17" s="41" t="s">
        <v>236</v>
      </c>
      <c r="D17" s="42">
        <v>2324.79</v>
      </c>
      <c r="E17" s="42">
        <v>50</v>
      </c>
      <c r="F17" s="49">
        <f>VLOOKUP(P17,'list rate unit'!$B$3:$K$40,10,FALSE)</f>
        <v>500000</v>
      </c>
      <c r="G17" s="44">
        <f t="shared" si="0"/>
        <v>105000000</v>
      </c>
      <c r="H17" s="42">
        <v>2161</v>
      </c>
      <c r="I17" s="44">
        <f t="shared" si="1"/>
        <v>24851500</v>
      </c>
      <c r="J17" s="42">
        <f t="shared" si="7"/>
        <v>0.92954632461426623</v>
      </c>
      <c r="K17" s="42">
        <f t="shared" si="8"/>
        <v>46.495800000000003</v>
      </c>
      <c r="L17" s="42">
        <f t="shared" si="9"/>
        <v>43.22</v>
      </c>
      <c r="M17" s="45">
        <f t="shared" si="10"/>
        <v>129851500</v>
      </c>
      <c r="N17" s="18">
        <f>D17*'SUMMARY 2'!$I$29*'SUMMARY 2'!$I$28</f>
        <v>362444060.15999997</v>
      </c>
      <c r="O17" s="41" t="s">
        <v>311</v>
      </c>
      <c r="P17" s="41" t="s">
        <v>151</v>
      </c>
      <c r="Q17" s="41" t="str">
        <f t="shared" si="3"/>
        <v xml:space="preserve"> DT HINO G 325</v>
      </c>
    </row>
    <row r="18" spans="2:17" x14ac:dyDescent="0.3">
      <c r="B18" s="41">
        <v>11</v>
      </c>
      <c r="C18" s="41" t="s">
        <v>237</v>
      </c>
      <c r="D18" s="42">
        <v>2834.91</v>
      </c>
      <c r="E18" s="42">
        <v>63</v>
      </c>
      <c r="F18" s="49">
        <f>VLOOKUP(P18,'list rate unit'!$B$3:$K$40,10,FALSE)</f>
        <v>500000</v>
      </c>
      <c r="G18" s="44">
        <f t="shared" si="0"/>
        <v>105000000</v>
      </c>
      <c r="H18" s="42">
        <v>3135</v>
      </c>
      <c r="I18" s="44">
        <f t="shared" si="1"/>
        <v>36052500</v>
      </c>
      <c r="J18" s="42">
        <f t="shared" si="7"/>
        <v>1.1058552123347831</v>
      </c>
      <c r="K18" s="42">
        <f t="shared" si="8"/>
        <v>44.998571428571424</v>
      </c>
      <c r="L18" s="42">
        <f t="shared" si="9"/>
        <v>49.761904761904759</v>
      </c>
      <c r="M18" s="45">
        <f t="shared" si="10"/>
        <v>141052500</v>
      </c>
      <c r="N18" s="18">
        <f>D18*'SUMMARY 2'!$I$29*'SUMMARY 2'!$I$28</f>
        <v>441973808.63999999</v>
      </c>
      <c r="O18" s="41" t="s">
        <v>311</v>
      </c>
      <c r="P18" s="41" t="s">
        <v>151</v>
      </c>
      <c r="Q18" s="41" t="str">
        <f t="shared" si="3"/>
        <v xml:space="preserve"> DT HINO G 326</v>
      </c>
    </row>
    <row r="19" spans="2:17" x14ac:dyDescent="0.3">
      <c r="B19" s="41">
        <v>12</v>
      </c>
      <c r="C19" s="41" t="s">
        <v>238</v>
      </c>
      <c r="D19" s="42">
        <v>2214.2600000000007</v>
      </c>
      <c r="E19" s="42">
        <v>48</v>
      </c>
      <c r="F19" s="49">
        <f>VLOOKUP(P19,'list rate unit'!$B$3:$K$40,10,FALSE)</f>
        <v>500000</v>
      </c>
      <c r="G19" s="44">
        <f t="shared" si="0"/>
        <v>105000000</v>
      </c>
      <c r="H19" s="42">
        <v>2114</v>
      </c>
      <c r="I19" s="44">
        <f t="shared" si="1"/>
        <v>24311000</v>
      </c>
      <c r="J19" s="42">
        <f t="shared" si="7"/>
        <v>0.95472076449920029</v>
      </c>
      <c r="K19" s="42">
        <f t="shared" si="8"/>
        <v>46.130416666666683</v>
      </c>
      <c r="L19" s="42">
        <f t="shared" si="9"/>
        <v>44.041666666666664</v>
      </c>
      <c r="M19" s="45">
        <f t="shared" si="10"/>
        <v>129311000</v>
      </c>
      <c r="N19" s="18">
        <f>D19*'SUMMARY 2'!$I$29*'SUMMARY 2'!$I$28</f>
        <v>345211991.04000008</v>
      </c>
      <c r="O19" s="41" t="s">
        <v>311</v>
      </c>
      <c r="P19" s="41" t="s">
        <v>151</v>
      </c>
      <c r="Q19" s="41" t="str">
        <f t="shared" si="3"/>
        <v xml:space="preserve"> DT HINO G 329</v>
      </c>
    </row>
    <row r="20" spans="2:17" x14ac:dyDescent="0.3">
      <c r="B20" s="41">
        <v>13</v>
      </c>
      <c r="C20" s="41" t="s">
        <v>239</v>
      </c>
      <c r="D20" s="42">
        <v>3693.6800000000003</v>
      </c>
      <c r="E20" s="42">
        <v>78</v>
      </c>
      <c r="F20" s="49">
        <f>VLOOKUP(P20,'list rate unit'!$B$3:$K$40,10,FALSE)</f>
        <v>500000</v>
      </c>
      <c r="G20" s="44">
        <f t="shared" si="0"/>
        <v>105000000</v>
      </c>
      <c r="H20" s="42">
        <v>3920</v>
      </c>
      <c r="I20" s="44">
        <f t="shared" si="1"/>
        <v>45080000</v>
      </c>
      <c r="J20" s="42">
        <f t="shared" si="7"/>
        <v>1.0612722271555737</v>
      </c>
      <c r="K20" s="42">
        <f t="shared" si="8"/>
        <v>47.354871794871798</v>
      </c>
      <c r="L20" s="42">
        <f t="shared" si="9"/>
        <v>50.256410256410255</v>
      </c>
      <c r="M20" s="45">
        <f t="shared" si="10"/>
        <v>150080000</v>
      </c>
      <c r="N20" s="18">
        <f>D20*'SUMMARY 2'!$I$29*'SUMMARY 2'!$I$28</f>
        <v>575859486.72000003</v>
      </c>
      <c r="O20" s="41" t="s">
        <v>311</v>
      </c>
      <c r="P20" s="41" t="s">
        <v>151</v>
      </c>
      <c r="Q20" s="41" t="str">
        <f t="shared" si="3"/>
        <v xml:space="preserve"> DT HINO G 331</v>
      </c>
    </row>
    <row r="21" spans="2:17" x14ac:dyDescent="0.3">
      <c r="B21" s="41">
        <v>14</v>
      </c>
      <c r="C21" s="41" t="s">
        <v>240</v>
      </c>
      <c r="D21" s="42">
        <v>1364.94</v>
      </c>
      <c r="E21" s="42">
        <v>30</v>
      </c>
      <c r="F21" s="49">
        <f>VLOOKUP(P21,'list rate unit'!$B$3:$K$40,10,FALSE)</f>
        <v>500000</v>
      </c>
      <c r="G21" s="44">
        <f t="shared" si="0"/>
        <v>105000000</v>
      </c>
      <c r="H21" s="42">
        <v>1518</v>
      </c>
      <c r="I21" s="44">
        <f t="shared" si="1"/>
        <v>17457000</v>
      </c>
      <c r="J21" s="42">
        <f t="shared" si="7"/>
        <v>1.1121367972218559</v>
      </c>
      <c r="K21" s="42">
        <f t="shared" si="8"/>
        <v>45.498000000000005</v>
      </c>
      <c r="L21" s="42">
        <f t="shared" si="9"/>
        <v>50.6</v>
      </c>
      <c r="M21" s="45">
        <f t="shared" si="10"/>
        <v>122457000</v>
      </c>
      <c r="N21" s="18">
        <f>D21*'SUMMARY 2'!$I$29*'SUMMARY 2'!$I$28</f>
        <v>212799605.76000002</v>
      </c>
      <c r="O21" s="41" t="s">
        <v>311</v>
      </c>
      <c r="P21" s="41" t="s">
        <v>151</v>
      </c>
      <c r="Q21" s="41" t="str">
        <f t="shared" si="3"/>
        <v xml:space="preserve"> DT HINO G 332</v>
      </c>
    </row>
    <row r="22" spans="2:17" x14ac:dyDescent="0.3">
      <c r="B22" s="41">
        <v>15</v>
      </c>
      <c r="C22" s="41" t="s">
        <v>241</v>
      </c>
      <c r="D22" s="42">
        <v>3106.13</v>
      </c>
      <c r="E22" s="42">
        <v>66</v>
      </c>
      <c r="F22" s="49">
        <f>VLOOKUP(P22,'list rate unit'!$B$3:$K$40,10,FALSE)</f>
        <v>500000</v>
      </c>
      <c r="G22" s="44">
        <f t="shared" si="0"/>
        <v>105000000</v>
      </c>
      <c r="H22" s="42">
        <v>3104</v>
      </c>
      <c r="I22" s="44">
        <f t="shared" si="1"/>
        <v>35696000</v>
      </c>
      <c r="J22" s="42">
        <f t="shared" si="7"/>
        <v>0.99931425922289152</v>
      </c>
      <c r="K22" s="42">
        <f t="shared" si="8"/>
        <v>47.062575757575758</v>
      </c>
      <c r="L22" s="42">
        <f t="shared" si="9"/>
        <v>47.030303030303031</v>
      </c>
      <c r="M22" s="45">
        <f t="shared" si="10"/>
        <v>140696000</v>
      </c>
      <c r="N22" s="18">
        <f>D22*'SUMMARY 2'!$I$29*'SUMMARY 2'!$I$28</f>
        <v>484258091.52000004</v>
      </c>
      <c r="O22" s="41" t="s">
        <v>311</v>
      </c>
      <c r="P22" s="41" t="s">
        <v>151</v>
      </c>
      <c r="Q22" s="41" t="str">
        <f t="shared" si="3"/>
        <v xml:space="preserve"> DT HINO G 333</v>
      </c>
    </row>
    <row r="23" spans="2:17" x14ac:dyDescent="0.3">
      <c r="B23" s="41">
        <v>16</v>
      </c>
      <c r="C23" s="41" t="s">
        <v>242</v>
      </c>
      <c r="D23" s="42">
        <v>1662.6599999999999</v>
      </c>
      <c r="E23" s="42">
        <v>37</v>
      </c>
      <c r="F23" s="49">
        <f>VLOOKUP(P23,'list rate unit'!$B$3:$K$40,10,FALSE)</f>
        <v>500000</v>
      </c>
      <c r="G23" s="44">
        <f t="shared" si="0"/>
        <v>105000000</v>
      </c>
      <c r="H23" s="42">
        <v>1687</v>
      </c>
      <c r="I23" s="44">
        <f t="shared" si="1"/>
        <v>19400500</v>
      </c>
      <c r="J23" s="42">
        <f t="shared" ref="J23:J77" si="11">IFERROR(H23/D23,0)</f>
        <v>1.0146391926190563</v>
      </c>
      <c r="K23" s="42">
        <f t="shared" ref="K23:K77" si="12">IFERROR(D23/E23,0)</f>
        <v>44.936756756756751</v>
      </c>
      <c r="L23" s="42">
        <f t="shared" ref="L23:L77" si="13">H23/E23</f>
        <v>45.594594594594597</v>
      </c>
      <c r="M23" s="45">
        <f t="shared" ref="M23:M77" si="14">G23+I23</f>
        <v>124400500</v>
      </c>
      <c r="N23" s="18">
        <f>D23*'SUMMARY 2'!$I$29*'SUMMARY 2'!$I$28</f>
        <v>259215344.64000002</v>
      </c>
      <c r="O23" s="41" t="s">
        <v>311</v>
      </c>
      <c r="P23" s="41" t="s">
        <v>151</v>
      </c>
      <c r="Q23" s="41" t="str">
        <f t="shared" ref="Q23:Q77" si="15">C23</f>
        <v xml:space="preserve"> DT HINO G 334</v>
      </c>
    </row>
    <row r="24" spans="2:17" x14ac:dyDescent="0.3">
      <c r="B24" s="41">
        <v>17</v>
      </c>
      <c r="C24" s="41" t="s">
        <v>243</v>
      </c>
      <c r="D24" s="42">
        <v>2642.1900000000005</v>
      </c>
      <c r="E24" s="42">
        <v>56</v>
      </c>
      <c r="F24" s="49">
        <f>VLOOKUP(P24,'list rate unit'!$B$3:$K$40,10,FALSE)</f>
        <v>500000</v>
      </c>
      <c r="G24" s="44">
        <f t="shared" si="0"/>
        <v>105000000</v>
      </c>
      <c r="H24" s="42">
        <v>2489</v>
      </c>
      <c r="I24" s="44">
        <f t="shared" si="1"/>
        <v>28623500</v>
      </c>
      <c r="J24" s="42">
        <f t="shared" si="11"/>
        <v>0.94202158058277397</v>
      </c>
      <c r="K24" s="42">
        <f t="shared" si="12"/>
        <v>47.181964285714294</v>
      </c>
      <c r="L24" s="42">
        <f t="shared" si="13"/>
        <v>44.446428571428569</v>
      </c>
      <c r="M24" s="45">
        <f t="shared" si="14"/>
        <v>133623500</v>
      </c>
      <c r="N24" s="18">
        <f>D24*'SUMMARY 2'!$I$29*'SUMMARY 2'!$I$28</f>
        <v>411927989.76000011</v>
      </c>
      <c r="O24" s="41" t="s">
        <v>311</v>
      </c>
      <c r="P24" s="41" t="s">
        <v>151</v>
      </c>
      <c r="Q24" s="41" t="str">
        <f t="shared" si="15"/>
        <v xml:space="preserve"> DT HINO G 335</v>
      </c>
    </row>
    <row r="25" spans="2:17" x14ac:dyDescent="0.3">
      <c r="B25" s="41">
        <v>18</v>
      </c>
      <c r="C25" s="41" t="s">
        <v>244</v>
      </c>
      <c r="D25" s="42">
        <v>2133.4299999999998</v>
      </c>
      <c r="E25" s="42">
        <v>46</v>
      </c>
      <c r="F25" s="49">
        <f>VLOOKUP(P25,'list rate unit'!$B$3:$K$40,10,FALSE)</f>
        <v>500000</v>
      </c>
      <c r="G25" s="44">
        <f t="shared" si="0"/>
        <v>105000000</v>
      </c>
      <c r="H25" s="42">
        <v>2181</v>
      </c>
      <c r="I25" s="44">
        <f t="shared" si="1"/>
        <v>25081500</v>
      </c>
      <c r="J25" s="42">
        <f t="shared" si="11"/>
        <v>1.0222974271478324</v>
      </c>
      <c r="K25" s="42">
        <f t="shared" si="12"/>
        <v>46.378913043478256</v>
      </c>
      <c r="L25" s="42">
        <f t="shared" si="13"/>
        <v>47.413043478260867</v>
      </c>
      <c r="M25" s="45">
        <f t="shared" si="14"/>
        <v>130081500</v>
      </c>
      <c r="N25" s="18">
        <f>D25*'SUMMARY 2'!$I$29*'SUMMARY 2'!$I$28</f>
        <v>332610270.71999997</v>
      </c>
      <c r="O25" s="41" t="s">
        <v>311</v>
      </c>
      <c r="P25" s="41" t="s">
        <v>151</v>
      </c>
      <c r="Q25" s="41" t="str">
        <f t="shared" si="15"/>
        <v xml:space="preserve"> DT HINO G 336</v>
      </c>
    </row>
    <row r="26" spans="2:17" x14ac:dyDescent="0.3">
      <c r="B26" s="41">
        <v>19</v>
      </c>
      <c r="C26" s="41" t="s">
        <v>245</v>
      </c>
      <c r="D26" s="42">
        <v>876.52999999999986</v>
      </c>
      <c r="E26" s="42">
        <v>19</v>
      </c>
      <c r="F26" s="49">
        <f>VLOOKUP(P26,'list rate unit'!$B$3:$K$40,10,FALSE)</f>
        <v>500000</v>
      </c>
      <c r="G26" s="44">
        <f t="shared" si="0"/>
        <v>105000000</v>
      </c>
      <c r="H26" s="42">
        <v>1015</v>
      </c>
      <c r="I26" s="44">
        <f t="shared" si="1"/>
        <v>11672500</v>
      </c>
      <c r="J26" s="42">
        <f t="shared" si="11"/>
        <v>1.1579751976543873</v>
      </c>
      <c r="K26" s="42">
        <f t="shared" si="12"/>
        <v>46.133157894736833</v>
      </c>
      <c r="L26" s="42">
        <f t="shared" si="13"/>
        <v>53.421052631578945</v>
      </c>
      <c r="M26" s="45">
        <f t="shared" si="14"/>
        <v>116672500</v>
      </c>
      <c r="N26" s="18">
        <f>D26*'SUMMARY 2'!$I$29*'SUMMARY 2'!$I$28</f>
        <v>136654533.11999997</v>
      </c>
      <c r="O26" s="41" t="s">
        <v>311</v>
      </c>
      <c r="P26" s="41" t="s">
        <v>151</v>
      </c>
      <c r="Q26" s="41" t="str">
        <f t="shared" si="15"/>
        <v xml:space="preserve"> DT HINO G 337</v>
      </c>
    </row>
    <row r="27" spans="2:17" x14ac:dyDescent="0.3">
      <c r="B27" s="41">
        <v>20</v>
      </c>
      <c r="C27" s="41" t="s">
        <v>246</v>
      </c>
      <c r="D27" s="42">
        <v>1910.8300000000002</v>
      </c>
      <c r="E27" s="42">
        <v>41</v>
      </c>
      <c r="F27" s="49">
        <f>VLOOKUP(P27,'list rate unit'!$B$3:$K$40,10,FALSE)</f>
        <v>500000</v>
      </c>
      <c r="G27" s="44">
        <f t="shared" si="0"/>
        <v>105000000</v>
      </c>
      <c r="H27" s="42">
        <v>2242</v>
      </c>
      <c r="I27" s="44">
        <f t="shared" si="1"/>
        <v>25783000</v>
      </c>
      <c r="J27" s="42">
        <f t="shared" si="11"/>
        <v>1.1733121209108084</v>
      </c>
      <c r="K27" s="42">
        <f t="shared" si="12"/>
        <v>46.605609756097564</v>
      </c>
      <c r="L27" s="42">
        <f t="shared" si="13"/>
        <v>54.68292682926829</v>
      </c>
      <c r="M27" s="45">
        <f t="shared" si="14"/>
        <v>130783000</v>
      </c>
      <c r="N27" s="18">
        <f>D27*'SUMMARY 2'!$I$29*'SUMMARY 2'!$I$28</f>
        <v>297906040.31999999</v>
      </c>
      <c r="O27" s="41" t="s">
        <v>311</v>
      </c>
      <c r="P27" s="41" t="s">
        <v>151</v>
      </c>
      <c r="Q27" s="41" t="str">
        <f t="shared" si="15"/>
        <v xml:space="preserve"> DT HINO G 339</v>
      </c>
    </row>
    <row r="28" spans="2:17" x14ac:dyDescent="0.3">
      <c r="B28" s="41">
        <v>21</v>
      </c>
      <c r="C28" s="41" t="s">
        <v>247</v>
      </c>
      <c r="D28" s="42">
        <v>2714.0199999999995</v>
      </c>
      <c r="E28" s="42">
        <v>59</v>
      </c>
      <c r="F28" s="49">
        <f>VLOOKUP(P28,'list rate unit'!$B$3:$K$40,10,FALSE)</f>
        <v>500000</v>
      </c>
      <c r="G28" s="44">
        <f t="shared" si="0"/>
        <v>105000000</v>
      </c>
      <c r="H28" s="42">
        <v>2638</v>
      </c>
      <c r="I28" s="44">
        <f t="shared" si="1"/>
        <v>30337000</v>
      </c>
      <c r="J28" s="42">
        <f t="shared" si="11"/>
        <v>0.97198988953655485</v>
      </c>
      <c r="K28" s="42">
        <f t="shared" si="12"/>
        <v>46.000338983050838</v>
      </c>
      <c r="L28" s="42">
        <f t="shared" si="13"/>
        <v>44.711864406779661</v>
      </c>
      <c r="M28" s="45">
        <f t="shared" si="14"/>
        <v>135337000</v>
      </c>
      <c r="N28" s="18">
        <f>D28*'SUMMARY 2'!$I$29*'SUMMARY 2'!$I$28</f>
        <v>423126574.07999992</v>
      </c>
      <c r="O28" s="41" t="s">
        <v>311</v>
      </c>
      <c r="P28" s="41" t="s">
        <v>151</v>
      </c>
      <c r="Q28" s="41" t="str">
        <f t="shared" si="15"/>
        <v xml:space="preserve"> DT HINO G 340</v>
      </c>
    </row>
    <row r="29" spans="2:17" x14ac:dyDescent="0.3">
      <c r="B29" s="41">
        <v>22</v>
      </c>
      <c r="C29" s="41" t="s">
        <v>248</v>
      </c>
      <c r="D29" s="42">
        <v>2375.54</v>
      </c>
      <c r="E29" s="42">
        <v>51</v>
      </c>
      <c r="F29" s="49">
        <f>VLOOKUP(P29,'list rate unit'!$B$3:$K$40,10,FALSE)</f>
        <v>500000</v>
      </c>
      <c r="G29" s="44">
        <f t="shared" si="0"/>
        <v>105000000</v>
      </c>
      <c r="H29" s="42">
        <v>2183</v>
      </c>
      <c r="I29" s="44">
        <f t="shared" si="1"/>
        <v>25104500</v>
      </c>
      <c r="J29" s="42">
        <f t="shared" si="11"/>
        <v>0.91894895476396943</v>
      </c>
      <c r="K29" s="42">
        <f t="shared" si="12"/>
        <v>46.579215686274509</v>
      </c>
      <c r="L29" s="42">
        <f t="shared" si="13"/>
        <v>42.803921568627452</v>
      </c>
      <c r="M29" s="45">
        <f t="shared" si="14"/>
        <v>130104500</v>
      </c>
      <c r="N29" s="18">
        <f>D29*'SUMMARY 2'!$I$29*'SUMMARY 2'!$I$28</f>
        <v>370356188.15999997</v>
      </c>
      <c r="O29" s="41" t="s">
        <v>311</v>
      </c>
      <c r="P29" s="41" t="s">
        <v>151</v>
      </c>
      <c r="Q29" s="41" t="str">
        <f t="shared" si="15"/>
        <v xml:space="preserve"> DT HINO G 341</v>
      </c>
    </row>
    <row r="30" spans="2:17" x14ac:dyDescent="0.3">
      <c r="B30" s="41">
        <v>23</v>
      </c>
      <c r="C30" s="41" t="s">
        <v>249</v>
      </c>
      <c r="D30" s="42">
        <v>665.8599999999999</v>
      </c>
      <c r="E30" s="42">
        <v>14</v>
      </c>
      <c r="F30" s="49">
        <f>VLOOKUP(P30,'list rate unit'!$B$3:$K$40,10,FALSE)</f>
        <v>500000</v>
      </c>
      <c r="G30" s="44">
        <f t="shared" si="0"/>
        <v>105000000</v>
      </c>
      <c r="H30" s="42">
        <v>610</v>
      </c>
      <c r="I30" s="44">
        <f t="shared" si="1"/>
        <v>7015000</v>
      </c>
      <c r="J30" s="42">
        <f t="shared" si="11"/>
        <v>0.91610849127444216</v>
      </c>
      <c r="K30" s="42">
        <f t="shared" si="12"/>
        <v>47.561428571428564</v>
      </c>
      <c r="L30" s="42">
        <f t="shared" si="13"/>
        <v>43.571428571428569</v>
      </c>
      <c r="M30" s="45">
        <f t="shared" si="14"/>
        <v>112015000</v>
      </c>
      <c r="N30" s="18">
        <f>D30*'SUMMARY 2'!$I$29*'SUMMARY 2'!$I$28</f>
        <v>103810237.43999998</v>
      </c>
      <c r="O30" s="41" t="s">
        <v>311</v>
      </c>
      <c r="P30" s="41" t="s">
        <v>151</v>
      </c>
      <c r="Q30" s="41" t="str">
        <f t="shared" si="15"/>
        <v xml:space="preserve"> DT HINO G 342</v>
      </c>
    </row>
    <row r="31" spans="2:17" x14ac:dyDescent="0.3">
      <c r="B31" s="41">
        <v>24</v>
      </c>
      <c r="C31" s="41" t="s">
        <v>250</v>
      </c>
      <c r="D31" s="42">
        <v>4658.87</v>
      </c>
      <c r="E31" s="42">
        <v>100</v>
      </c>
      <c r="F31" s="49">
        <f>VLOOKUP(P31,'list rate unit'!$B$3:$K$40,10,FALSE)</f>
        <v>500000</v>
      </c>
      <c r="G31" s="44">
        <f t="shared" si="0"/>
        <v>105000000</v>
      </c>
      <c r="H31" s="42">
        <v>4405</v>
      </c>
      <c r="I31" s="44">
        <f t="shared" si="1"/>
        <v>50657500</v>
      </c>
      <c r="J31" s="42">
        <f t="shared" si="11"/>
        <v>0.945508245561692</v>
      </c>
      <c r="K31" s="42">
        <f t="shared" si="12"/>
        <v>46.588699999999996</v>
      </c>
      <c r="L31" s="42">
        <f t="shared" si="13"/>
        <v>44.05</v>
      </c>
      <c r="M31" s="45">
        <f t="shared" si="14"/>
        <v>155657500</v>
      </c>
      <c r="N31" s="18">
        <f>D31*'SUMMARY 2'!$I$29*'SUMMARY 2'!$I$28</f>
        <v>726336468.48000002</v>
      </c>
      <c r="O31" s="41" t="s">
        <v>311</v>
      </c>
      <c r="P31" s="41" t="s">
        <v>151</v>
      </c>
      <c r="Q31" s="41" t="str">
        <f t="shared" si="15"/>
        <v xml:space="preserve"> DT HINO G 343</v>
      </c>
    </row>
    <row r="32" spans="2:17" x14ac:dyDescent="0.3">
      <c r="B32" s="41">
        <v>25</v>
      </c>
      <c r="C32" s="41" t="s">
        <v>251</v>
      </c>
      <c r="D32" s="42">
        <v>3439.1800000000003</v>
      </c>
      <c r="E32" s="42">
        <v>75</v>
      </c>
      <c r="F32" s="49">
        <f>VLOOKUP(P32,'list rate unit'!$B$3:$K$40,10,FALSE)</f>
        <v>500000</v>
      </c>
      <c r="G32" s="44">
        <f t="shared" si="0"/>
        <v>105000000</v>
      </c>
      <c r="H32" s="42">
        <v>3557</v>
      </c>
      <c r="I32" s="44">
        <f t="shared" si="1"/>
        <v>40905500</v>
      </c>
      <c r="J32" s="42">
        <f t="shared" si="11"/>
        <v>1.0342581661907779</v>
      </c>
      <c r="K32" s="42">
        <f t="shared" si="12"/>
        <v>45.85573333333334</v>
      </c>
      <c r="L32" s="42">
        <f t="shared" si="13"/>
        <v>47.426666666666669</v>
      </c>
      <c r="M32" s="45">
        <f t="shared" si="14"/>
        <v>145905500</v>
      </c>
      <c r="N32" s="18">
        <f>D32*'SUMMARY 2'!$I$29*'SUMMARY 2'!$I$28</f>
        <v>536181918.71999997</v>
      </c>
      <c r="O32" s="41" t="s">
        <v>311</v>
      </c>
      <c r="P32" s="41" t="s">
        <v>151</v>
      </c>
      <c r="Q32" s="41" t="str">
        <f t="shared" si="15"/>
        <v xml:space="preserve"> DT HINO G 344</v>
      </c>
    </row>
    <row r="33" spans="2:17" x14ac:dyDescent="0.3">
      <c r="B33" s="41">
        <v>26</v>
      </c>
      <c r="C33" s="41" t="s">
        <v>252</v>
      </c>
      <c r="D33" s="42">
        <v>3608.94</v>
      </c>
      <c r="E33" s="42">
        <v>77</v>
      </c>
      <c r="F33" s="49">
        <f>VLOOKUP(P33,'list rate unit'!$B$3:$K$40,10,FALSE)</f>
        <v>500000</v>
      </c>
      <c r="G33" s="44">
        <f t="shared" si="0"/>
        <v>105000000</v>
      </c>
      <c r="H33" s="42">
        <v>3639</v>
      </c>
      <c r="I33" s="44">
        <f t="shared" si="1"/>
        <v>41848500</v>
      </c>
      <c r="J33" s="42">
        <f t="shared" si="11"/>
        <v>1.0083293155330928</v>
      </c>
      <c r="K33" s="42">
        <f t="shared" si="12"/>
        <v>46.86935064935065</v>
      </c>
      <c r="L33" s="42">
        <f t="shared" si="13"/>
        <v>47.259740259740262</v>
      </c>
      <c r="M33" s="45">
        <f t="shared" si="14"/>
        <v>146848500</v>
      </c>
      <c r="N33" s="18">
        <f>D33*'SUMMARY 2'!$I$29*'SUMMARY 2'!$I$28</f>
        <v>562648181.75999999</v>
      </c>
      <c r="O33" s="41" t="s">
        <v>311</v>
      </c>
      <c r="P33" s="41" t="s">
        <v>151</v>
      </c>
      <c r="Q33" s="41" t="str">
        <f t="shared" si="15"/>
        <v xml:space="preserve"> DT HINO G 346</v>
      </c>
    </row>
    <row r="34" spans="2:17" x14ac:dyDescent="0.3">
      <c r="B34" s="41">
        <v>27</v>
      </c>
      <c r="C34" s="41" t="s">
        <v>253</v>
      </c>
      <c r="D34" s="42">
        <v>1812.2099999999998</v>
      </c>
      <c r="E34" s="42">
        <v>39</v>
      </c>
      <c r="F34" s="49">
        <f>VLOOKUP(P34,'list rate unit'!$B$3:$K$40,10,FALSE)</f>
        <v>500000</v>
      </c>
      <c r="G34" s="44">
        <f t="shared" si="0"/>
        <v>105000000</v>
      </c>
      <c r="H34" s="42">
        <v>1856</v>
      </c>
      <c r="I34" s="44">
        <f t="shared" si="1"/>
        <v>21344000</v>
      </c>
      <c r="J34" s="42">
        <f t="shared" si="11"/>
        <v>1.024163866218595</v>
      </c>
      <c r="K34" s="42">
        <f t="shared" si="12"/>
        <v>46.466923076923074</v>
      </c>
      <c r="L34" s="42">
        <f t="shared" si="13"/>
        <v>47.589743589743591</v>
      </c>
      <c r="M34" s="45">
        <f t="shared" si="14"/>
        <v>126344000</v>
      </c>
      <c r="N34" s="18">
        <f>D34*'SUMMARY 2'!$I$29*'SUMMARY 2'!$I$28</f>
        <v>282530787.83999997</v>
      </c>
      <c r="O34" s="41" t="s">
        <v>311</v>
      </c>
      <c r="P34" s="41" t="s">
        <v>151</v>
      </c>
      <c r="Q34" s="41" t="str">
        <f t="shared" si="15"/>
        <v xml:space="preserve"> DT HINO G 347</v>
      </c>
    </row>
    <row r="35" spans="2:17" x14ac:dyDescent="0.3">
      <c r="B35" s="41">
        <v>28</v>
      </c>
      <c r="C35" s="41" t="s">
        <v>254</v>
      </c>
      <c r="D35" s="42">
        <v>2023.2300000000005</v>
      </c>
      <c r="E35" s="42">
        <v>42</v>
      </c>
      <c r="F35" s="49">
        <f>VLOOKUP(P35,'list rate unit'!$B$3:$K$40,10,FALSE)</f>
        <v>500000</v>
      </c>
      <c r="G35" s="44">
        <f t="shared" si="0"/>
        <v>105000000</v>
      </c>
      <c r="H35" s="42">
        <v>1820</v>
      </c>
      <c r="I35" s="44">
        <f t="shared" si="1"/>
        <v>20930000</v>
      </c>
      <c r="J35" s="42">
        <f t="shared" si="11"/>
        <v>0.8995517069240766</v>
      </c>
      <c r="K35" s="42">
        <f t="shared" si="12"/>
        <v>48.172142857142866</v>
      </c>
      <c r="L35" s="42">
        <f t="shared" si="13"/>
        <v>43.333333333333336</v>
      </c>
      <c r="M35" s="45">
        <f t="shared" si="14"/>
        <v>125930000</v>
      </c>
      <c r="N35" s="18">
        <f>D35*'SUMMARY 2'!$I$29*'SUMMARY 2'!$I$28</f>
        <v>315429649.92000008</v>
      </c>
      <c r="O35" s="41" t="s">
        <v>311</v>
      </c>
      <c r="P35" s="41" t="s">
        <v>151</v>
      </c>
      <c r="Q35" s="41" t="str">
        <f t="shared" si="15"/>
        <v xml:space="preserve"> DT HINO G 348</v>
      </c>
    </row>
    <row r="36" spans="2:17" x14ac:dyDescent="0.3">
      <c r="B36" s="41">
        <v>29</v>
      </c>
      <c r="C36" s="41" t="s">
        <v>255</v>
      </c>
      <c r="D36" s="42">
        <v>548.80999999999995</v>
      </c>
      <c r="E36" s="42">
        <v>12</v>
      </c>
      <c r="F36" s="49">
        <f>VLOOKUP(P36,'list rate unit'!$B$3:$K$40,10,FALSE)</f>
        <v>500000</v>
      </c>
      <c r="G36" s="44">
        <f t="shared" si="0"/>
        <v>105000000</v>
      </c>
      <c r="H36" s="42">
        <v>545</v>
      </c>
      <c r="I36" s="44">
        <f t="shared" si="1"/>
        <v>6267500</v>
      </c>
      <c r="J36" s="42">
        <f t="shared" si="11"/>
        <v>0.99305770667444115</v>
      </c>
      <c r="K36" s="42">
        <f t="shared" si="12"/>
        <v>45.73416666666666</v>
      </c>
      <c r="L36" s="42">
        <f t="shared" si="13"/>
        <v>45.416666666666664</v>
      </c>
      <c r="M36" s="45">
        <f t="shared" si="14"/>
        <v>111267500</v>
      </c>
      <c r="N36" s="18">
        <f>D36*'SUMMARY 2'!$I$29*'SUMMARY 2'!$I$28</f>
        <v>85561674.239999995</v>
      </c>
      <c r="O36" s="41" t="s">
        <v>311</v>
      </c>
      <c r="P36" s="41" t="s">
        <v>151</v>
      </c>
      <c r="Q36" s="41" t="str">
        <f t="shared" si="15"/>
        <v xml:space="preserve"> DT HINO G 349</v>
      </c>
    </row>
    <row r="37" spans="2:17" x14ac:dyDescent="0.3">
      <c r="B37" s="41">
        <v>30</v>
      </c>
      <c r="C37" s="41" t="s">
        <v>256</v>
      </c>
      <c r="D37" s="42">
        <v>3046.14</v>
      </c>
      <c r="E37" s="42">
        <v>65</v>
      </c>
      <c r="F37" s="49">
        <f>VLOOKUP(P37,'list rate unit'!$B$3:$K$40,10,FALSE)</f>
        <v>500000</v>
      </c>
      <c r="G37" s="44">
        <f t="shared" si="0"/>
        <v>105000000</v>
      </c>
      <c r="H37" s="42">
        <v>3064</v>
      </c>
      <c r="I37" s="44">
        <f t="shared" si="1"/>
        <v>35236000</v>
      </c>
      <c r="J37" s="42">
        <f t="shared" si="11"/>
        <v>1.0058631579638493</v>
      </c>
      <c r="K37" s="42">
        <f t="shared" si="12"/>
        <v>46.863692307692304</v>
      </c>
      <c r="L37" s="42">
        <f t="shared" si="13"/>
        <v>47.138461538461542</v>
      </c>
      <c r="M37" s="45">
        <f t="shared" si="14"/>
        <v>140236000</v>
      </c>
      <c r="N37" s="18">
        <f>D37*'SUMMARY 2'!$I$29*'SUMMARY 2'!$I$28</f>
        <v>474905410.55999994</v>
      </c>
      <c r="O37" s="41" t="s">
        <v>311</v>
      </c>
      <c r="P37" s="41" t="s">
        <v>151</v>
      </c>
      <c r="Q37" s="41" t="str">
        <f t="shared" si="15"/>
        <v xml:space="preserve"> DT HINO G 350</v>
      </c>
    </row>
    <row r="38" spans="2:17" x14ac:dyDescent="0.3">
      <c r="B38" s="41">
        <v>31</v>
      </c>
      <c r="C38" s="41" t="s">
        <v>257</v>
      </c>
      <c r="D38" s="42">
        <v>2406.48</v>
      </c>
      <c r="E38" s="42">
        <v>52</v>
      </c>
      <c r="F38" s="49">
        <f>VLOOKUP(P38,'list rate unit'!$B$3:$K$40,10,FALSE)</f>
        <v>500000</v>
      </c>
      <c r="G38" s="44">
        <f t="shared" si="0"/>
        <v>105000000</v>
      </c>
      <c r="H38" s="42">
        <v>2411</v>
      </c>
      <c r="I38" s="44">
        <f t="shared" si="1"/>
        <v>27726500</v>
      </c>
      <c r="J38" s="42">
        <f t="shared" si="11"/>
        <v>1.0018782620258635</v>
      </c>
      <c r="K38" s="42">
        <f t="shared" si="12"/>
        <v>46.278461538461542</v>
      </c>
      <c r="L38" s="42">
        <f t="shared" si="13"/>
        <v>46.365384615384613</v>
      </c>
      <c r="M38" s="45">
        <f t="shared" si="14"/>
        <v>132726500</v>
      </c>
      <c r="N38" s="18">
        <f>D38*'SUMMARY 2'!$I$29*'SUMMARY 2'!$I$28</f>
        <v>375179857.92000002</v>
      </c>
      <c r="O38" s="41" t="s">
        <v>311</v>
      </c>
      <c r="P38" s="41" t="s">
        <v>151</v>
      </c>
      <c r="Q38" s="41" t="str">
        <f t="shared" si="15"/>
        <v xml:space="preserve"> DT HINO G 351</v>
      </c>
    </row>
    <row r="39" spans="2:17" x14ac:dyDescent="0.3">
      <c r="B39" s="41">
        <v>32</v>
      </c>
      <c r="C39" s="41" t="s">
        <v>258</v>
      </c>
      <c r="D39" s="42">
        <v>2657.13</v>
      </c>
      <c r="E39" s="42">
        <v>57</v>
      </c>
      <c r="F39" s="49">
        <f>VLOOKUP(P39,'list rate unit'!$B$3:$K$40,10,FALSE)</f>
        <v>500000</v>
      </c>
      <c r="G39" s="44">
        <f t="shared" si="0"/>
        <v>105000000</v>
      </c>
      <c r="H39" s="42">
        <v>2679</v>
      </c>
      <c r="I39" s="44">
        <f t="shared" si="1"/>
        <v>30808500</v>
      </c>
      <c r="J39" s="42">
        <f t="shared" si="11"/>
        <v>1.0082306849871854</v>
      </c>
      <c r="K39" s="42">
        <f t="shared" si="12"/>
        <v>46.616315789473688</v>
      </c>
      <c r="L39" s="42">
        <f t="shared" si="13"/>
        <v>47</v>
      </c>
      <c r="M39" s="45">
        <f t="shared" si="14"/>
        <v>135808500</v>
      </c>
      <c r="N39" s="18">
        <f>D39*'SUMMARY 2'!$I$29*'SUMMARY 2'!$I$28</f>
        <v>414257195.52000004</v>
      </c>
      <c r="O39" s="41" t="s">
        <v>311</v>
      </c>
      <c r="P39" s="41" t="s">
        <v>151</v>
      </c>
      <c r="Q39" s="41" t="str">
        <f t="shared" si="15"/>
        <v xml:space="preserve"> DT HINO G 352</v>
      </c>
    </row>
    <row r="40" spans="2:17" x14ac:dyDescent="0.3">
      <c r="B40" s="41">
        <v>33</v>
      </c>
      <c r="C40" s="41" t="s">
        <v>259</v>
      </c>
      <c r="D40" s="42">
        <v>2015.24</v>
      </c>
      <c r="E40" s="42">
        <v>42</v>
      </c>
      <c r="F40" s="49">
        <f>VLOOKUP(P40,'list rate unit'!$B$3:$K$40,10,FALSE)</f>
        <v>500000</v>
      </c>
      <c r="G40" s="44">
        <f t="shared" ref="G40:G71" si="16">IF(D40=0,0,F40*$C$84)</f>
        <v>105000000</v>
      </c>
      <c r="H40" s="42">
        <v>2096</v>
      </c>
      <c r="I40" s="44">
        <f t="shared" ref="I40:I71" si="17">H40*$C$83</f>
        <v>24104000</v>
      </c>
      <c r="J40" s="42">
        <f t="shared" si="11"/>
        <v>1.0400746313094222</v>
      </c>
      <c r="K40" s="42">
        <f t="shared" si="12"/>
        <v>47.981904761904765</v>
      </c>
      <c r="L40" s="42">
        <f t="shared" si="13"/>
        <v>49.904761904761905</v>
      </c>
      <c r="M40" s="45">
        <f t="shared" si="14"/>
        <v>129104000</v>
      </c>
      <c r="N40" s="18">
        <f>D40*'SUMMARY 2'!$I$29*'SUMMARY 2'!$I$28</f>
        <v>314183976.95999998</v>
      </c>
      <c r="O40" s="41" t="s">
        <v>311</v>
      </c>
      <c r="P40" s="41" t="s">
        <v>151</v>
      </c>
      <c r="Q40" s="41" t="str">
        <f t="shared" si="15"/>
        <v xml:space="preserve"> DT HINO G 353</v>
      </c>
    </row>
    <row r="41" spans="2:17" x14ac:dyDescent="0.3">
      <c r="B41" s="41">
        <v>34</v>
      </c>
      <c r="C41" s="41" t="s">
        <v>260</v>
      </c>
      <c r="D41" s="42">
        <v>1384.3700000000001</v>
      </c>
      <c r="E41" s="42">
        <v>29</v>
      </c>
      <c r="F41" s="49">
        <f>VLOOKUP(P41,'list rate unit'!$B$3:$K$40,10,FALSE)</f>
        <v>500000</v>
      </c>
      <c r="G41" s="44">
        <f t="shared" si="16"/>
        <v>105000000</v>
      </c>
      <c r="H41" s="42">
        <v>1241</v>
      </c>
      <c r="I41" s="44">
        <f t="shared" si="17"/>
        <v>14271500</v>
      </c>
      <c r="J41" s="42">
        <f t="shared" si="11"/>
        <v>0.89643664627231157</v>
      </c>
      <c r="K41" s="42">
        <f t="shared" si="12"/>
        <v>47.736896551724143</v>
      </c>
      <c r="L41" s="42">
        <f t="shared" si="13"/>
        <v>42.793103448275865</v>
      </c>
      <c r="M41" s="45">
        <f t="shared" si="14"/>
        <v>119271500</v>
      </c>
      <c r="N41" s="18">
        <f>D41*'SUMMARY 2'!$I$29*'SUMMARY 2'!$I$28</f>
        <v>215828820.48000002</v>
      </c>
      <c r="O41" s="41" t="s">
        <v>311</v>
      </c>
      <c r="P41" s="41" t="s">
        <v>151</v>
      </c>
      <c r="Q41" s="41" t="str">
        <f t="shared" si="15"/>
        <v xml:space="preserve"> DT HINO G 354</v>
      </c>
    </row>
    <row r="42" spans="2:17" x14ac:dyDescent="0.3">
      <c r="B42" s="41">
        <v>35</v>
      </c>
      <c r="C42" s="41" t="s">
        <v>261</v>
      </c>
      <c r="D42" s="42">
        <v>2956.59</v>
      </c>
      <c r="E42" s="42">
        <v>63</v>
      </c>
      <c r="F42" s="49">
        <f>VLOOKUP(P42,'list rate unit'!$B$3:$K$40,10,FALSE)</f>
        <v>500000</v>
      </c>
      <c r="G42" s="44">
        <f t="shared" si="16"/>
        <v>105000000</v>
      </c>
      <c r="H42" s="42">
        <v>2902</v>
      </c>
      <c r="I42" s="44">
        <f t="shared" si="17"/>
        <v>33373000</v>
      </c>
      <c r="J42" s="42">
        <f t="shared" si="11"/>
        <v>0.98153616159156321</v>
      </c>
      <c r="K42" s="42">
        <f t="shared" si="12"/>
        <v>46.93</v>
      </c>
      <c r="L42" s="42">
        <f t="shared" si="13"/>
        <v>46.063492063492063</v>
      </c>
      <c r="M42" s="45">
        <f t="shared" si="14"/>
        <v>138373000</v>
      </c>
      <c r="N42" s="18">
        <f>D42*'SUMMARY 2'!$I$29*'SUMMARY 2'!$I$28</f>
        <v>460944207.36000001</v>
      </c>
      <c r="O42" s="41" t="s">
        <v>311</v>
      </c>
      <c r="P42" s="41" t="s">
        <v>151</v>
      </c>
      <c r="Q42" s="41" t="str">
        <f t="shared" si="15"/>
        <v xml:space="preserve"> DT HINO G 355</v>
      </c>
    </row>
    <row r="43" spans="2:17" x14ac:dyDescent="0.3">
      <c r="B43" s="41">
        <v>36</v>
      </c>
      <c r="C43" s="41" t="s">
        <v>262</v>
      </c>
      <c r="D43" s="42">
        <v>3388.8800000000006</v>
      </c>
      <c r="E43" s="42">
        <v>73</v>
      </c>
      <c r="F43" s="49">
        <f>VLOOKUP(P43,'list rate unit'!$B$3:$K$40,10,FALSE)</f>
        <v>500000</v>
      </c>
      <c r="G43" s="44">
        <f t="shared" si="16"/>
        <v>105000000</v>
      </c>
      <c r="H43" s="42">
        <v>3350</v>
      </c>
      <c r="I43" s="44">
        <f t="shared" si="17"/>
        <v>38525000</v>
      </c>
      <c r="J43" s="42">
        <f t="shared" si="11"/>
        <v>0.98852718302211928</v>
      </c>
      <c r="K43" s="42">
        <f t="shared" si="12"/>
        <v>46.423013698630143</v>
      </c>
      <c r="L43" s="42">
        <f t="shared" si="13"/>
        <v>45.890410958904113</v>
      </c>
      <c r="M43" s="45">
        <f t="shared" si="14"/>
        <v>143525000</v>
      </c>
      <c r="N43" s="18">
        <f>D43*'SUMMARY 2'!$I$29*'SUMMARY 2'!$I$28</f>
        <v>528339947.5200001</v>
      </c>
      <c r="O43" s="41" t="s">
        <v>311</v>
      </c>
      <c r="P43" s="41" t="s">
        <v>151</v>
      </c>
      <c r="Q43" s="41" t="str">
        <f t="shared" si="15"/>
        <v xml:space="preserve"> DT HINO G 357</v>
      </c>
    </row>
    <row r="44" spans="2:17" x14ac:dyDescent="0.3">
      <c r="B44" s="41">
        <v>37</v>
      </c>
      <c r="C44" s="41" t="s">
        <v>263</v>
      </c>
      <c r="D44" s="42">
        <v>592.14</v>
      </c>
      <c r="E44" s="42">
        <v>13</v>
      </c>
      <c r="F44" s="49">
        <f>VLOOKUP(P44,'list rate unit'!$B$3:$K$40,10,FALSE)</f>
        <v>500000</v>
      </c>
      <c r="G44" s="44">
        <f t="shared" si="16"/>
        <v>105000000</v>
      </c>
      <c r="H44" s="42">
        <v>617</v>
      </c>
      <c r="I44" s="44">
        <f t="shared" si="17"/>
        <v>7095500</v>
      </c>
      <c r="J44" s="42">
        <f t="shared" ref="J44:J64" si="18">IFERROR(H44/D44,0)</f>
        <v>1.0419833147566455</v>
      </c>
      <c r="K44" s="42">
        <f t="shared" ref="K44:K64" si="19">IFERROR(D44/E44,0)</f>
        <v>45.549230769230768</v>
      </c>
      <c r="L44" s="42">
        <f t="shared" ref="L44:L64" si="20">H44/E44</f>
        <v>47.46153846153846</v>
      </c>
      <c r="M44" s="45">
        <f t="shared" ref="M44:M64" si="21">G44+I44</f>
        <v>112095500</v>
      </c>
      <c r="N44" s="18">
        <f>D44*'SUMMARY 2'!$I$29*'SUMMARY 2'!$I$28</f>
        <v>92316994.560000002</v>
      </c>
      <c r="O44" s="41" t="s">
        <v>311</v>
      </c>
      <c r="P44" s="41" t="s">
        <v>151</v>
      </c>
      <c r="Q44" s="41" t="str">
        <f t="shared" ref="Q44:Q64" si="22">C44</f>
        <v xml:space="preserve"> DT HINO G 358</v>
      </c>
    </row>
    <row r="45" spans="2:17" x14ac:dyDescent="0.3">
      <c r="B45" s="41">
        <v>38</v>
      </c>
      <c r="C45" s="41" t="s">
        <v>264</v>
      </c>
      <c r="D45" s="42">
        <v>3913.0999999999995</v>
      </c>
      <c r="E45" s="42">
        <v>83</v>
      </c>
      <c r="F45" s="49">
        <f>VLOOKUP(P45,'list rate unit'!$B$3:$K$40,10,FALSE)</f>
        <v>500000</v>
      </c>
      <c r="G45" s="44">
        <f t="shared" si="16"/>
        <v>105000000</v>
      </c>
      <c r="H45" s="42">
        <v>3694</v>
      </c>
      <c r="I45" s="44">
        <f t="shared" si="17"/>
        <v>42481000</v>
      </c>
      <c r="J45" s="42">
        <f t="shared" si="18"/>
        <v>0.94400858654263897</v>
      </c>
      <c r="K45" s="42">
        <f t="shared" si="19"/>
        <v>47.145783132530113</v>
      </c>
      <c r="L45" s="42">
        <f t="shared" si="20"/>
        <v>44.506024096385545</v>
      </c>
      <c r="M45" s="45">
        <f t="shared" si="21"/>
        <v>147481000</v>
      </c>
      <c r="N45" s="18">
        <f>D45*'SUMMARY 2'!$I$29*'SUMMARY 2'!$I$28</f>
        <v>610067942.39999998</v>
      </c>
      <c r="O45" s="41" t="s">
        <v>311</v>
      </c>
      <c r="P45" s="41" t="s">
        <v>151</v>
      </c>
      <c r="Q45" s="41" t="str">
        <f t="shared" si="22"/>
        <v xml:space="preserve"> DT HINO G 359</v>
      </c>
    </row>
    <row r="46" spans="2:17" x14ac:dyDescent="0.3">
      <c r="B46" s="41">
        <v>39</v>
      </c>
      <c r="C46" s="41" t="s">
        <v>265</v>
      </c>
      <c r="D46" s="42">
        <v>2925.48</v>
      </c>
      <c r="E46" s="42">
        <v>63</v>
      </c>
      <c r="F46" s="49">
        <f>VLOOKUP(P46,'list rate unit'!$B$3:$K$40,10,FALSE)</f>
        <v>500000</v>
      </c>
      <c r="G46" s="44">
        <f t="shared" si="16"/>
        <v>105000000</v>
      </c>
      <c r="H46" s="42">
        <v>3017</v>
      </c>
      <c r="I46" s="44">
        <f t="shared" si="17"/>
        <v>34695500</v>
      </c>
      <c r="J46" s="42">
        <f t="shared" si="18"/>
        <v>1.0312837551444549</v>
      </c>
      <c r="K46" s="42">
        <f t="shared" si="19"/>
        <v>46.436190476190475</v>
      </c>
      <c r="L46" s="42">
        <f t="shared" si="20"/>
        <v>47.888888888888886</v>
      </c>
      <c r="M46" s="45">
        <f t="shared" si="21"/>
        <v>139695500</v>
      </c>
      <c r="N46" s="18">
        <f>D46*'SUMMARY 2'!$I$29*'SUMMARY 2'!$I$28</f>
        <v>456094033.92000002</v>
      </c>
      <c r="O46" s="41" t="s">
        <v>311</v>
      </c>
      <c r="P46" s="41" t="s">
        <v>151</v>
      </c>
      <c r="Q46" s="41" t="str">
        <f t="shared" si="22"/>
        <v xml:space="preserve"> DT HINO G 360</v>
      </c>
    </row>
    <row r="47" spans="2:17" x14ac:dyDescent="0.3">
      <c r="B47" s="41">
        <v>40</v>
      </c>
      <c r="C47" s="41" t="s">
        <v>266</v>
      </c>
      <c r="D47" s="42">
        <v>1291.71</v>
      </c>
      <c r="E47" s="42">
        <v>28</v>
      </c>
      <c r="F47" s="49">
        <f>VLOOKUP(P47,'list rate unit'!$B$3:$K$40,10,FALSE)</f>
        <v>500000</v>
      </c>
      <c r="G47" s="44">
        <f t="shared" si="16"/>
        <v>105000000</v>
      </c>
      <c r="H47" s="42">
        <v>1487</v>
      </c>
      <c r="I47" s="44">
        <f t="shared" si="17"/>
        <v>17100500</v>
      </c>
      <c r="J47" s="42">
        <f t="shared" si="18"/>
        <v>1.1511871859782767</v>
      </c>
      <c r="K47" s="42">
        <f t="shared" si="19"/>
        <v>46.1325</v>
      </c>
      <c r="L47" s="42">
        <f t="shared" si="20"/>
        <v>53.107142857142854</v>
      </c>
      <c r="M47" s="45">
        <f t="shared" si="21"/>
        <v>122100500</v>
      </c>
      <c r="N47" s="18">
        <f>D47*'SUMMARY 2'!$I$29*'SUMMARY 2'!$I$28</f>
        <v>201382755.84</v>
      </c>
      <c r="O47" s="41" t="s">
        <v>311</v>
      </c>
      <c r="P47" s="41" t="s">
        <v>151</v>
      </c>
      <c r="Q47" s="41" t="str">
        <f t="shared" si="22"/>
        <v xml:space="preserve"> DT HINO G 361</v>
      </c>
    </row>
    <row r="48" spans="2:17" x14ac:dyDescent="0.3">
      <c r="B48" s="41">
        <v>41</v>
      </c>
      <c r="C48" s="41" t="s">
        <v>267</v>
      </c>
      <c r="D48" s="42">
        <v>3077.18</v>
      </c>
      <c r="E48" s="42">
        <v>67</v>
      </c>
      <c r="F48" s="49">
        <f>VLOOKUP(P48,'list rate unit'!$B$3:$K$40,10,FALSE)</f>
        <v>500000</v>
      </c>
      <c r="G48" s="44">
        <f t="shared" si="16"/>
        <v>105000000</v>
      </c>
      <c r="H48" s="42">
        <v>3063</v>
      </c>
      <c r="I48" s="44">
        <f t="shared" si="17"/>
        <v>35224500</v>
      </c>
      <c r="J48" s="42">
        <f t="shared" si="18"/>
        <v>0.99539188477762108</v>
      </c>
      <c r="K48" s="42">
        <f t="shared" si="19"/>
        <v>45.928059701492536</v>
      </c>
      <c r="L48" s="42">
        <f t="shared" si="20"/>
        <v>45.71641791044776</v>
      </c>
      <c r="M48" s="45">
        <f t="shared" si="21"/>
        <v>140224500</v>
      </c>
      <c r="N48" s="18">
        <f>D48*'SUMMARY 2'!$I$29*'SUMMARY 2'!$I$28</f>
        <v>479744670.71999997</v>
      </c>
      <c r="O48" s="41" t="s">
        <v>311</v>
      </c>
      <c r="P48" s="41" t="s">
        <v>151</v>
      </c>
      <c r="Q48" s="41" t="str">
        <f t="shared" si="22"/>
        <v xml:space="preserve"> DT HINO G 362</v>
      </c>
    </row>
    <row r="49" spans="2:17" x14ac:dyDescent="0.3">
      <c r="B49" s="41">
        <v>42</v>
      </c>
      <c r="C49" s="41" t="s">
        <v>268</v>
      </c>
      <c r="D49" s="42">
        <v>2931.7</v>
      </c>
      <c r="E49" s="42">
        <v>63</v>
      </c>
      <c r="F49" s="49">
        <f>VLOOKUP(P49,'list rate unit'!$B$3:$K$40,10,FALSE)</f>
        <v>500000</v>
      </c>
      <c r="G49" s="44">
        <f t="shared" si="16"/>
        <v>105000000</v>
      </c>
      <c r="H49" s="42">
        <v>2659</v>
      </c>
      <c r="I49" s="44">
        <f t="shared" si="17"/>
        <v>30578500</v>
      </c>
      <c r="J49" s="42">
        <f t="shared" si="18"/>
        <v>0.90698229696080779</v>
      </c>
      <c r="K49" s="42">
        <f t="shared" si="19"/>
        <v>46.534920634920631</v>
      </c>
      <c r="L49" s="42">
        <f t="shared" si="20"/>
        <v>42.206349206349209</v>
      </c>
      <c r="M49" s="45">
        <f t="shared" si="21"/>
        <v>135578500</v>
      </c>
      <c r="N49" s="18">
        <f>D49*'SUMMARY 2'!$I$29*'SUMMARY 2'!$I$28</f>
        <v>457063756.79999995</v>
      </c>
      <c r="O49" s="41" t="s">
        <v>311</v>
      </c>
      <c r="P49" s="41" t="s">
        <v>151</v>
      </c>
      <c r="Q49" s="41" t="str">
        <f t="shared" si="22"/>
        <v xml:space="preserve"> DT HINO G 363</v>
      </c>
    </row>
    <row r="50" spans="2:17" x14ac:dyDescent="0.3">
      <c r="B50" s="41">
        <v>43</v>
      </c>
      <c r="C50" s="41" t="s">
        <v>380</v>
      </c>
      <c r="D50" s="42">
        <v>2719.9</v>
      </c>
      <c r="E50" s="42">
        <v>59</v>
      </c>
      <c r="F50" s="49">
        <f>VLOOKUP(P50,'list rate unit'!$B$3:$K$40,10,FALSE)</f>
        <v>500000</v>
      </c>
      <c r="G50" s="44">
        <f t="shared" si="16"/>
        <v>105000000</v>
      </c>
      <c r="H50" s="42">
        <v>2804</v>
      </c>
      <c r="I50" s="44">
        <f t="shared" si="17"/>
        <v>32246000</v>
      </c>
      <c r="J50" s="42">
        <f t="shared" si="18"/>
        <v>1.0309202544211185</v>
      </c>
      <c r="K50" s="42">
        <f t="shared" si="19"/>
        <v>46.1</v>
      </c>
      <c r="L50" s="42">
        <f t="shared" si="20"/>
        <v>47.525423728813557</v>
      </c>
      <c r="M50" s="45">
        <f t="shared" si="21"/>
        <v>137246000</v>
      </c>
      <c r="N50" s="18">
        <f>D50*'SUMMARY 2'!$I$29*'SUMMARY 2'!$I$28</f>
        <v>424043289.60000002</v>
      </c>
      <c r="O50" s="41" t="s">
        <v>311</v>
      </c>
      <c r="P50" s="41" t="s">
        <v>151</v>
      </c>
      <c r="Q50" s="41" t="str">
        <f t="shared" si="22"/>
        <v xml:space="preserve"> DT HINO G 365</v>
      </c>
    </row>
    <row r="51" spans="2:17" x14ac:dyDescent="0.3">
      <c r="B51" s="41">
        <v>44</v>
      </c>
      <c r="C51" s="41" t="s">
        <v>381</v>
      </c>
      <c r="D51" s="42">
        <v>3234.22</v>
      </c>
      <c r="E51" s="42">
        <v>71</v>
      </c>
      <c r="F51" s="49">
        <f>VLOOKUP(P51,'list rate unit'!$B$3:$K$40,10,FALSE)</f>
        <v>500000</v>
      </c>
      <c r="G51" s="44">
        <f t="shared" si="16"/>
        <v>105000000</v>
      </c>
      <c r="H51" s="42">
        <v>3131</v>
      </c>
      <c r="I51" s="44">
        <f t="shared" si="17"/>
        <v>36006500</v>
      </c>
      <c r="J51" s="42">
        <f t="shared" si="18"/>
        <v>0.96808504059711464</v>
      </c>
      <c r="K51" s="42">
        <f t="shared" si="19"/>
        <v>45.552394366197177</v>
      </c>
      <c r="L51" s="42">
        <f t="shared" si="20"/>
        <v>44.098591549295776</v>
      </c>
      <c r="M51" s="45">
        <f t="shared" si="21"/>
        <v>141006500</v>
      </c>
      <c r="N51" s="18">
        <f>D51*'SUMMARY 2'!$I$29*'SUMMARY 2'!$I$28</f>
        <v>504227834.88</v>
      </c>
      <c r="O51" s="41" t="s">
        <v>311</v>
      </c>
      <c r="P51" s="41" t="s">
        <v>151</v>
      </c>
      <c r="Q51" s="41" t="str">
        <f t="shared" si="22"/>
        <v xml:space="preserve"> DT HINO G 366</v>
      </c>
    </row>
    <row r="52" spans="2:17" x14ac:dyDescent="0.3">
      <c r="B52" s="41">
        <v>45</v>
      </c>
      <c r="C52" s="41" t="s">
        <v>382</v>
      </c>
      <c r="D52" s="42">
        <v>3878.2799999999997</v>
      </c>
      <c r="E52" s="42">
        <v>86</v>
      </c>
      <c r="F52" s="49">
        <f>VLOOKUP(P52,'list rate unit'!$B$3:$K$40,10,FALSE)</f>
        <v>500000</v>
      </c>
      <c r="G52" s="44">
        <f t="shared" si="16"/>
        <v>105000000</v>
      </c>
      <c r="H52" s="42">
        <v>3761</v>
      </c>
      <c r="I52" s="44">
        <f t="shared" si="17"/>
        <v>43251500</v>
      </c>
      <c r="J52" s="42">
        <f t="shared" si="18"/>
        <v>0.96975979042255855</v>
      </c>
      <c r="K52" s="42">
        <f t="shared" si="19"/>
        <v>45.096279069767441</v>
      </c>
      <c r="L52" s="42">
        <f t="shared" si="20"/>
        <v>43.732558139534881</v>
      </c>
      <c r="M52" s="45">
        <f t="shared" si="21"/>
        <v>148251500</v>
      </c>
      <c r="N52" s="18">
        <f>D52*'SUMMARY 2'!$I$29*'SUMMARY 2'!$I$28</f>
        <v>604639365.11999989</v>
      </c>
      <c r="O52" s="41" t="s">
        <v>311</v>
      </c>
      <c r="P52" s="41" t="s">
        <v>151</v>
      </c>
      <c r="Q52" s="41" t="str">
        <f t="shared" si="22"/>
        <v xml:space="preserve"> DT HINO G 367</v>
      </c>
    </row>
    <row r="53" spans="2:17" x14ac:dyDescent="0.3">
      <c r="B53" s="41">
        <v>46</v>
      </c>
      <c r="C53" s="41" t="s">
        <v>383</v>
      </c>
      <c r="D53" s="42">
        <v>4196.37</v>
      </c>
      <c r="E53" s="42">
        <v>91</v>
      </c>
      <c r="F53" s="49">
        <f>VLOOKUP(P53,'list rate unit'!$B$3:$K$40,10,FALSE)</f>
        <v>500000</v>
      </c>
      <c r="G53" s="44">
        <f t="shared" si="16"/>
        <v>105000000</v>
      </c>
      <c r="H53" s="42">
        <v>3746</v>
      </c>
      <c r="I53" s="44">
        <f t="shared" si="17"/>
        <v>43079000</v>
      </c>
      <c r="J53" s="42">
        <f t="shared" si="18"/>
        <v>0.89267628926905873</v>
      </c>
      <c r="K53" s="42">
        <f t="shared" si="19"/>
        <v>46.113956043956044</v>
      </c>
      <c r="L53" s="42">
        <f t="shared" si="20"/>
        <v>41.164835164835168</v>
      </c>
      <c r="M53" s="45">
        <f t="shared" si="21"/>
        <v>148079000</v>
      </c>
      <c r="N53" s="18">
        <f>D53*'SUMMARY 2'!$I$29*'SUMMARY 2'!$I$28</f>
        <v>654230868.48000002</v>
      </c>
      <c r="O53" s="41" t="s">
        <v>311</v>
      </c>
      <c r="P53" s="41" t="s">
        <v>151</v>
      </c>
      <c r="Q53" s="41" t="str">
        <f t="shared" si="22"/>
        <v xml:space="preserve"> DT HINO G 368</v>
      </c>
    </row>
    <row r="54" spans="2:17" x14ac:dyDescent="0.3">
      <c r="B54" s="41">
        <v>47</v>
      </c>
      <c r="C54" s="41" t="s">
        <v>384</v>
      </c>
      <c r="D54" s="42">
        <v>2804.34</v>
      </c>
      <c r="E54" s="42">
        <v>63</v>
      </c>
      <c r="F54" s="49">
        <f>VLOOKUP(P54,'list rate unit'!$B$3:$K$40,10,FALSE)</f>
        <v>500000</v>
      </c>
      <c r="G54" s="44">
        <f t="shared" si="16"/>
        <v>105000000</v>
      </c>
      <c r="H54" s="42">
        <v>2900</v>
      </c>
      <c r="I54" s="44">
        <f t="shared" si="17"/>
        <v>33350000</v>
      </c>
      <c r="J54" s="42">
        <f t="shared" si="18"/>
        <v>1.0341114130240983</v>
      </c>
      <c r="K54" s="42">
        <f t="shared" si="19"/>
        <v>44.513333333333335</v>
      </c>
      <c r="L54" s="42">
        <f t="shared" si="20"/>
        <v>46.031746031746032</v>
      </c>
      <c r="M54" s="45">
        <f t="shared" si="21"/>
        <v>138350000</v>
      </c>
      <c r="N54" s="18">
        <f>D54*'SUMMARY 2'!$I$29*'SUMMARY 2'!$I$28</f>
        <v>437207823.36000001</v>
      </c>
      <c r="O54" s="41" t="s">
        <v>311</v>
      </c>
      <c r="P54" s="41" t="s">
        <v>151</v>
      </c>
      <c r="Q54" s="41" t="str">
        <f t="shared" si="22"/>
        <v xml:space="preserve"> DT HINO G 369</v>
      </c>
    </row>
    <row r="55" spans="2:17" x14ac:dyDescent="0.3">
      <c r="B55" s="41">
        <v>48</v>
      </c>
      <c r="C55" s="41" t="s">
        <v>331</v>
      </c>
      <c r="D55" s="42">
        <v>2647.76</v>
      </c>
      <c r="E55" s="42">
        <v>57</v>
      </c>
      <c r="F55" s="49">
        <f>VLOOKUP(P55,'list rate unit'!$B$3:$K$40,10,FALSE)</f>
        <v>500000</v>
      </c>
      <c r="G55" s="44">
        <f t="shared" si="16"/>
        <v>105000000</v>
      </c>
      <c r="H55" s="42">
        <v>2713</v>
      </c>
      <c r="I55" s="44">
        <f t="shared" si="17"/>
        <v>31199500</v>
      </c>
      <c r="J55" s="42">
        <f t="shared" si="18"/>
        <v>1.0246396954406742</v>
      </c>
      <c r="K55" s="42">
        <f t="shared" si="19"/>
        <v>46.451929824561404</v>
      </c>
      <c r="L55" s="42">
        <f t="shared" si="20"/>
        <v>47.596491228070178</v>
      </c>
      <c r="M55" s="45">
        <f t="shared" si="21"/>
        <v>136199500</v>
      </c>
      <c r="N55" s="18">
        <f>D55*'SUMMARY 2'!$I$29*'SUMMARY 2'!$I$28</f>
        <v>412796375.04000002</v>
      </c>
      <c r="O55" s="41" t="s">
        <v>311</v>
      </c>
      <c r="P55" s="41" t="s">
        <v>151</v>
      </c>
      <c r="Q55" s="41" t="str">
        <f t="shared" si="22"/>
        <v xml:space="preserve"> DT HINO G 370</v>
      </c>
    </row>
    <row r="56" spans="2:17" x14ac:dyDescent="0.3">
      <c r="B56" s="41">
        <v>49</v>
      </c>
      <c r="C56" s="41" t="s">
        <v>332</v>
      </c>
      <c r="D56" s="42">
        <v>3890.6200000000003</v>
      </c>
      <c r="E56" s="42">
        <v>86</v>
      </c>
      <c r="F56" s="49">
        <f>VLOOKUP(P56,'list rate unit'!$B$3:$K$40,10,FALSE)</f>
        <v>500000</v>
      </c>
      <c r="G56" s="44">
        <f t="shared" si="16"/>
        <v>105000000</v>
      </c>
      <c r="H56" s="42">
        <v>3694</v>
      </c>
      <c r="I56" s="44">
        <f t="shared" si="17"/>
        <v>42481000</v>
      </c>
      <c r="J56" s="42">
        <f t="shared" si="18"/>
        <v>0.94946306758305865</v>
      </c>
      <c r="K56" s="42">
        <f t="shared" si="19"/>
        <v>45.239767441860472</v>
      </c>
      <c r="L56" s="42">
        <f t="shared" si="20"/>
        <v>42.953488372093027</v>
      </c>
      <c r="M56" s="45">
        <f t="shared" si="21"/>
        <v>147481000</v>
      </c>
      <c r="N56" s="18">
        <f>D56*'SUMMARY 2'!$I$29*'SUMMARY 2'!$I$28</f>
        <v>606563220.48000002</v>
      </c>
      <c r="O56" s="41" t="s">
        <v>311</v>
      </c>
      <c r="P56" s="41" t="s">
        <v>151</v>
      </c>
      <c r="Q56" s="41" t="str">
        <f t="shared" si="22"/>
        <v xml:space="preserve"> DT HINO G 371</v>
      </c>
    </row>
    <row r="57" spans="2:17" x14ac:dyDescent="0.3">
      <c r="B57" s="41">
        <v>50</v>
      </c>
      <c r="C57" s="41" t="s">
        <v>333</v>
      </c>
      <c r="D57" s="42">
        <v>270.28999999999996</v>
      </c>
      <c r="E57" s="42">
        <v>6</v>
      </c>
      <c r="F57" s="49">
        <f>VLOOKUP(P57,'list rate unit'!$B$3:$K$40,10,FALSE)</f>
        <v>500000</v>
      </c>
      <c r="G57" s="44">
        <f t="shared" si="16"/>
        <v>105000000</v>
      </c>
      <c r="H57" s="42">
        <v>253</v>
      </c>
      <c r="I57" s="44">
        <f t="shared" si="17"/>
        <v>2909500</v>
      </c>
      <c r="J57" s="42">
        <f t="shared" si="18"/>
        <v>0.93603166968811291</v>
      </c>
      <c r="K57" s="42">
        <f t="shared" si="19"/>
        <v>45.048333333333325</v>
      </c>
      <c r="L57" s="42">
        <f t="shared" si="20"/>
        <v>42.166666666666664</v>
      </c>
      <c r="M57" s="45">
        <f t="shared" si="21"/>
        <v>107909500</v>
      </c>
      <c r="N57" s="18">
        <f>D57*'SUMMARY 2'!$I$29*'SUMMARY 2'!$I$28</f>
        <v>42139292.159999996</v>
      </c>
      <c r="O57" s="41" t="s">
        <v>311</v>
      </c>
      <c r="P57" s="41" t="s">
        <v>151</v>
      </c>
      <c r="Q57" s="41" t="str">
        <f t="shared" si="22"/>
        <v xml:space="preserve"> DT HINO G 372</v>
      </c>
    </row>
    <row r="58" spans="2:17" x14ac:dyDescent="0.3">
      <c r="B58" s="41">
        <v>51</v>
      </c>
      <c r="C58" s="41" t="s">
        <v>334</v>
      </c>
      <c r="D58" s="42">
        <v>4127.37</v>
      </c>
      <c r="E58" s="42">
        <v>90</v>
      </c>
      <c r="F58" s="49">
        <f>VLOOKUP(P58,'list rate unit'!$B$3:$K$40,10,FALSE)</f>
        <v>500000</v>
      </c>
      <c r="G58" s="44">
        <f t="shared" si="16"/>
        <v>105000000</v>
      </c>
      <c r="H58" s="42">
        <v>3815</v>
      </c>
      <c r="I58" s="44">
        <f t="shared" si="17"/>
        <v>43872500</v>
      </c>
      <c r="J58" s="42">
        <f t="shared" si="18"/>
        <v>0.92431742247484483</v>
      </c>
      <c r="K58" s="42">
        <f t="shared" si="19"/>
        <v>45.859666666666662</v>
      </c>
      <c r="L58" s="42">
        <f t="shared" si="20"/>
        <v>42.388888888888886</v>
      </c>
      <c r="M58" s="45">
        <f t="shared" si="21"/>
        <v>148872500</v>
      </c>
      <c r="N58" s="18">
        <f>D58*'SUMMARY 2'!$I$29*'SUMMARY 2'!$I$28</f>
        <v>643473492.48000002</v>
      </c>
      <c r="O58" s="41" t="s">
        <v>311</v>
      </c>
      <c r="P58" s="41" t="s">
        <v>151</v>
      </c>
      <c r="Q58" s="41" t="str">
        <f t="shared" si="22"/>
        <v xml:space="preserve"> DT HINO G 373</v>
      </c>
    </row>
    <row r="59" spans="2:17" x14ac:dyDescent="0.3">
      <c r="B59" s="41">
        <v>52</v>
      </c>
      <c r="C59" s="41" t="s">
        <v>335</v>
      </c>
      <c r="D59" s="42">
        <v>4241.75</v>
      </c>
      <c r="E59" s="42">
        <v>91</v>
      </c>
      <c r="F59" s="49">
        <f>VLOOKUP(P59,'list rate unit'!$B$3:$K$40,10,FALSE)</f>
        <v>500000</v>
      </c>
      <c r="G59" s="44">
        <f t="shared" si="16"/>
        <v>105000000</v>
      </c>
      <c r="H59" s="42">
        <v>3986</v>
      </c>
      <c r="I59" s="44">
        <f t="shared" si="17"/>
        <v>45839000</v>
      </c>
      <c r="J59" s="42">
        <f t="shared" si="18"/>
        <v>0.93970648906701248</v>
      </c>
      <c r="K59" s="42">
        <f t="shared" si="19"/>
        <v>46.612637362637365</v>
      </c>
      <c r="L59" s="42">
        <f t="shared" si="20"/>
        <v>43.802197802197803</v>
      </c>
      <c r="M59" s="45">
        <f t="shared" si="21"/>
        <v>150839000</v>
      </c>
      <c r="N59" s="18">
        <f>D59*'SUMMARY 2'!$I$29*'SUMMARY 2'!$I$28</f>
        <v>661305792</v>
      </c>
      <c r="O59" s="41" t="s">
        <v>311</v>
      </c>
      <c r="P59" s="41" t="s">
        <v>151</v>
      </c>
      <c r="Q59" s="41" t="str">
        <f t="shared" si="22"/>
        <v xml:space="preserve"> DT HINO G 374</v>
      </c>
    </row>
    <row r="60" spans="2:17" x14ac:dyDescent="0.3">
      <c r="B60" s="41">
        <v>53</v>
      </c>
      <c r="C60" s="41" t="s">
        <v>336</v>
      </c>
      <c r="D60" s="42">
        <v>3811.2</v>
      </c>
      <c r="E60" s="42">
        <v>82</v>
      </c>
      <c r="F60" s="49">
        <f>VLOOKUP(P60,'list rate unit'!$B$3:$K$40,10,FALSE)</f>
        <v>500000</v>
      </c>
      <c r="G60" s="44">
        <f t="shared" si="16"/>
        <v>105000000</v>
      </c>
      <c r="H60" s="42">
        <v>3711</v>
      </c>
      <c r="I60" s="44">
        <f t="shared" si="17"/>
        <v>42676500</v>
      </c>
      <c r="J60" s="42">
        <f t="shared" si="18"/>
        <v>0.97370906801007562</v>
      </c>
      <c r="K60" s="42">
        <f t="shared" si="19"/>
        <v>46.478048780487804</v>
      </c>
      <c r="L60" s="42">
        <f t="shared" si="20"/>
        <v>45.256097560975611</v>
      </c>
      <c r="M60" s="45">
        <f t="shared" si="21"/>
        <v>147676500</v>
      </c>
      <c r="N60" s="18">
        <f>D60*'SUMMARY 2'!$I$29*'SUMMARY 2'!$I$28</f>
        <v>594181324.79999995</v>
      </c>
      <c r="O60" s="41" t="s">
        <v>311</v>
      </c>
      <c r="P60" s="41" t="s">
        <v>151</v>
      </c>
      <c r="Q60" s="41" t="str">
        <f t="shared" si="22"/>
        <v xml:space="preserve"> DT HINO G 375</v>
      </c>
    </row>
    <row r="61" spans="2:17" x14ac:dyDescent="0.3">
      <c r="B61" s="41">
        <v>54</v>
      </c>
      <c r="C61" s="41" t="s">
        <v>337</v>
      </c>
      <c r="D61" s="42">
        <v>4553.03</v>
      </c>
      <c r="E61" s="42">
        <v>101</v>
      </c>
      <c r="F61" s="49">
        <f>VLOOKUP(P61,'list rate unit'!$B$3:$K$40,10,FALSE)</f>
        <v>500000</v>
      </c>
      <c r="G61" s="44">
        <f t="shared" si="16"/>
        <v>105000000</v>
      </c>
      <c r="H61" s="42">
        <v>4570</v>
      </c>
      <c r="I61" s="44">
        <f t="shared" si="17"/>
        <v>52555000</v>
      </c>
      <c r="J61" s="42">
        <f t="shared" si="18"/>
        <v>1.0037271882680325</v>
      </c>
      <c r="K61" s="42">
        <f t="shared" si="19"/>
        <v>45.07950495049505</v>
      </c>
      <c r="L61" s="42">
        <f t="shared" si="20"/>
        <v>45.24752475247525</v>
      </c>
      <c r="M61" s="45">
        <f t="shared" si="21"/>
        <v>157555000</v>
      </c>
      <c r="N61" s="18">
        <f>D61*'SUMMARY 2'!$I$29*'SUMMARY 2'!$I$28</f>
        <v>709835589.11999989</v>
      </c>
      <c r="O61" s="41" t="s">
        <v>311</v>
      </c>
      <c r="P61" s="41" t="s">
        <v>151</v>
      </c>
      <c r="Q61" s="41" t="str">
        <f t="shared" si="22"/>
        <v xml:space="preserve"> DT HINO G 376</v>
      </c>
    </row>
    <row r="62" spans="2:17" x14ac:dyDescent="0.3">
      <c r="B62" s="41">
        <v>55</v>
      </c>
      <c r="C62" s="41" t="s">
        <v>338</v>
      </c>
      <c r="D62" s="42">
        <v>2411.8699999999994</v>
      </c>
      <c r="E62" s="42">
        <v>54</v>
      </c>
      <c r="F62" s="49">
        <f>VLOOKUP(P62,'list rate unit'!$B$3:$K$40,10,FALSE)</f>
        <v>500000</v>
      </c>
      <c r="G62" s="44">
        <f t="shared" si="16"/>
        <v>105000000</v>
      </c>
      <c r="H62" s="42">
        <v>2392</v>
      </c>
      <c r="I62" s="44">
        <f t="shared" si="17"/>
        <v>27508000</v>
      </c>
      <c r="J62" s="42">
        <f t="shared" si="18"/>
        <v>0.99176157918959174</v>
      </c>
      <c r="K62" s="42">
        <f t="shared" si="19"/>
        <v>44.664259259259246</v>
      </c>
      <c r="L62" s="42">
        <f t="shared" si="20"/>
        <v>44.296296296296298</v>
      </c>
      <c r="M62" s="45">
        <f t="shared" si="21"/>
        <v>132508000</v>
      </c>
      <c r="N62" s="18">
        <f>D62*'SUMMARY 2'!$I$29*'SUMMARY 2'!$I$28</f>
        <v>376020180.4799999</v>
      </c>
      <c r="O62" s="41" t="s">
        <v>311</v>
      </c>
      <c r="P62" s="41" t="s">
        <v>151</v>
      </c>
      <c r="Q62" s="41" t="str">
        <f t="shared" si="22"/>
        <v xml:space="preserve"> DT HINO G 377</v>
      </c>
    </row>
    <row r="63" spans="2:17" x14ac:dyDescent="0.3">
      <c r="B63" s="41">
        <v>56</v>
      </c>
      <c r="C63" s="41" t="s">
        <v>385</v>
      </c>
      <c r="D63" s="42">
        <v>4419.67</v>
      </c>
      <c r="E63" s="42">
        <v>96</v>
      </c>
      <c r="F63" s="49">
        <f>VLOOKUP(P63,'list rate unit'!$B$3:$K$40,10,FALSE)</f>
        <v>500000</v>
      </c>
      <c r="G63" s="44">
        <f t="shared" si="16"/>
        <v>105000000</v>
      </c>
      <c r="H63" s="42">
        <v>4205</v>
      </c>
      <c r="I63" s="44">
        <f t="shared" si="17"/>
        <v>48357500</v>
      </c>
      <c r="J63" s="42">
        <f t="shared" si="18"/>
        <v>0.95142850031789705</v>
      </c>
      <c r="K63" s="42">
        <f t="shared" si="19"/>
        <v>46.038229166666667</v>
      </c>
      <c r="L63" s="42">
        <f t="shared" si="20"/>
        <v>43.802083333333336</v>
      </c>
      <c r="M63" s="45">
        <f t="shared" si="21"/>
        <v>153357500</v>
      </c>
      <c r="N63" s="18">
        <f>D63*'SUMMARY 2'!$I$29*'SUMMARY 2'!$I$28</f>
        <v>689044231.68000007</v>
      </c>
      <c r="O63" s="41" t="s">
        <v>311</v>
      </c>
      <c r="P63" s="41" t="s">
        <v>151</v>
      </c>
      <c r="Q63" s="41" t="str">
        <f t="shared" si="22"/>
        <v xml:space="preserve"> DT HINO G 378</v>
      </c>
    </row>
    <row r="64" spans="2:17" x14ac:dyDescent="0.3">
      <c r="B64" s="41">
        <v>57</v>
      </c>
      <c r="C64" s="41" t="s">
        <v>386</v>
      </c>
      <c r="D64" s="42">
        <v>3728.4</v>
      </c>
      <c r="E64" s="42">
        <v>82</v>
      </c>
      <c r="F64" s="49">
        <f>VLOOKUP(P64,'list rate unit'!$B$3:$K$40,10,FALSE)</f>
        <v>500000</v>
      </c>
      <c r="G64" s="44">
        <f t="shared" si="16"/>
        <v>105000000</v>
      </c>
      <c r="H64" s="42">
        <v>3651</v>
      </c>
      <c r="I64" s="44">
        <f t="shared" si="17"/>
        <v>41986500</v>
      </c>
      <c r="J64" s="42">
        <f t="shared" si="18"/>
        <v>0.97924042484711937</v>
      </c>
      <c r="K64" s="42">
        <f t="shared" si="19"/>
        <v>45.46829268292683</v>
      </c>
      <c r="L64" s="42">
        <f t="shared" si="20"/>
        <v>44.524390243902438</v>
      </c>
      <c r="M64" s="45">
        <f t="shared" si="21"/>
        <v>146986500</v>
      </c>
      <c r="N64" s="18">
        <f>D64*'SUMMARY 2'!$I$29*'SUMMARY 2'!$I$28</f>
        <v>581272473.60000002</v>
      </c>
      <c r="O64" s="41" t="s">
        <v>311</v>
      </c>
      <c r="P64" s="41" t="s">
        <v>151</v>
      </c>
      <c r="Q64" s="41" t="str">
        <f t="shared" si="22"/>
        <v xml:space="preserve"> DT HINO G 380</v>
      </c>
    </row>
    <row r="65" spans="2:17" x14ac:dyDescent="0.3">
      <c r="B65" s="41">
        <v>58</v>
      </c>
      <c r="C65" s="41" t="s">
        <v>387</v>
      </c>
      <c r="D65" s="42">
        <v>3768.1200000000003</v>
      </c>
      <c r="E65" s="42">
        <v>81</v>
      </c>
      <c r="F65" s="49">
        <f>VLOOKUP(P65,'list rate unit'!$B$3:$K$40,10,FALSE)</f>
        <v>500000</v>
      </c>
      <c r="G65" s="44">
        <f t="shared" si="16"/>
        <v>105000000</v>
      </c>
      <c r="H65" s="42">
        <v>3677</v>
      </c>
      <c r="I65" s="44">
        <f t="shared" si="17"/>
        <v>42285500</v>
      </c>
      <c r="J65" s="42">
        <f t="shared" si="11"/>
        <v>0.97581817988811392</v>
      </c>
      <c r="K65" s="42">
        <f t="shared" si="12"/>
        <v>46.52</v>
      </c>
      <c r="L65" s="42">
        <f t="shared" si="13"/>
        <v>45.395061728395063</v>
      </c>
      <c r="M65" s="45">
        <f t="shared" si="14"/>
        <v>147285500</v>
      </c>
      <c r="N65" s="18">
        <f>D65*'SUMMARY 2'!$I$29*'SUMMARY 2'!$I$28</f>
        <v>587464980.48000002</v>
      </c>
      <c r="O65" s="41" t="s">
        <v>311</v>
      </c>
      <c r="P65" s="41" t="s">
        <v>151</v>
      </c>
      <c r="Q65" s="41" t="str">
        <f t="shared" si="15"/>
        <v xml:space="preserve"> DT HINO G 381</v>
      </c>
    </row>
    <row r="66" spans="2:17" x14ac:dyDescent="0.3">
      <c r="B66" s="41">
        <v>59</v>
      </c>
      <c r="C66" s="41" t="s">
        <v>388</v>
      </c>
      <c r="D66" s="42">
        <v>1995.7700000000002</v>
      </c>
      <c r="E66" s="42">
        <v>43</v>
      </c>
      <c r="F66" s="49">
        <f>VLOOKUP(P66,'list rate unit'!$B$3:$K$40,10,FALSE)</f>
        <v>500000</v>
      </c>
      <c r="G66" s="44">
        <f t="shared" si="16"/>
        <v>105000000</v>
      </c>
      <c r="H66" s="42">
        <v>1693</v>
      </c>
      <c r="I66" s="44">
        <f t="shared" si="17"/>
        <v>19469500</v>
      </c>
      <c r="J66" s="42">
        <f t="shared" si="11"/>
        <v>0.84829414211056375</v>
      </c>
      <c r="K66" s="42">
        <f t="shared" si="12"/>
        <v>46.413255813953491</v>
      </c>
      <c r="L66" s="42">
        <f t="shared" si="13"/>
        <v>39.372093023255815</v>
      </c>
      <c r="M66" s="45">
        <f t="shared" si="14"/>
        <v>124469500</v>
      </c>
      <c r="N66" s="18">
        <f>D66*'SUMMARY 2'!$I$29*'SUMMARY 2'!$I$28</f>
        <v>311148526.08000004</v>
      </c>
      <c r="O66" s="41" t="s">
        <v>311</v>
      </c>
      <c r="P66" s="41" t="s">
        <v>151</v>
      </c>
      <c r="Q66" s="41" t="str">
        <f t="shared" si="15"/>
        <v xml:space="preserve"> DT HINO G 382</v>
      </c>
    </row>
    <row r="67" spans="2:17" x14ac:dyDescent="0.3">
      <c r="B67" s="41">
        <v>60</v>
      </c>
      <c r="C67" s="41" t="s">
        <v>389</v>
      </c>
      <c r="D67" s="42">
        <v>3449.7799999999997</v>
      </c>
      <c r="E67" s="42">
        <v>76</v>
      </c>
      <c r="F67" s="49">
        <f>VLOOKUP(P67,'list rate unit'!$B$3:$K$40,10,FALSE)</f>
        <v>500000</v>
      </c>
      <c r="G67" s="44">
        <f t="shared" si="16"/>
        <v>105000000</v>
      </c>
      <c r="H67" s="42">
        <v>3351</v>
      </c>
      <c r="I67" s="44">
        <f t="shared" si="17"/>
        <v>38536500</v>
      </c>
      <c r="J67" s="42">
        <f t="shared" si="11"/>
        <v>0.97136629002429142</v>
      </c>
      <c r="K67" s="42">
        <f t="shared" si="12"/>
        <v>45.391842105263152</v>
      </c>
      <c r="L67" s="42">
        <f t="shared" si="13"/>
        <v>44.092105263157897</v>
      </c>
      <c r="M67" s="45">
        <f t="shared" si="14"/>
        <v>143536500</v>
      </c>
      <c r="N67" s="18">
        <f>D67*'SUMMARY 2'!$I$29*'SUMMARY 2'!$I$28</f>
        <v>537834501.11999989</v>
      </c>
      <c r="O67" s="41" t="s">
        <v>311</v>
      </c>
      <c r="P67" s="41" t="s">
        <v>151</v>
      </c>
      <c r="Q67" s="41" t="str">
        <f t="shared" si="15"/>
        <v xml:space="preserve"> DT HINO G 383</v>
      </c>
    </row>
    <row r="68" spans="2:17" x14ac:dyDescent="0.3">
      <c r="B68" s="41">
        <v>61</v>
      </c>
      <c r="C68" s="41" t="s">
        <v>390</v>
      </c>
      <c r="D68" s="42">
        <v>4159.13</v>
      </c>
      <c r="E68" s="42">
        <v>91</v>
      </c>
      <c r="F68" s="49">
        <f>VLOOKUP(P68,'list rate unit'!$B$3:$K$40,10,FALSE)</f>
        <v>500000</v>
      </c>
      <c r="G68" s="44">
        <f t="shared" si="16"/>
        <v>105000000</v>
      </c>
      <c r="H68" s="42">
        <v>3727</v>
      </c>
      <c r="I68" s="44">
        <f t="shared" si="17"/>
        <v>42860500</v>
      </c>
      <c r="J68" s="42">
        <f t="shared" ref="J68:J75" si="23">IFERROR(H68/D68,0)</f>
        <v>0.89610086724867943</v>
      </c>
      <c r="K68" s="42">
        <f t="shared" ref="K68:K75" si="24">IFERROR(D68/E68,0)</f>
        <v>45.704725274725277</v>
      </c>
      <c r="L68" s="42">
        <f t="shared" ref="L68:L75" si="25">H68/E68</f>
        <v>40.956043956043956</v>
      </c>
      <c r="M68" s="45">
        <f t="shared" ref="M68:M75" si="26">G68+I68</f>
        <v>147860500</v>
      </c>
      <c r="N68" s="18">
        <f>D68*'SUMMARY 2'!$I$29*'SUMMARY 2'!$I$28</f>
        <v>648425003.51999998</v>
      </c>
      <c r="O68" s="41" t="s">
        <v>311</v>
      </c>
      <c r="P68" s="41" t="s">
        <v>151</v>
      </c>
      <c r="Q68" s="41" t="str">
        <f t="shared" ref="Q68:Q75" si="27">C68</f>
        <v xml:space="preserve"> DT HINO G 385</v>
      </c>
    </row>
    <row r="69" spans="2:17" x14ac:dyDescent="0.3">
      <c r="B69" s="41">
        <v>62</v>
      </c>
      <c r="C69" s="41" t="s">
        <v>391</v>
      </c>
      <c r="D69" s="42">
        <v>4034.1</v>
      </c>
      <c r="E69" s="42">
        <v>89</v>
      </c>
      <c r="F69" s="49">
        <f>VLOOKUP(P69,'list rate unit'!$B$3:$K$40,10,FALSE)</f>
        <v>500000</v>
      </c>
      <c r="G69" s="44">
        <f t="shared" si="16"/>
        <v>105000000</v>
      </c>
      <c r="H69" s="42">
        <v>3759</v>
      </c>
      <c r="I69" s="44">
        <f t="shared" si="17"/>
        <v>43228500</v>
      </c>
      <c r="J69" s="42">
        <f t="shared" si="23"/>
        <v>0.93180635085892771</v>
      </c>
      <c r="K69" s="42">
        <f t="shared" si="24"/>
        <v>45.326966292134827</v>
      </c>
      <c r="L69" s="42">
        <f t="shared" si="25"/>
        <v>42.235955056179776</v>
      </c>
      <c r="M69" s="45">
        <f t="shared" si="26"/>
        <v>148228500</v>
      </c>
      <c r="N69" s="18">
        <f>D69*'SUMMARY 2'!$I$29*'SUMMARY 2'!$I$28</f>
        <v>628932326.39999998</v>
      </c>
      <c r="O69" s="41" t="s">
        <v>311</v>
      </c>
      <c r="P69" s="41" t="s">
        <v>151</v>
      </c>
      <c r="Q69" s="41" t="str">
        <f t="shared" si="27"/>
        <v xml:space="preserve"> DT HINO G 386</v>
      </c>
    </row>
    <row r="70" spans="2:17" x14ac:dyDescent="0.3">
      <c r="B70" s="41">
        <v>63</v>
      </c>
      <c r="C70" s="41" t="s">
        <v>392</v>
      </c>
      <c r="D70" s="42">
        <v>5308.85</v>
      </c>
      <c r="E70" s="42">
        <v>108</v>
      </c>
      <c r="F70" s="49">
        <f>VLOOKUP(P70,'list rate unit'!$B$3:$K$40,10,FALSE)</f>
        <v>500000</v>
      </c>
      <c r="G70" s="44">
        <f t="shared" si="16"/>
        <v>105000000</v>
      </c>
      <c r="H70" s="42">
        <v>4684</v>
      </c>
      <c r="I70" s="44">
        <f t="shared" si="17"/>
        <v>53866000</v>
      </c>
      <c r="J70" s="42">
        <f t="shared" si="23"/>
        <v>0.88230030985995078</v>
      </c>
      <c r="K70" s="42">
        <f t="shared" si="24"/>
        <v>49.156018518518522</v>
      </c>
      <c r="L70" s="42">
        <f t="shared" si="25"/>
        <v>43.370370370370374</v>
      </c>
      <c r="M70" s="45">
        <f t="shared" si="26"/>
        <v>158866000</v>
      </c>
      <c r="N70" s="18">
        <f>D70*'SUMMARY 2'!$I$29*'SUMMARY 2'!$I$28</f>
        <v>827670950.4000001</v>
      </c>
      <c r="O70" s="41" t="s">
        <v>311</v>
      </c>
      <c r="P70" s="41" t="s">
        <v>151</v>
      </c>
      <c r="Q70" s="41" t="str">
        <f t="shared" si="27"/>
        <v xml:space="preserve"> DT HINO G 387</v>
      </c>
    </row>
    <row r="71" spans="2:17" x14ac:dyDescent="0.3">
      <c r="B71" s="41">
        <v>64</v>
      </c>
      <c r="C71" s="41" t="s">
        <v>393</v>
      </c>
      <c r="D71" s="42">
        <v>4130.18</v>
      </c>
      <c r="E71" s="42">
        <v>91</v>
      </c>
      <c r="F71" s="49">
        <f>VLOOKUP(P71,'list rate unit'!$B$3:$K$40,10,FALSE)</f>
        <v>500000</v>
      </c>
      <c r="G71" s="44">
        <f t="shared" si="16"/>
        <v>105000000</v>
      </c>
      <c r="H71" s="42">
        <v>3972</v>
      </c>
      <c r="I71" s="44">
        <f t="shared" si="17"/>
        <v>45678000</v>
      </c>
      <c r="J71" s="42">
        <f t="shared" si="23"/>
        <v>0.96170142705644779</v>
      </c>
      <c r="K71" s="42">
        <f t="shared" si="24"/>
        <v>45.386593406593413</v>
      </c>
      <c r="L71" s="42">
        <f t="shared" si="25"/>
        <v>43.64835164835165</v>
      </c>
      <c r="M71" s="45">
        <f t="shared" si="26"/>
        <v>150678000</v>
      </c>
      <c r="N71" s="18">
        <f>D71*'SUMMARY 2'!$I$29*'SUMMARY 2'!$I$28</f>
        <v>643911582.72000003</v>
      </c>
      <c r="O71" s="41" t="s">
        <v>311</v>
      </c>
      <c r="P71" s="41" t="s">
        <v>151</v>
      </c>
      <c r="Q71" s="41" t="str">
        <f t="shared" si="27"/>
        <v xml:space="preserve"> DT HINO G 388</v>
      </c>
    </row>
    <row r="72" spans="2:17" x14ac:dyDescent="0.3">
      <c r="B72" s="41">
        <v>65</v>
      </c>
      <c r="C72" s="41" t="s">
        <v>394</v>
      </c>
      <c r="D72" s="42">
        <v>3947.48</v>
      </c>
      <c r="E72" s="42">
        <v>87</v>
      </c>
      <c r="F72" s="49">
        <f>VLOOKUP(P72,'list rate unit'!$B$3:$K$40,10,FALSE)</f>
        <v>500000</v>
      </c>
      <c r="G72" s="44">
        <f t="shared" ref="G72:G77" si="28">IF(D72=0,0,F72*$C$84)</f>
        <v>105000000</v>
      </c>
      <c r="H72" s="42">
        <v>4260</v>
      </c>
      <c r="I72" s="44">
        <f t="shared" ref="I72:I77" si="29">H72*$C$83</f>
        <v>48990000</v>
      </c>
      <c r="J72" s="42">
        <f t="shared" si="23"/>
        <v>1.0791694954755946</v>
      </c>
      <c r="K72" s="42">
        <f t="shared" si="24"/>
        <v>45.373333333333335</v>
      </c>
      <c r="L72" s="42">
        <f t="shared" si="25"/>
        <v>48.96551724137931</v>
      </c>
      <c r="M72" s="45">
        <f t="shared" si="26"/>
        <v>153990000</v>
      </c>
      <c r="N72" s="18">
        <f>D72*'SUMMARY 2'!$I$29*'SUMMARY 2'!$I$28</f>
        <v>615427921.91999996</v>
      </c>
      <c r="O72" s="41" t="s">
        <v>311</v>
      </c>
      <c r="P72" s="41" t="s">
        <v>151</v>
      </c>
      <c r="Q72" s="41" t="str">
        <f t="shared" si="27"/>
        <v xml:space="preserve"> DT HINO G 389</v>
      </c>
    </row>
    <row r="73" spans="2:17" x14ac:dyDescent="0.3">
      <c r="B73" s="41">
        <v>66</v>
      </c>
      <c r="C73" s="41" t="s">
        <v>395</v>
      </c>
      <c r="D73" s="42">
        <v>4528.8100000000004</v>
      </c>
      <c r="E73" s="42">
        <v>98</v>
      </c>
      <c r="F73" s="49">
        <f>VLOOKUP(P73,'list rate unit'!$B$3:$K$40,10,FALSE)</f>
        <v>500000</v>
      </c>
      <c r="G73" s="44">
        <f t="shared" si="28"/>
        <v>105000000</v>
      </c>
      <c r="H73" s="42">
        <v>4099</v>
      </c>
      <c r="I73" s="44">
        <f t="shared" si="29"/>
        <v>47138500</v>
      </c>
      <c r="J73" s="42">
        <f t="shared" si="23"/>
        <v>0.90509427421331423</v>
      </c>
      <c r="K73" s="42">
        <f t="shared" si="24"/>
        <v>46.212346938775511</v>
      </c>
      <c r="L73" s="42">
        <f t="shared" si="25"/>
        <v>41.826530612244895</v>
      </c>
      <c r="M73" s="45">
        <f t="shared" si="26"/>
        <v>152138500</v>
      </c>
      <c r="N73" s="18">
        <f>D73*'SUMMARY 2'!$I$29*'SUMMARY 2'!$I$28</f>
        <v>706059594.24000001</v>
      </c>
      <c r="O73" s="41" t="s">
        <v>311</v>
      </c>
      <c r="P73" s="41" t="s">
        <v>151</v>
      </c>
      <c r="Q73" s="41" t="str">
        <f t="shared" si="27"/>
        <v xml:space="preserve"> DT HINO G 390</v>
      </c>
    </row>
    <row r="74" spans="2:17" x14ac:dyDescent="0.3">
      <c r="B74" s="41">
        <v>67</v>
      </c>
      <c r="C74" s="41" t="s">
        <v>396</v>
      </c>
      <c r="D74" s="42">
        <v>4735.47</v>
      </c>
      <c r="E74" s="42">
        <v>102</v>
      </c>
      <c r="F74" s="49">
        <f>VLOOKUP(P74,'list rate unit'!$B$3:$K$40,10,FALSE)</f>
        <v>500000</v>
      </c>
      <c r="G74" s="44">
        <f t="shared" si="28"/>
        <v>105000000</v>
      </c>
      <c r="H74" s="42">
        <v>6027</v>
      </c>
      <c r="I74" s="44">
        <f t="shared" si="29"/>
        <v>69310500</v>
      </c>
      <c r="J74" s="42">
        <f t="shared" si="23"/>
        <v>1.2727353356688986</v>
      </c>
      <c r="K74" s="42">
        <f t="shared" si="24"/>
        <v>46.426176470588238</v>
      </c>
      <c r="L74" s="42">
        <f t="shared" si="25"/>
        <v>59.088235294117645</v>
      </c>
      <c r="M74" s="45">
        <f t="shared" si="26"/>
        <v>174310500</v>
      </c>
      <c r="N74" s="18">
        <f>D74*'SUMMARY 2'!$I$29*'SUMMARY 2'!$I$28</f>
        <v>738278714.88000011</v>
      </c>
      <c r="O74" s="41" t="s">
        <v>311</v>
      </c>
      <c r="P74" s="41" t="s">
        <v>151</v>
      </c>
      <c r="Q74" s="41" t="str">
        <f t="shared" si="27"/>
        <v xml:space="preserve"> DT HINO G 391</v>
      </c>
    </row>
    <row r="75" spans="2:17" x14ac:dyDescent="0.3">
      <c r="B75" s="41">
        <v>68</v>
      </c>
      <c r="C75" s="41" t="s">
        <v>397</v>
      </c>
      <c r="D75" s="42">
        <v>4111.869999999999</v>
      </c>
      <c r="E75" s="42">
        <v>91</v>
      </c>
      <c r="F75" s="49">
        <f>VLOOKUP(P75,'list rate unit'!$B$3:$K$40,10,FALSE)</f>
        <v>500000</v>
      </c>
      <c r="G75" s="44">
        <f t="shared" si="28"/>
        <v>105000000</v>
      </c>
      <c r="H75" s="42">
        <v>4012</v>
      </c>
      <c r="I75" s="44">
        <f t="shared" si="29"/>
        <v>46138000</v>
      </c>
      <c r="J75" s="42">
        <f t="shared" si="23"/>
        <v>0.97571178077127951</v>
      </c>
      <c r="K75" s="42">
        <f t="shared" si="24"/>
        <v>45.185384615384606</v>
      </c>
      <c r="L75" s="42">
        <f t="shared" si="25"/>
        <v>44.087912087912088</v>
      </c>
      <c r="M75" s="45">
        <f t="shared" si="26"/>
        <v>151138000</v>
      </c>
      <c r="N75" s="18">
        <f>D75*'SUMMARY 2'!$I$29*'SUMMARY 2'!$I$28</f>
        <v>641056980.47999978</v>
      </c>
      <c r="O75" s="41" t="s">
        <v>311</v>
      </c>
      <c r="P75" s="41" t="s">
        <v>151</v>
      </c>
      <c r="Q75" s="41" t="str">
        <f t="shared" si="27"/>
        <v xml:space="preserve"> DT HINO G 392</v>
      </c>
    </row>
    <row r="76" spans="2:17" x14ac:dyDescent="0.3">
      <c r="B76" s="41">
        <v>69</v>
      </c>
      <c r="C76" s="41" t="s">
        <v>398</v>
      </c>
      <c r="D76" s="42">
        <v>4216.01</v>
      </c>
      <c r="E76" s="42">
        <v>93</v>
      </c>
      <c r="F76" s="49">
        <f>VLOOKUP(P76,'list rate unit'!$B$3:$K$40,10,FALSE)</f>
        <v>500000</v>
      </c>
      <c r="G76" s="44">
        <f t="shared" si="28"/>
        <v>105000000</v>
      </c>
      <c r="H76" s="42">
        <v>3818</v>
      </c>
      <c r="I76" s="44">
        <f t="shared" si="29"/>
        <v>43907000</v>
      </c>
      <c r="J76" s="42">
        <f t="shared" si="11"/>
        <v>0.90559557496305743</v>
      </c>
      <c r="K76" s="42">
        <f t="shared" si="12"/>
        <v>45.333440860215056</v>
      </c>
      <c r="L76" s="42">
        <f t="shared" si="13"/>
        <v>41.053763440860216</v>
      </c>
      <c r="M76" s="45">
        <f t="shared" si="14"/>
        <v>148907000</v>
      </c>
      <c r="N76" s="18">
        <f>D76*'SUMMARY 2'!$I$29*'SUMMARY 2'!$I$28</f>
        <v>657292823.04000008</v>
      </c>
      <c r="O76" s="41" t="s">
        <v>311</v>
      </c>
      <c r="P76" s="41" t="s">
        <v>151</v>
      </c>
      <c r="Q76" s="41" t="str">
        <f t="shared" si="15"/>
        <v xml:space="preserve"> DT HINO G 393</v>
      </c>
    </row>
    <row r="77" spans="2:17" x14ac:dyDescent="0.3">
      <c r="B77" s="41">
        <v>70</v>
      </c>
      <c r="C77" s="41" t="s">
        <v>399</v>
      </c>
      <c r="D77" s="42">
        <v>3176.85</v>
      </c>
      <c r="E77" s="42">
        <v>70</v>
      </c>
      <c r="F77" s="49">
        <f>VLOOKUP(P77,'list rate unit'!$B$3:$K$40,10,FALSE)</f>
        <v>500000</v>
      </c>
      <c r="G77" s="44">
        <f t="shared" si="28"/>
        <v>105000000</v>
      </c>
      <c r="H77" s="42">
        <v>2933</v>
      </c>
      <c r="I77" s="44">
        <f t="shared" si="29"/>
        <v>33729500</v>
      </c>
      <c r="J77" s="42">
        <f t="shared" si="11"/>
        <v>0.92324157577474542</v>
      </c>
      <c r="K77" s="42">
        <f t="shared" si="12"/>
        <v>45.383571428571429</v>
      </c>
      <c r="L77" s="42">
        <f t="shared" si="13"/>
        <v>41.9</v>
      </c>
      <c r="M77" s="45">
        <f t="shared" si="14"/>
        <v>138729500</v>
      </c>
      <c r="N77" s="18">
        <f>D77*'SUMMARY 2'!$I$29*'SUMMARY 2'!$I$28</f>
        <v>495283622.39999992</v>
      </c>
      <c r="O77" s="41" t="s">
        <v>311</v>
      </c>
      <c r="P77" s="41" t="s">
        <v>151</v>
      </c>
      <c r="Q77" s="41" t="str">
        <f t="shared" si="15"/>
        <v xml:space="preserve"> DT HINO G 394</v>
      </c>
    </row>
    <row r="78" spans="2:17" x14ac:dyDescent="0.3">
      <c r="D78" s="18"/>
      <c r="E78" s="18"/>
      <c r="H78" s="18"/>
      <c r="I78" s="30"/>
      <c r="J78" s="18"/>
      <c r="K78" s="18"/>
      <c r="L78" s="18"/>
      <c r="M78" s="33"/>
      <c r="N78" s="18"/>
    </row>
    <row r="79" spans="2:17" ht="15.75" customHeight="1" x14ac:dyDescent="0.3">
      <c r="B79" s="200" t="s">
        <v>21</v>
      </c>
      <c r="C79" s="200"/>
      <c r="D79" s="46">
        <f>SUM(D8:D78)</f>
        <v>202342.57</v>
      </c>
      <c r="E79" s="46">
        <f>SUM(E8:E78)</f>
        <v>4383</v>
      </c>
      <c r="F79" s="50"/>
      <c r="G79" s="51">
        <f>SUM(G8:G78)</f>
        <v>7350000000</v>
      </c>
      <c r="H79" s="46">
        <f>SUM(H8:H78)</f>
        <v>199391</v>
      </c>
      <c r="I79" s="47">
        <f>SUM(I8:I78)</f>
        <v>2292996500</v>
      </c>
      <c r="J79" s="46">
        <f>IFERROR(H79/D79,0)</f>
        <v>0.98541300528109332</v>
      </c>
      <c r="K79" s="46">
        <f>IFERROR(D79/E79,0)</f>
        <v>46.165313712069363</v>
      </c>
      <c r="L79" s="46">
        <f>IFERROR(H79/E79,0)</f>
        <v>45.491900524754733</v>
      </c>
      <c r="M79" s="48">
        <f>SUM(M8:M78)</f>
        <v>9642996500</v>
      </c>
      <c r="N79" s="17">
        <f>SUM(N8:N77)</f>
        <v>31546016033.280003</v>
      </c>
    </row>
    <row r="81" spans="2:14" x14ac:dyDescent="0.3">
      <c r="B81" s="28"/>
      <c r="C81" s="15" t="s">
        <v>58</v>
      </c>
      <c r="L81" s="18"/>
      <c r="M81" s="18"/>
      <c r="N81" s="18"/>
    </row>
    <row r="82" spans="2:14" x14ac:dyDescent="0.3">
      <c r="B82" s="35" t="s">
        <v>34</v>
      </c>
      <c r="C82" s="29">
        <f>'REPORT unit OB'!C42</f>
        <v>14848</v>
      </c>
      <c r="D82" s="30"/>
    </row>
    <row r="83" spans="2:14" x14ac:dyDescent="0.3">
      <c r="B83" s="35" t="s">
        <v>35</v>
      </c>
      <c r="C83" s="29">
        <f>'SUMMARY 2'!I13</f>
        <v>11500</v>
      </c>
      <c r="D83" s="30"/>
    </row>
    <row r="84" spans="2:14" x14ac:dyDescent="0.3">
      <c r="B84" s="35" t="s">
        <v>50</v>
      </c>
      <c r="C84" s="34">
        <v>210</v>
      </c>
      <c r="D84" s="29" t="s">
        <v>51</v>
      </c>
    </row>
    <row r="85" spans="2:14" x14ac:dyDescent="0.3">
      <c r="D85" s="18"/>
    </row>
    <row r="88" spans="2:14" x14ac:dyDescent="0.3">
      <c r="D88" s="18"/>
    </row>
    <row r="90" spans="2:14" x14ac:dyDescent="0.3">
      <c r="E90" s="18"/>
    </row>
    <row r="91" spans="2:14" x14ac:dyDescent="0.3">
      <c r="E91" s="18"/>
    </row>
    <row r="92" spans="2:14" x14ac:dyDescent="0.3">
      <c r="E92" s="18"/>
    </row>
    <row r="93" spans="2:14" x14ac:dyDescent="0.3">
      <c r="E93" s="18"/>
    </row>
    <row r="94" spans="2:14" x14ac:dyDescent="0.3">
      <c r="E94" s="18"/>
    </row>
    <row r="95" spans="2:14" x14ac:dyDescent="0.3">
      <c r="E95" s="18"/>
    </row>
    <row r="96" spans="2:14" x14ac:dyDescent="0.3">
      <c r="E96" s="18"/>
    </row>
    <row r="97" spans="5:5" x14ac:dyDescent="0.3">
      <c r="E97" s="18"/>
    </row>
    <row r="98" spans="5:5" x14ac:dyDescent="0.3">
      <c r="E98" s="18"/>
    </row>
    <row r="99" spans="5:5" x14ac:dyDescent="0.3">
      <c r="E99" s="18"/>
    </row>
    <row r="100" spans="5:5" x14ac:dyDescent="0.3">
      <c r="E100" s="18"/>
    </row>
    <row r="101" spans="5:5" x14ac:dyDescent="0.3">
      <c r="E101" s="18"/>
    </row>
    <row r="102" spans="5:5" x14ac:dyDescent="0.3">
      <c r="E102" s="18"/>
    </row>
    <row r="103" spans="5:5" x14ac:dyDescent="0.3">
      <c r="E103" s="18"/>
    </row>
    <row r="104" spans="5:5" x14ac:dyDescent="0.3">
      <c r="E104" s="18"/>
    </row>
    <row r="105" spans="5:5" x14ac:dyDescent="0.3">
      <c r="E105" s="18"/>
    </row>
    <row r="106" spans="5:5" x14ac:dyDescent="0.3">
      <c r="E106" s="18"/>
    </row>
    <row r="107" spans="5:5" x14ac:dyDescent="0.3">
      <c r="E107" s="18"/>
    </row>
    <row r="108" spans="5:5" x14ac:dyDescent="0.3">
      <c r="E108" s="18"/>
    </row>
    <row r="109" spans="5:5" x14ac:dyDescent="0.3">
      <c r="E109" s="18"/>
    </row>
    <row r="110" spans="5:5" x14ac:dyDescent="0.3">
      <c r="E110" s="18"/>
    </row>
    <row r="111" spans="5:5" x14ac:dyDescent="0.3">
      <c r="E111" s="18"/>
    </row>
    <row r="112" spans="5:5" x14ac:dyDescent="0.3">
      <c r="E112" s="18"/>
    </row>
    <row r="113" spans="5:5" x14ac:dyDescent="0.3">
      <c r="E113" s="18"/>
    </row>
    <row r="114" spans="5:5" x14ac:dyDescent="0.3">
      <c r="E114" s="18"/>
    </row>
    <row r="115" spans="5:5" x14ac:dyDescent="0.3">
      <c r="E115" s="18"/>
    </row>
    <row r="116" spans="5:5" x14ac:dyDescent="0.3">
      <c r="E116" s="18"/>
    </row>
    <row r="117" spans="5:5" x14ac:dyDescent="0.3">
      <c r="E117" s="18"/>
    </row>
    <row r="118" spans="5:5" x14ac:dyDescent="0.3">
      <c r="E118" s="18"/>
    </row>
    <row r="119" spans="5:5" x14ac:dyDescent="0.3">
      <c r="E119" s="18"/>
    </row>
    <row r="120" spans="5:5" x14ac:dyDescent="0.3">
      <c r="E120" s="18"/>
    </row>
    <row r="121" spans="5:5" x14ac:dyDescent="0.3">
      <c r="E121" s="18"/>
    </row>
    <row r="122" spans="5:5" x14ac:dyDescent="0.3">
      <c r="E122" s="18"/>
    </row>
    <row r="123" spans="5:5" x14ac:dyDescent="0.3">
      <c r="E123" s="18"/>
    </row>
    <row r="124" spans="5:5" x14ac:dyDescent="0.3">
      <c r="E124" s="18"/>
    </row>
    <row r="125" spans="5:5" x14ac:dyDescent="0.3">
      <c r="E125" s="18"/>
    </row>
    <row r="126" spans="5:5" x14ac:dyDescent="0.3">
      <c r="E126" s="18"/>
    </row>
    <row r="127" spans="5:5" x14ac:dyDescent="0.3">
      <c r="E127" s="18"/>
    </row>
    <row r="128" spans="5:5" x14ac:dyDescent="0.3">
      <c r="E128" s="18"/>
    </row>
    <row r="129" spans="5:5" x14ac:dyDescent="0.3">
      <c r="E129" s="18"/>
    </row>
    <row r="130" spans="5:5" x14ac:dyDescent="0.3">
      <c r="E130" s="18"/>
    </row>
    <row r="131" spans="5:5" x14ac:dyDescent="0.3">
      <c r="E131" s="18"/>
    </row>
    <row r="132" spans="5:5" x14ac:dyDescent="0.3">
      <c r="E132" s="18"/>
    </row>
    <row r="133" spans="5:5" x14ac:dyDescent="0.3">
      <c r="E133" s="18"/>
    </row>
    <row r="134" spans="5:5" x14ac:dyDescent="0.3">
      <c r="E134" s="18"/>
    </row>
    <row r="135" spans="5:5" x14ac:dyDescent="0.3">
      <c r="E135" s="18"/>
    </row>
    <row r="136" spans="5:5" x14ac:dyDescent="0.3">
      <c r="E136" s="18"/>
    </row>
    <row r="137" spans="5:5" x14ac:dyDescent="0.3">
      <c r="E137" s="18"/>
    </row>
    <row r="138" spans="5:5" x14ac:dyDescent="0.3">
      <c r="E138" s="18"/>
    </row>
    <row r="139" spans="5:5" x14ac:dyDescent="0.3">
      <c r="E139" s="18"/>
    </row>
    <row r="140" spans="5:5" x14ac:dyDescent="0.3">
      <c r="E140" s="18"/>
    </row>
    <row r="141" spans="5:5" x14ac:dyDescent="0.3">
      <c r="E141" s="18"/>
    </row>
    <row r="142" spans="5:5" x14ac:dyDescent="0.3">
      <c r="E142" s="18"/>
    </row>
    <row r="143" spans="5:5" x14ac:dyDescent="0.3">
      <c r="E143" s="18"/>
    </row>
    <row r="144" spans="5:5" x14ac:dyDescent="0.3">
      <c r="E144" s="18"/>
    </row>
    <row r="145" spans="5:5" x14ac:dyDescent="0.3">
      <c r="E145" s="18"/>
    </row>
    <row r="146" spans="5:5" x14ac:dyDescent="0.3">
      <c r="E146" s="18"/>
    </row>
    <row r="147" spans="5:5" x14ac:dyDescent="0.3">
      <c r="E147" s="18"/>
    </row>
    <row r="148" spans="5:5" x14ac:dyDescent="0.3">
      <c r="E148" s="18"/>
    </row>
    <row r="149" spans="5:5" x14ac:dyDescent="0.3">
      <c r="E149" s="18"/>
    </row>
    <row r="150" spans="5:5" x14ac:dyDescent="0.3">
      <c r="E150" s="18"/>
    </row>
    <row r="151" spans="5:5" x14ac:dyDescent="0.3">
      <c r="E151" s="18"/>
    </row>
    <row r="152" spans="5:5" x14ac:dyDescent="0.3">
      <c r="E152" s="18"/>
    </row>
    <row r="153" spans="5:5" x14ac:dyDescent="0.3">
      <c r="E153" s="18"/>
    </row>
    <row r="154" spans="5:5" x14ac:dyDescent="0.3">
      <c r="E154" s="18"/>
    </row>
    <row r="155" spans="5:5" x14ac:dyDescent="0.3">
      <c r="E155" s="18"/>
    </row>
    <row r="156" spans="5:5" x14ac:dyDescent="0.3">
      <c r="E156" s="18"/>
    </row>
    <row r="157" spans="5:5" x14ac:dyDescent="0.3">
      <c r="E157" s="18"/>
    </row>
    <row r="158" spans="5:5" x14ac:dyDescent="0.3">
      <c r="E158" s="18"/>
    </row>
    <row r="159" spans="5:5" x14ac:dyDescent="0.3">
      <c r="E159" s="18"/>
    </row>
    <row r="160" spans="5:5" x14ac:dyDescent="0.3">
      <c r="E160" s="18"/>
    </row>
    <row r="161" spans="5:5" x14ac:dyDescent="0.3">
      <c r="E161" s="18"/>
    </row>
    <row r="162" spans="5:5" x14ac:dyDescent="0.3">
      <c r="E162" s="18"/>
    </row>
    <row r="163" spans="5:5" x14ac:dyDescent="0.3">
      <c r="E163" s="18"/>
    </row>
    <row r="164" spans="5:5" x14ac:dyDescent="0.3">
      <c r="E164" s="18"/>
    </row>
    <row r="165" spans="5:5" x14ac:dyDescent="0.3">
      <c r="E165" s="18"/>
    </row>
    <row r="166" spans="5:5" x14ac:dyDescent="0.3">
      <c r="E166" s="18"/>
    </row>
    <row r="167" spans="5:5" x14ac:dyDescent="0.3">
      <c r="E167" s="18"/>
    </row>
    <row r="168" spans="5:5" x14ac:dyDescent="0.3">
      <c r="E168" s="18"/>
    </row>
    <row r="169" spans="5:5" x14ac:dyDescent="0.3">
      <c r="E169" s="18"/>
    </row>
    <row r="170" spans="5:5" x14ac:dyDescent="0.3">
      <c r="E170" s="18"/>
    </row>
    <row r="171" spans="5:5" x14ac:dyDescent="0.3">
      <c r="E171" s="18"/>
    </row>
  </sheetData>
  <autoFilter ref="B7:Q77" xr:uid="{00000000-0009-0000-0000-000004000000}">
    <filterColumn colId="14" showButton="0"/>
  </autoFilter>
  <mergeCells count="14">
    <mergeCell ref="B2:C3"/>
    <mergeCell ref="B79:C79"/>
    <mergeCell ref="F5:G5"/>
    <mergeCell ref="G6:G7"/>
    <mergeCell ref="P5:Q7"/>
    <mergeCell ref="I6:I7"/>
    <mergeCell ref="B5:B7"/>
    <mergeCell ref="C5:C7"/>
    <mergeCell ref="D5:E5"/>
    <mergeCell ref="H5:I5"/>
    <mergeCell ref="O5:O7"/>
    <mergeCell ref="D6:E6"/>
    <mergeCell ref="J5:L6"/>
    <mergeCell ref="M5:M7"/>
  </mergeCells>
  <phoneticPr fontId="14" type="noConversion"/>
  <conditionalFormatting sqref="J8:J77">
    <cfRule type="cellIs" dxfId="20" priority="1" operator="greaterThanOrEqual">
      <formula>1.75</formula>
    </cfRule>
  </conditionalFormatting>
  <conditionalFormatting sqref="C8:C77">
    <cfRule type="duplicateValues" dxfId="19" priority="48"/>
  </conditionalFormatting>
  <pageMargins left="0.7" right="0.7" top="0.75" bottom="0.75" header="0.3" footer="0.3"/>
  <pageSetup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5483D15-0724-4411-AD7E-FCEEB5A0A562}">
          <x14:formula1>
            <xm:f>'list rate unit'!$B$6:$B$26</xm:f>
          </x14:formula1>
          <xm:sqref>P1:P1048576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1"/>
  </sheetPr>
  <dimension ref="B2:L41"/>
  <sheetViews>
    <sheetView workbookViewId="0">
      <pane xSplit="3" ySplit="7" topLeftCell="D23" activePane="bottomRight" state="frozenSplit"/>
      <selection pane="topRight" activeCell="C1" sqref="C1"/>
      <selection pane="bottomLeft" activeCell="A7" sqref="A7"/>
      <selection pane="bottomRight" activeCell="H22" sqref="H22"/>
    </sheetView>
  </sheetViews>
  <sheetFormatPr defaultColWidth="9.109375" defaultRowHeight="13.8" x14ac:dyDescent="0.3"/>
  <cols>
    <col min="1" max="1" width="9.109375" style="15"/>
    <col min="2" max="2" width="11.5546875" style="15" customWidth="1"/>
    <col min="3" max="3" width="25.109375" style="15" bestFit="1" customWidth="1"/>
    <col min="4" max="4" width="19.5546875" style="15" customWidth="1"/>
    <col min="5" max="5" width="12.6640625" style="15" customWidth="1"/>
    <col min="6" max="6" width="18.6640625" style="15" customWidth="1"/>
    <col min="7" max="7" width="11" style="15" customWidth="1"/>
    <col min="8" max="8" width="20.77734375" style="15" customWidth="1"/>
    <col min="9" max="9" width="11" style="15" customWidth="1"/>
    <col min="10" max="10" width="18.5546875" style="15" customWidth="1"/>
    <col min="11" max="11" width="16.44140625" style="15" bestFit="1" customWidth="1"/>
    <col min="12" max="12" width="25.109375" style="15" bestFit="1" customWidth="1"/>
    <col min="13" max="16384" width="9.109375" style="15"/>
  </cols>
  <sheetData>
    <row r="2" spans="2:12" x14ac:dyDescent="0.3">
      <c r="B2" s="204" t="s">
        <v>83</v>
      </c>
      <c r="C2" s="204"/>
    </row>
    <row r="3" spans="2:12" x14ac:dyDescent="0.3">
      <c r="B3" s="204"/>
      <c r="C3" s="204"/>
    </row>
    <row r="5" spans="2:12" ht="15" customHeight="1" x14ac:dyDescent="0.3">
      <c r="B5" s="201" t="s">
        <v>1</v>
      </c>
      <c r="C5" s="201" t="s">
        <v>88</v>
      </c>
      <c r="D5" s="201" t="s">
        <v>91</v>
      </c>
      <c r="E5" s="203" t="s">
        <v>37</v>
      </c>
      <c r="F5" s="203"/>
      <c r="G5" s="201" t="s">
        <v>90</v>
      </c>
      <c r="H5" s="205" t="s">
        <v>82</v>
      </c>
      <c r="I5" s="31"/>
      <c r="J5" s="201" t="s">
        <v>47</v>
      </c>
      <c r="K5" s="201" t="s">
        <v>89</v>
      </c>
      <c r="L5" s="201"/>
    </row>
    <row r="6" spans="2:12" ht="15" customHeight="1" x14ac:dyDescent="0.3">
      <c r="B6" s="201"/>
      <c r="C6" s="201"/>
      <c r="D6" s="201"/>
      <c r="E6" s="39" t="s">
        <v>27</v>
      </c>
      <c r="F6" s="201" t="s">
        <v>28</v>
      </c>
      <c r="G6" s="201"/>
      <c r="H6" s="205"/>
      <c r="I6" s="31"/>
      <c r="J6" s="201"/>
      <c r="K6" s="201"/>
      <c r="L6" s="201"/>
    </row>
    <row r="7" spans="2:12" x14ac:dyDescent="0.3">
      <c r="B7" s="201"/>
      <c r="C7" s="201"/>
      <c r="D7" s="39" t="s">
        <v>45</v>
      </c>
      <c r="E7" s="39" t="s">
        <v>32</v>
      </c>
      <c r="F7" s="201"/>
      <c r="G7" s="39" t="s">
        <v>53</v>
      </c>
      <c r="H7" s="205"/>
      <c r="I7" s="31"/>
      <c r="J7" s="201"/>
      <c r="K7" s="201"/>
      <c r="L7" s="201"/>
    </row>
    <row r="8" spans="2:12" x14ac:dyDescent="0.3">
      <c r="B8" s="41">
        <v>1</v>
      </c>
      <c r="C8" s="41" t="s">
        <v>271</v>
      </c>
      <c r="D8" s="44">
        <f>IFERROR(VLOOKUP(K8,'list rate unit'!$B$6:$K$27,10,FALSE),0)</f>
        <v>8000000</v>
      </c>
      <c r="E8" s="42">
        <v>106</v>
      </c>
      <c r="F8" s="44">
        <f t="shared" ref="F8:F35" si="0">E8*$C$40</f>
        <v>1219000</v>
      </c>
      <c r="G8" s="42"/>
      <c r="H8" s="45">
        <f>D8+F8</f>
        <v>9219000</v>
      </c>
      <c r="I8" s="18"/>
      <c r="J8" s="41"/>
      <c r="K8" s="41" t="str">
        <f>VLOOKUP(L8,'list rate unit'!O:P,2,FALSE)</f>
        <v>LV</v>
      </c>
      <c r="L8" s="41" t="str">
        <f t="shared" ref="L8" si="1">C8</f>
        <v>LV PAJERO PUTIH - 06</v>
      </c>
    </row>
    <row r="9" spans="2:12" x14ac:dyDescent="0.3">
      <c r="B9" s="41">
        <v>2</v>
      </c>
      <c r="C9" s="41" t="s">
        <v>272</v>
      </c>
      <c r="D9" s="44">
        <f>IFERROR(VLOOKUP(K9,'list rate unit'!$B$6:$K$27,10,FALSE),0)</f>
        <v>8000000</v>
      </c>
      <c r="E9" s="42">
        <v>287</v>
      </c>
      <c r="F9" s="44">
        <f t="shared" si="0"/>
        <v>3300500</v>
      </c>
      <c r="G9" s="42"/>
      <c r="H9" s="45">
        <f t="shared" ref="H9" si="2">D9+F9</f>
        <v>11300500</v>
      </c>
      <c r="I9" s="18"/>
      <c r="J9" s="41"/>
      <c r="K9" s="41" t="str">
        <f>VLOOKUP(L9,'list rate unit'!O:P,2,FALSE)</f>
        <v>LV</v>
      </c>
      <c r="L9" s="41" t="str">
        <f t="shared" ref="L9:L34" si="3">C9</f>
        <v>LV TRITON HITAM - 08</v>
      </c>
    </row>
    <row r="10" spans="2:12" x14ac:dyDescent="0.3">
      <c r="B10" s="41">
        <v>3</v>
      </c>
      <c r="C10" s="41" t="s">
        <v>273</v>
      </c>
      <c r="D10" s="44">
        <f>IFERROR(VLOOKUP(K10,'list rate unit'!$B$6:$K$27,10,FALSE),0)</f>
        <v>8000000</v>
      </c>
      <c r="E10" s="42">
        <v>246</v>
      </c>
      <c r="F10" s="44">
        <f t="shared" si="0"/>
        <v>2829000</v>
      </c>
      <c r="G10" s="42"/>
      <c r="H10" s="45">
        <f t="shared" ref="H10" si="4">D10+F10</f>
        <v>10829000</v>
      </c>
      <c r="I10" s="18"/>
      <c r="J10" s="41"/>
      <c r="K10" s="41" t="str">
        <f>VLOOKUP(L10,'list rate unit'!O:P,2,FALSE)</f>
        <v>LV</v>
      </c>
      <c r="L10" s="41" t="str">
        <f t="shared" si="3"/>
        <v>LV PAJERO PUTIH - 09</v>
      </c>
    </row>
    <row r="11" spans="2:12" x14ac:dyDescent="0.3">
      <c r="B11" s="41">
        <v>4</v>
      </c>
      <c r="C11" s="41" t="s">
        <v>286</v>
      </c>
      <c r="D11" s="44">
        <f>IFERROR(VLOOKUP(K11,'list rate unit'!$B$6:$K$27,10,FALSE),0)</f>
        <v>8000000</v>
      </c>
      <c r="E11" s="42">
        <v>256</v>
      </c>
      <c r="F11" s="44">
        <f t="shared" si="0"/>
        <v>2944000</v>
      </c>
      <c r="G11" s="42"/>
      <c r="H11" s="45">
        <f t="shared" ref="H11:H34" si="5">D11+F11</f>
        <v>10944000</v>
      </c>
      <c r="I11" s="18"/>
      <c r="J11" s="41"/>
      <c r="K11" s="41" t="str">
        <f>VLOOKUP(L11,'list rate unit'!O:P,2,FALSE)</f>
        <v>LV</v>
      </c>
      <c r="L11" s="41" t="str">
        <f t="shared" si="3"/>
        <v>LV HILUX SILVER - 10</v>
      </c>
    </row>
    <row r="12" spans="2:12" x14ac:dyDescent="0.3">
      <c r="B12" s="41">
        <v>5</v>
      </c>
      <c r="C12" s="41" t="s">
        <v>340</v>
      </c>
      <c r="D12" s="44">
        <f>IFERROR(VLOOKUP(K12,'list rate unit'!$B$6:$K$27,10,FALSE),0)</f>
        <v>8000000</v>
      </c>
      <c r="E12" s="42">
        <v>20</v>
      </c>
      <c r="F12" s="44">
        <f t="shared" si="0"/>
        <v>230000</v>
      </c>
      <c r="G12" s="42"/>
      <c r="H12" s="45">
        <f t="shared" si="5"/>
        <v>8230000</v>
      </c>
      <c r="I12" s="18"/>
      <c r="J12" s="41"/>
      <c r="K12" s="41" t="str">
        <f>VLOOKUP(L12,'list rate unit'!O:P,2,FALSE)</f>
        <v>LV</v>
      </c>
      <c r="L12" s="41" t="str">
        <f t="shared" si="3"/>
        <v>LV TRITON HITAM - 10</v>
      </c>
    </row>
    <row r="13" spans="2:12" x14ac:dyDescent="0.3">
      <c r="B13" s="41">
        <v>6</v>
      </c>
      <c r="C13" s="41" t="s">
        <v>269</v>
      </c>
      <c r="D13" s="44">
        <f>IFERROR(VLOOKUP(K13,'list rate unit'!$B$6:$K$27,10,FALSE),0)</f>
        <v>8000000</v>
      </c>
      <c r="E13" s="42">
        <v>256</v>
      </c>
      <c r="F13" s="44">
        <f t="shared" si="0"/>
        <v>2944000</v>
      </c>
      <c r="G13" s="42"/>
      <c r="H13" s="45">
        <f t="shared" si="5"/>
        <v>10944000</v>
      </c>
      <c r="I13" s="18"/>
      <c r="J13" s="41"/>
      <c r="K13" s="41" t="str">
        <f>VLOOKUP(L13,'list rate unit'!O:P,2,FALSE)</f>
        <v>LV</v>
      </c>
      <c r="L13" s="41" t="str">
        <f t="shared" si="3"/>
        <v>LV TRITON PUTIH - 11</v>
      </c>
    </row>
    <row r="14" spans="2:12" x14ac:dyDescent="0.3">
      <c r="B14" s="41">
        <v>7</v>
      </c>
      <c r="C14" s="41" t="s">
        <v>320</v>
      </c>
      <c r="D14" s="44">
        <f>IFERROR(VLOOKUP(K14,'list rate unit'!$B$6:$K$27,10,FALSE),0)</f>
        <v>8000000</v>
      </c>
      <c r="E14" s="42">
        <v>293</v>
      </c>
      <c r="F14" s="44">
        <f t="shared" si="0"/>
        <v>3369500</v>
      </c>
      <c r="G14" s="42"/>
      <c r="H14" s="45">
        <f t="shared" si="5"/>
        <v>11369500</v>
      </c>
      <c r="I14" s="18"/>
      <c r="J14" s="41"/>
      <c r="K14" s="41" t="str">
        <f>VLOOKUP(L14,'list rate unit'!O:P,2,FALSE)</f>
        <v>LV</v>
      </c>
      <c r="L14" s="41" t="str">
        <f t="shared" si="3"/>
        <v>LV TRITON PUTIH - 12</v>
      </c>
    </row>
    <row r="15" spans="2:12" x14ac:dyDescent="0.3">
      <c r="B15" s="41">
        <v>8</v>
      </c>
      <c r="C15" s="41" t="s">
        <v>321</v>
      </c>
      <c r="D15" s="44">
        <f>IFERROR(VLOOKUP(K15,'list rate unit'!$B$6:$K$27,10,FALSE),0)</f>
        <v>8000000</v>
      </c>
      <c r="E15" s="42">
        <v>342</v>
      </c>
      <c r="F15" s="44">
        <f t="shared" si="0"/>
        <v>3933000</v>
      </c>
      <c r="G15" s="42"/>
      <c r="H15" s="45">
        <f t="shared" ref="H15:H31" si="6">D15+F15</f>
        <v>11933000</v>
      </c>
      <c r="I15" s="18"/>
      <c r="J15" s="41"/>
      <c r="K15" s="41" t="str">
        <f>VLOOKUP(L15,'list rate unit'!O:P,2,FALSE)</f>
        <v>LV</v>
      </c>
      <c r="L15" s="41" t="str">
        <f t="shared" si="3"/>
        <v>LV HILUX SILVER - 17</v>
      </c>
    </row>
    <row r="16" spans="2:12" x14ac:dyDescent="0.3">
      <c r="B16" s="41">
        <v>9</v>
      </c>
      <c r="C16" s="41" t="s">
        <v>322</v>
      </c>
      <c r="D16" s="44">
        <f>IFERROR(VLOOKUP(K16,'list rate unit'!$B$6:$K$27,10,FALSE),0)</f>
        <v>8000000</v>
      </c>
      <c r="E16" s="42">
        <v>77</v>
      </c>
      <c r="F16" s="44">
        <f t="shared" si="0"/>
        <v>885500</v>
      </c>
      <c r="G16" s="42"/>
      <c r="H16" s="45">
        <f t="shared" si="6"/>
        <v>8885500</v>
      </c>
      <c r="I16" s="18"/>
      <c r="J16" s="41"/>
      <c r="K16" s="41" t="str">
        <f>VLOOKUP(L16,'list rate unit'!O:P,2,FALSE)</f>
        <v>LV</v>
      </c>
      <c r="L16" s="41" t="str">
        <f t="shared" si="3"/>
        <v>LV HILUX HITAM - 18</v>
      </c>
    </row>
    <row r="17" spans="2:12" x14ac:dyDescent="0.3">
      <c r="B17" s="41">
        <v>10</v>
      </c>
      <c r="C17" s="41" t="s">
        <v>323</v>
      </c>
      <c r="D17" s="44">
        <f>IFERROR(VLOOKUP(K17,'list rate unit'!$B$6:$K$27,10,FALSE),0)</f>
        <v>8000000</v>
      </c>
      <c r="E17" s="42">
        <v>218</v>
      </c>
      <c r="F17" s="44">
        <f t="shared" si="0"/>
        <v>2507000</v>
      </c>
      <c r="G17" s="42"/>
      <c r="H17" s="45">
        <f t="shared" si="6"/>
        <v>10507000</v>
      </c>
      <c r="I17" s="18"/>
      <c r="J17" s="41"/>
      <c r="K17" s="41" t="str">
        <f>VLOOKUP(L17,'list rate unit'!O:P,2,FALSE)</f>
        <v>LV</v>
      </c>
      <c r="L17" s="41" t="str">
        <f t="shared" si="3"/>
        <v>LV HILUX SILVER - 19</v>
      </c>
    </row>
    <row r="18" spans="2:12" x14ac:dyDescent="0.3">
      <c r="B18" s="41">
        <v>11</v>
      </c>
      <c r="C18" s="41" t="s">
        <v>351</v>
      </c>
      <c r="D18" s="44">
        <f>IFERROR(VLOOKUP(K18,'list rate unit'!$B$6:$K$27,10,FALSE),0)</f>
        <v>8000000</v>
      </c>
      <c r="E18" s="42">
        <v>168</v>
      </c>
      <c r="F18" s="44">
        <f t="shared" si="0"/>
        <v>1932000</v>
      </c>
      <c r="G18" s="42"/>
      <c r="H18" s="45">
        <f t="shared" si="6"/>
        <v>9932000</v>
      </c>
      <c r="I18" s="18"/>
      <c r="J18" s="41"/>
      <c r="K18" s="41" t="str">
        <f>VLOOKUP(L18,'list rate unit'!O:P,2,FALSE)</f>
        <v>LV</v>
      </c>
      <c r="L18" s="41" t="str">
        <f t="shared" si="3"/>
        <v>LV PAJERO SILVER - 21</v>
      </c>
    </row>
    <row r="19" spans="2:12" x14ac:dyDescent="0.3">
      <c r="B19" s="41">
        <v>12</v>
      </c>
      <c r="C19" s="41" t="s">
        <v>270</v>
      </c>
      <c r="D19" s="44">
        <f>IFERROR(VLOOKUP(K19,'list rate unit'!$B$6:$K$27,10,FALSE),0)</f>
        <v>8000000</v>
      </c>
      <c r="E19" s="42">
        <v>328</v>
      </c>
      <c r="F19" s="44">
        <f t="shared" si="0"/>
        <v>3772000</v>
      </c>
      <c r="G19" s="42"/>
      <c r="H19" s="45">
        <f t="shared" si="6"/>
        <v>11772000</v>
      </c>
      <c r="I19" s="18"/>
      <c r="J19" s="41"/>
      <c r="K19" s="41" t="str">
        <f>VLOOKUP(L19,'list rate unit'!O:P,2,FALSE)</f>
        <v>LV</v>
      </c>
      <c r="L19" s="41" t="str">
        <f t="shared" si="3"/>
        <v>LV HILUX PUTIH - 23</v>
      </c>
    </row>
    <row r="20" spans="2:12" x14ac:dyDescent="0.3">
      <c r="B20" s="41">
        <v>13</v>
      </c>
      <c r="C20" s="41" t="s">
        <v>362</v>
      </c>
      <c r="D20" s="44">
        <f>IFERROR(VLOOKUP(K20,'list rate unit'!$B$6:$K$27,10,FALSE),0)</f>
        <v>8000000</v>
      </c>
      <c r="E20" s="42">
        <v>80</v>
      </c>
      <c r="F20" s="44">
        <f t="shared" si="0"/>
        <v>920000</v>
      </c>
      <c r="G20" s="42"/>
      <c r="H20" s="45">
        <f t="shared" si="6"/>
        <v>8920000</v>
      </c>
      <c r="I20" s="18"/>
      <c r="J20" s="41"/>
      <c r="K20" s="41" t="str">
        <f>VLOOKUP(L20,'list rate unit'!O:P,2,FALSE)</f>
        <v>LV</v>
      </c>
      <c r="L20" s="41" t="str">
        <f t="shared" si="3"/>
        <v>LV LC-SILVER - 24</v>
      </c>
    </row>
    <row r="21" spans="2:12" x14ac:dyDescent="0.3">
      <c r="B21" s="41">
        <v>14</v>
      </c>
      <c r="C21" s="41" t="s">
        <v>324</v>
      </c>
      <c r="D21" s="44">
        <f>IFERROR(VLOOKUP(K21,'list rate unit'!$B$6:$K$27,10,FALSE),0)</f>
        <v>8000000</v>
      </c>
      <c r="E21" s="42">
        <v>184</v>
      </c>
      <c r="F21" s="44">
        <f t="shared" si="0"/>
        <v>2116000</v>
      </c>
      <c r="G21" s="42"/>
      <c r="H21" s="45">
        <f t="shared" si="6"/>
        <v>10116000</v>
      </c>
      <c r="I21" s="18"/>
      <c r="J21" s="41"/>
      <c r="K21" s="41" t="str">
        <f>VLOOKUP(L21,'list rate unit'!O:P,2,FALSE)</f>
        <v>LV</v>
      </c>
      <c r="L21" s="41" t="str">
        <f t="shared" si="3"/>
        <v>LV TRITON PUTIH - 27</v>
      </c>
    </row>
    <row r="22" spans="2:12" x14ac:dyDescent="0.3">
      <c r="B22" s="41">
        <v>15</v>
      </c>
      <c r="C22" s="41" t="s">
        <v>347</v>
      </c>
      <c r="D22" s="44">
        <f>IFERROR(VLOOKUP(K22,'list rate unit'!$B$6:$K$27,10,FALSE),0)</f>
        <v>8000000</v>
      </c>
      <c r="E22" s="42">
        <v>140</v>
      </c>
      <c r="F22" s="44">
        <f t="shared" si="0"/>
        <v>1610000</v>
      </c>
      <c r="G22" s="42"/>
      <c r="H22" s="45">
        <f t="shared" si="6"/>
        <v>9610000</v>
      </c>
      <c r="I22" s="18"/>
      <c r="J22" s="41"/>
      <c r="K22" s="41" t="str">
        <f>VLOOKUP(L22,'list rate unit'!O:P,2,FALSE)</f>
        <v>LV</v>
      </c>
      <c r="L22" s="41" t="str">
        <f t="shared" si="3"/>
        <v>LV LC-HIJAU - 29</v>
      </c>
    </row>
    <row r="23" spans="2:12" x14ac:dyDescent="0.3">
      <c r="B23" s="41">
        <v>16</v>
      </c>
      <c r="C23" s="41" t="s">
        <v>298</v>
      </c>
      <c r="D23" s="44">
        <f>IFERROR(VLOOKUP(K23,'list rate unit'!$B$6:$K$27,10,FALSE),0)</f>
        <v>8000000</v>
      </c>
      <c r="E23" s="42">
        <v>193</v>
      </c>
      <c r="F23" s="44">
        <f t="shared" si="0"/>
        <v>2219500</v>
      </c>
      <c r="G23" s="42"/>
      <c r="H23" s="45">
        <f t="shared" si="6"/>
        <v>10219500</v>
      </c>
      <c r="I23" s="18"/>
      <c r="J23" s="41"/>
      <c r="K23" s="41" t="str">
        <f>VLOOKUP(L23,'list rate unit'!O:P,2,FALSE)</f>
        <v>LV</v>
      </c>
      <c r="L23" s="41" t="str">
        <f t="shared" si="3"/>
        <v>LV TRITON PUTIH (SAFETY) - 30</v>
      </c>
    </row>
    <row r="24" spans="2:12" x14ac:dyDescent="0.3">
      <c r="B24" s="41">
        <v>17</v>
      </c>
      <c r="C24" s="41" t="s">
        <v>325</v>
      </c>
      <c r="D24" s="44">
        <f>IFERROR(VLOOKUP(K24,'list rate unit'!$B$6:$K$27,10,FALSE),0)</f>
        <v>8000000</v>
      </c>
      <c r="E24" s="42">
        <v>269</v>
      </c>
      <c r="F24" s="44">
        <f t="shared" si="0"/>
        <v>3093500</v>
      </c>
      <c r="G24" s="42"/>
      <c r="H24" s="45">
        <f t="shared" si="6"/>
        <v>11093500</v>
      </c>
      <c r="I24" s="18"/>
      <c r="J24" s="41"/>
      <c r="K24" s="41" t="str">
        <f>VLOOKUP(L24,'list rate unit'!O:P,2,FALSE)</f>
        <v>LV</v>
      </c>
      <c r="L24" s="41" t="str">
        <f t="shared" si="3"/>
        <v>LV TRITON PUTIH - 32</v>
      </c>
    </row>
    <row r="25" spans="2:12" x14ac:dyDescent="0.3">
      <c r="B25" s="41">
        <v>18</v>
      </c>
      <c r="C25" s="41" t="s">
        <v>274</v>
      </c>
      <c r="D25" s="44">
        <f>IFERROR(VLOOKUP(K25,'list rate unit'!$B$6:$K$27,10,FALSE),0)</f>
        <v>210000</v>
      </c>
      <c r="E25" s="42">
        <v>860</v>
      </c>
      <c r="F25" s="44">
        <f t="shared" si="0"/>
        <v>9890000</v>
      </c>
      <c r="G25" s="42"/>
      <c r="H25" s="45">
        <f t="shared" si="6"/>
        <v>10100000</v>
      </c>
      <c r="I25" s="18"/>
      <c r="J25" s="41"/>
      <c r="K25" s="41" t="str">
        <f>VLOOKUP(L25,'list rate unit'!O:P,2,FALSE)</f>
        <v>FM 260 Ti</v>
      </c>
      <c r="L25" s="41" t="str">
        <f t="shared" si="3"/>
        <v>MANHAUL - 02</v>
      </c>
    </row>
    <row r="26" spans="2:12" x14ac:dyDescent="0.3">
      <c r="B26" s="41">
        <v>19</v>
      </c>
      <c r="C26" s="41" t="s">
        <v>328</v>
      </c>
      <c r="D26" s="44">
        <f>IFERROR(VLOOKUP(K26,'list rate unit'!$B$6:$K$27,10,FALSE),0)</f>
        <v>12000000</v>
      </c>
      <c r="E26" s="42">
        <v>130</v>
      </c>
      <c r="F26" s="44">
        <f t="shared" si="0"/>
        <v>1495000</v>
      </c>
      <c r="G26" s="42"/>
      <c r="H26" s="45">
        <f t="shared" si="6"/>
        <v>13495000</v>
      </c>
      <c r="I26" s="18"/>
      <c r="J26" s="41"/>
      <c r="K26" s="41" t="str">
        <f>VLOOKUP(L26,'list rate unit'!O:P,2,FALSE)</f>
        <v>LT</v>
      </c>
      <c r="L26" s="41" t="str">
        <f t="shared" si="3"/>
        <v>BUS APP - 03</v>
      </c>
    </row>
    <row r="27" spans="2:12" x14ac:dyDescent="0.3">
      <c r="B27" s="41">
        <v>20</v>
      </c>
      <c r="C27" s="41" t="s">
        <v>276</v>
      </c>
      <c r="D27" s="44">
        <f>IFERROR(VLOOKUP(K27,'list rate unit'!$B$6:$K$27,10,FALSE),0)</f>
        <v>210000</v>
      </c>
      <c r="E27" s="42">
        <v>1223</v>
      </c>
      <c r="F27" s="44">
        <f t="shared" si="0"/>
        <v>14064500</v>
      </c>
      <c r="G27" s="42"/>
      <c r="H27" s="45">
        <f t="shared" si="6"/>
        <v>14274500</v>
      </c>
      <c r="I27" s="18"/>
      <c r="J27" s="41"/>
      <c r="K27" s="41" t="str">
        <f>VLOOKUP(L27,'list rate unit'!O:P,2,FALSE)</f>
        <v>FM 260 Ti</v>
      </c>
      <c r="L27" s="41" t="str">
        <f t="shared" si="3"/>
        <v>FUEL TRUCK - 05</v>
      </c>
    </row>
    <row r="28" spans="2:12" x14ac:dyDescent="0.3">
      <c r="B28" s="41">
        <v>21</v>
      </c>
      <c r="C28" s="41" t="s">
        <v>350</v>
      </c>
      <c r="D28" s="44">
        <f>IFERROR(VLOOKUP(K28,'list rate unit'!$B$6:$K$27,10,FALSE),0)</f>
        <v>210000</v>
      </c>
      <c r="E28" s="42">
        <v>938</v>
      </c>
      <c r="F28" s="44">
        <f t="shared" si="0"/>
        <v>10787000</v>
      </c>
      <c r="G28" s="42"/>
      <c r="H28" s="45">
        <f t="shared" si="6"/>
        <v>10997000</v>
      </c>
      <c r="I28" s="18"/>
      <c r="J28" s="41"/>
      <c r="K28" s="41" t="str">
        <f>VLOOKUP(L28,'list rate unit'!O:P,2,FALSE)</f>
        <v>FM 260 Ti</v>
      </c>
      <c r="L28" s="41" t="str">
        <f t="shared" si="3"/>
        <v>FUEL TRUCK - 06</v>
      </c>
    </row>
    <row r="29" spans="2:12" x14ac:dyDescent="0.3">
      <c r="B29" s="41">
        <v>22</v>
      </c>
      <c r="C29" s="41" t="s">
        <v>341</v>
      </c>
      <c r="D29" s="44">
        <f>IFERROR(VLOOKUP(K29,'list rate unit'!$B$6:$K$27,10,FALSE),0)</f>
        <v>12000000</v>
      </c>
      <c r="E29" s="42">
        <v>52</v>
      </c>
      <c r="F29" s="44">
        <f t="shared" si="0"/>
        <v>598000</v>
      </c>
      <c r="G29" s="42"/>
      <c r="H29" s="45">
        <f t="shared" si="6"/>
        <v>12598000</v>
      </c>
      <c r="I29" s="18"/>
      <c r="J29" s="41"/>
      <c r="K29" s="41" t="str">
        <f>VLOOKUP(L29,'list rate unit'!O:P,2,FALSE)</f>
        <v>LT</v>
      </c>
      <c r="L29" s="41" t="str">
        <f t="shared" si="3"/>
        <v>TRUCK WELDER - LT-04</v>
      </c>
    </row>
    <row r="30" spans="2:12" x14ac:dyDescent="0.3">
      <c r="B30" s="41">
        <v>23</v>
      </c>
      <c r="C30" s="41" t="s">
        <v>277</v>
      </c>
      <c r="D30" s="44">
        <f>IFERROR(VLOOKUP(K30,'list rate unit'!$B$6:$K$27,10,FALSE),0)</f>
        <v>12000000</v>
      </c>
      <c r="E30" s="42">
        <v>167</v>
      </c>
      <c r="F30" s="44">
        <f t="shared" si="0"/>
        <v>1920500</v>
      </c>
      <c r="G30" s="42"/>
      <c r="H30" s="45">
        <f t="shared" si="6"/>
        <v>13920500</v>
      </c>
      <c r="I30" s="18"/>
      <c r="J30" s="41"/>
      <c r="K30" s="41" t="str">
        <f>VLOOKUP(L30,'list rate unit'!O:P,2,FALSE)</f>
        <v>LT</v>
      </c>
      <c r="L30" s="41" t="str">
        <f t="shared" si="3"/>
        <v>TRUCK TYRE - LT-08</v>
      </c>
    </row>
    <row r="31" spans="2:12" x14ac:dyDescent="0.3">
      <c r="B31" s="41">
        <v>24</v>
      </c>
      <c r="C31" s="41" t="s">
        <v>278</v>
      </c>
      <c r="D31" s="44">
        <f>IFERROR(VLOOKUP(K31,'list rate unit'!$B$6:$K$27,10,FALSE),0)</f>
        <v>12000000</v>
      </c>
      <c r="E31" s="42">
        <v>205</v>
      </c>
      <c r="F31" s="44">
        <f t="shared" si="0"/>
        <v>2357500</v>
      </c>
      <c r="G31" s="42"/>
      <c r="H31" s="45">
        <f t="shared" si="6"/>
        <v>14357500</v>
      </c>
      <c r="I31" s="18"/>
      <c r="J31" s="41"/>
      <c r="K31" s="41" t="str">
        <f>VLOOKUP(L31,'list rate unit'!O:P,2,FALSE)</f>
        <v>LT</v>
      </c>
      <c r="L31" s="41" t="str">
        <f t="shared" si="3"/>
        <v>TRUCK MAINTENANCE - LT-09</v>
      </c>
    </row>
    <row r="32" spans="2:12" x14ac:dyDescent="0.3">
      <c r="B32" s="41">
        <v>25</v>
      </c>
      <c r="C32" s="41" t="s">
        <v>329</v>
      </c>
      <c r="D32" s="44">
        <f>IFERROR(VLOOKUP(K32,'list rate unit'!$B$6:$K$27,10,FALSE),0)</f>
        <v>12000000</v>
      </c>
      <c r="E32" s="42">
        <v>213</v>
      </c>
      <c r="F32" s="44">
        <f t="shared" si="0"/>
        <v>2449500</v>
      </c>
      <c r="G32" s="42"/>
      <c r="H32" s="45">
        <f t="shared" si="5"/>
        <v>14449500</v>
      </c>
      <c r="I32" s="18"/>
      <c r="J32" s="41"/>
      <c r="K32" s="41" t="str">
        <f>VLOOKUP(L32,'list rate unit'!O:P,2,FALSE)</f>
        <v>LT</v>
      </c>
      <c r="L32" s="41" t="str">
        <f t="shared" si="3"/>
        <v>TRUCK TYRE - LT-10</v>
      </c>
    </row>
    <row r="33" spans="2:12" x14ac:dyDescent="0.3">
      <c r="B33" s="41">
        <v>26</v>
      </c>
      <c r="C33" s="41" t="s">
        <v>343</v>
      </c>
      <c r="D33" s="44">
        <f>IFERROR(VLOOKUP(K33,'list rate unit'!$B$6:$K$27,10,FALSE),0)</f>
        <v>0</v>
      </c>
      <c r="E33" s="42">
        <v>212</v>
      </c>
      <c r="F33" s="44">
        <f t="shared" si="0"/>
        <v>2438000</v>
      </c>
      <c r="G33" s="42"/>
      <c r="H33" s="45">
        <f t="shared" si="5"/>
        <v>2438000</v>
      </c>
      <c r="I33" s="18"/>
      <c r="J33" s="41"/>
      <c r="K33" s="41">
        <f>VLOOKUP(L33,'list rate unit'!O:P,2,FALSE)</f>
        <v>0</v>
      </c>
      <c r="L33" s="41" t="str">
        <f t="shared" si="3"/>
        <v>MEKANIK CAMP</v>
      </c>
    </row>
    <row r="34" spans="2:12" x14ac:dyDescent="0.3">
      <c r="B34" s="41">
        <v>27</v>
      </c>
      <c r="C34" s="41" t="s">
        <v>406</v>
      </c>
      <c r="D34" s="44">
        <f>IFERROR(VLOOKUP(K34,'list rate unit'!$B$6:$K$27,10,FALSE),0)</f>
        <v>12000000</v>
      </c>
      <c r="E34" s="42">
        <v>21</v>
      </c>
      <c r="F34" s="44">
        <f t="shared" si="0"/>
        <v>241500</v>
      </c>
      <c r="G34" s="42"/>
      <c r="H34" s="45">
        <f t="shared" si="5"/>
        <v>12241500</v>
      </c>
      <c r="I34" s="18"/>
      <c r="J34" s="41"/>
      <c r="K34" s="41" t="str">
        <f>VLOOKUP(L34,'list rate unit'!O:P,2,FALSE)</f>
        <v>LT</v>
      </c>
      <c r="L34" s="41" t="str">
        <f t="shared" si="3"/>
        <v>WELDER CAR</v>
      </c>
    </row>
    <row r="35" spans="2:12" x14ac:dyDescent="0.3">
      <c r="B35" s="41">
        <v>28</v>
      </c>
      <c r="C35" s="41" t="s">
        <v>358</v>
      </c>
      <c r="D35" s="44">
        <f>IFERROR(VLOOKUP(K35,'list rate unit'!$B$6:$K$27,10,FALSE),0)</f>
        <v>0</v>
      </c>
      <c r="E35" s="42">
        <v>56</v>
      </c>
      <c r="F35" s="44">
        <f t="shared" si="0"/>
        <v>644000</v>
      </c>
      <c r="G35" s="42"/>
      <c r="H35" s="45">
        <f t="shared" ref="H35" si="7">D35+F35</f>
        <v>644000</v>
      </c>
      <c r="I35" s="18"/>
      <c r="J35" s="41"/>
      <c r="K35" s="41">
        <f>VLOOKUP(L35,'list rate unit'!O:P,2,FALSE)</f>
        <v>0</v>
      </c>
      <c r="L35" s="41" t="str">
        <f t="shared" ref="L35" si="8">C35</f>
        <v>Kompresor Tyre</v>
      </c>
    </row>
    <row r="36" spans="2:12" x14ac:dyDescent="0.3">
      <c r="D36" s="30"/>
      <c r="E36" s="18"/>
      <c r="F36" s="30"/>
      <c r="G36" s="18"/>
      <c r="H36" s="18"/>
      <c r="I36" s="18"/>
    </row>
    <row r="37" spans="2:12" ht="15.75" customHeight="1" x14ac:dyDescent="0.3">
      <c r="B37" s="200" t="s">
        <v>21</v>
      </c>
      <c r="C37" s="200"/>
      <c r="D37" s="51">
        <f>SUM(D8:D36)</f>
        <v>208630000</v>
      </c>
      <c r="E37" s="46">
        <f>SUM(E8:E36)</f>
        <v>7540</v>
      </c>
      <c r="F37" s="47">
        <f>SUM(F8:F36)</f>
        <v>86710000</v>
      </c>
      <c r="G37" s="46">
        <f>IFERROR(E37/#REF!,0)</f>
        <v>0</v>
      </c>
      <c r="H37" s="48">
        <f>SUM(H8:H36)</f>
        <v>295340000</v>
      </c>
      <c r="I37" s="17"/>
    </row>
    <row r="39" spans="2:12" x14ac:dyDescent="0.3">
      <c r="B39" s="35" t="s">
        <v>34</v>
      </c>
      <c r="C39" s="29">
        <f>'REPORT unit DT HAUL'!C82</f>
        <v>14848</v>
      </c>
    </row>
    <row r="40" spans="2:12" x14ac:dyDescent="0.3">
      <c r="B40" s="35" t="s">
        <v>35</v>
      </c>
      <c r="C40" s="29">
        <f>'SUMMARY 2'!I13</f>
        <v>11500</v>
      </c>
    </row>
    <row r="41" spans="2:12" x14ac:dyDescent="0.3">
      <c r="J41" s="27"/>
    </row>
  </sheetData>
  <mergeCells count="11">
    <mergeCell ref="B37:C37"/>
    <mergeCell ref="B2:C3"/>
    <mergeCell ref="J5:J7"/>
    <mergeCell ref="F6:F7"/>
    <mergeCell ref="K5:L7"/>
    <mergeCell ref="D5:D6"/>
    <mergeCell ref="G5:G6"/>
    <mergeCell ref="B5:B7"/>
    <mergeCell ref="C5:C7"/>
    <mergeCell ref="E5:F5"/>
    <mergeCell ref="H5:H7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65F1809B-215F-4169-A813-C9E878219BF0}">
          <x14:formula1>
            <xm:f>'list rate unit'!$B$4:$B$27</xm:f>
          </x14:formula1>
          <xm:sqref>K1:K7 K36:K1048576</xm:sqref>
        </x14:dataValidation>
        <x14:dataValidation type="list" allowBlank="1" showInputMessage="1" showErrorMessage="1" xr:uid="{75B9498A-83E4-4815-A39E-ADBBDB20D76B}">
          <x14:formula1>
            <xm:f>'list rate unit'!$B$6:$B$26</xm:f>
          </x14:formula1>
          <xm:sqref>K8:K35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</vt:i4>
      </vt:variant>
    </vt:vector>
  </HeadingPairs>
  <TitlesOfParts>
    <vt:vector size="14" baseType="lpstr">
      <vt:lpstr>SUMMARY</vt:lpstr>
      <vt:lpstr>SUMMARY 2</vt:lpstr>
      <vt:lpstr>SUMMARY MTD</vt:lpstr>
      <vt:lpstr>REPORT unit OB</vt:lpstr>
      <vt:lpstr>REPORT unit QUARRY</vt:lpstr>
      <vt:lpstr>REPORT unit DEVELOP</vt:lpstr>
      <vt:lpstr>REPORT unit ORE GETTING</vt:lpstr>
      <vt:lpstr>REPORT unit DT HAUL</vt:lpstr>
      <vt:lpstr>REPORT unit LV &amp; support</vt:lpstr>
      <vt:lpstr>HOUR METER</vt:lpstr>
      <vt:lpstr>FUEL UNIT</vt:lpstr>
      <vt:lpstr>list rate unit</vt:lpstr>
      <vt:lpstr>SUMMARY!Print_Area</vt:lpstr>
      <vt:lpstr>'SUMMARY 2'!Print_Area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EKY SIDIK PRATAMA ROCKY Jr.</dc:creator>
  <cp:lastModifiedBy>EKY SIDIK PRATAMA ROCKY Jr.</cp:lastModifiedBy>
  <cp:lastPrinted>2023-06-04T23:57:56Z</cp:lastPrinted>
  <dcterms:created xsi:type="dcterms:W3CDTF">2019-02-05T01:55:23Z</dcterms:created>
  <dcterms:modified xsi:type="dcterms:W3CDTF">2023-06-05T00:49:42Z</dcterms:modified>
</cp:coreProperties>
</file>