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ATA PERSONAL\Data Tambang\Laporan Produksi\Report_2023\CV_APP\cost production report APP\"/>
    </mc:Choice>
  </mc:AlternateContent>
  <xr:revisionPtr revIDLastSave="0" documentId="13_ncr:1_{53272900-7CBF-4554-81F2-49EAD5C2EA9B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DEVELOP'!$B$7:$O$9</definedName>
    <definedName name="_xlnm._FilterDatabase" localSheetId="7" hidden="1">'REPORT unit DT HAUL'!$B$7:$Q$76</definedName>
    <definedName name="_xlnm._FilterDatabase" localSheetId="3" hidden="1">'REPORT unit OB'!$B$7:$O$38</definedName>
    <definedName name="_xlnm._FilterDatabase" localSheetId="6" hidden="1">'REPORT unit ORE GETTING'!$B$7:$O$27</definedName>
    <definedName name="_xlnm._FilterDatabase" localSheetId="4" hidden="1">'REPORT unit QUARRY'!$B$7:$O$24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4" l="1"/>
  <c r="E18" i="16"/>
  <c r="G10" i="12" s="1"/>
  <c r="E14" i="16"/>
  <c r="D12" i="16"/>
  <c r="F36" i="6"/>
  <c r="L36" i="6"/>
  <c r="K36" i="6" s="1"/>
  <c r="D36" i="6" s="1"/>
  <c r="H36" i="6" s="1"/>
  <c r="H28" i="15"/>
  <c r="I28" i="15"/>
  <c r="N28" i="15"/>
  <c r="M28" i="15" s="1"/>
  <c r="E28" i="15" s="1"/>
  <c r="F28" i="15" s="1"/>
  <c r="H29" i="15"/>
  <c r="I29" i="15"/>
  <c r="N29" i="15"/>
  <c r="M29" i="15" s="1"/>
  <c r="E29" i="15" s="1"/>
  <c r="F29" i="15" s="1"/>
  <c r="H30" i="15"/>
  <c r="I30" i="15"/>
  <c r="N30" i="15"/>
  <c r="M30" i="15" s="1"/>
  <c r="E30" i="15" s="1"/>
  <c r="F30" i="15" s="1"/>
  <c r="J30" i="15" s="1"/>
  <c r="H31" i="15"/>
  <c r="I31" i="15"/>
  <c r="N31" i="15"/>
  <c r="M31" i="15" s="1"/>
  <c r="E31" i="15" s="1"/>
  <c r="F31" i="15" s="1"/>
  <c r="H32" i="15"/>
  <c r="I32" i="15"/>
  <c r="N32" i="15"/>
  <c r="M32" i="15" s="1"/>
  <c r="E32" i="15" s="1"/>
  <c r="F32" i="15" s="1"/>
  <c r="J32" i="15" s="1"/>
  <c r="E25" i="13"/>
  <c r="F25" i="13" s="1"/>
  <c r="H25" i="13"/>
  <c r="I25" i="13"/>
  <c r="N25" i="13"/>
  <c r="E26" i="13"/>
  <c r="F26" i="13"/>
  <c r="H26" i="13"/>
  <c r="I26" i="13"/>
  <c r="N26" i="13"/>
  <c r="E27" i="13"/>
  <c r="F27" i="13" s="1"/>
  <c r="H27" i="13"/>
  <c r="I27" i="13"/>
  <c r="N27" i="13"/>
  <c r="G26" i="12"/>
  <c r="G25" i="12"/>
  <c r="G24" i="12"/>
  <c r="G5" i="12"/>
  <c r="G3" i="12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E24" i="13"/>
  <c r="F24" i="13" s="1"/>
  <c r="I24" i="13"/>
  <c r="N24" i="13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F59" i="7"/>
  <c r="G59" i="7"/>
  <c r="J59" i="7"/>
  <c r="K59" i="7"/>
  <c r="L59" i="7"/>
  <c r="N59" i="7"/>
  <c r="Q59" i="7"/>
  <c r="F60" i="7"/>
  <c r="G60" i="7" s="1"/>
  <c r="J60" i="7"/>
  <c r="K60" i="7"/>
  <c r="L60" i="7"/>
  <c r="N60" i="7"/>
  <c r="Q60" i="7"/>
  <c r="F61" i="7"/>
  <c r="G61" i="7" s="1"/>
  <c r="J61" i="7"/>
  <c r="K61" i="7"/>
  <c r="L61" i="7"/>
  <c r="N61" i="7"/>
  <c r="Q61" i="7"/>
  <c r="F62" i="7"/>
  <c r="G62" i="7"/>
  <c r="J62" i="7"/>
  <c r="K62" i="7"/>
  <c r="L62" i="7"/>
  <c r="N62" i="7"/>
  <c r="Q62" i="7"/>
  <c r="F63" i="7"/>
  <c r="G63" i="7" s="1"/>
  <c r="J63" i="7"/>
  <c r="K63" i="7"/>
  <c r="L63" i="7"/>
  <c r="N63" i="7"/>
  <c r="Q63" i="7"/>
  <c r="F64" i="7"/>
  <c r="G64" i="7" s="1"/>
  <c r="J64" i="7"/>
  <c r="K64" i="7"/>
  <c r="L64" i="7"/>
  <c r="N64" i="7"/>
  <c r="Q64" i="7"/>
  <c r="J29" i="15" l="1"/>
  <c r="J31" i="15"/>
  <c r="J28" i="15"/>
  <c r="J27" i="13"/>
  <c r="J26" i="13"/>
  <c r="J25" i="13"/>
  <c r="D23" i="12"/>
  <c r="C23" i="12" l="1"/>
  <c r="F18" i="16" l="1"/>
  <c r="F12" i="16"/>
  <c r="J10" i="16"/>
  <c r="F10" i="16"/>
  <c r="D22" i="12"/>
  <c r="D20" i="12"/>
  <c r="D19" i="12"/>
  <c r="D21" i="12" s="1"/>
  <c r="L35" i="6"/>
  <c r="K35" i="6" s="1"/>
  <c r="D35" i="6" s="1"/>
  <c r="I25" i="15"/>
  <c r="N25" i="15"/>
  <c r="M25" i="15" s="1"/>
  <c r="E25" i="15" s="1"/>
  <c r="F25" i="15" s="1"/>
  <c r="I26" i="15"/>
  <c r="N26" i="15"/>
  <c r="M26" i="15" s="1"/>
  <c r="E26" i="15" s="1"/>
  <c r="F26" i="15" s="1"/>
  <c r="E10" i="13"/>
  <c r="F10" i="13" s="1"/>
  <c r="I10" i="13"/>
  <c r="N10" i="13"/>
  <c r="I28" i="4"/>
  <c r="N28" i="4"/>
  <c r="M28" i="4" s="1"/>
  <c r="E28" i="4" s="1"/>
  <c r="F28" i="4" s="1"/>
  <c r="I29" i="4"/>
  <c r="N29" i="4"/>
  <c r="M29" i="4" s="1"/>
  <c r="E29" i="4" s="1"/>
  <c r="F29" i="4" s="1"/>
  <c r="I30" i="4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O7" i="12" l="1"/>
  <c r="G7" i="12"/>
  <c r="O9" i="12"/>
  <c r="G9" i="12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65" i="7"/>
  <c r="N66" i="7"/>
  <c r="N67" i="7"/>
  <c r="N68" i="7"/>
  <c r="N69" i="7"/>
  <c r="N70" i="7"/>
  <c r="N71" i="7"/>
  <c r="N72" i="7"/>
  <c r="N73" i="7"/>
  <c r="N74" i="7"/>
  <c r="N75" i="7"/>
  <c r="N76" i="7"/>
  <c r="N8" i="7"/>
  <c r="K27" i="5"/>
  <c r="N78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25" i="6"/>
  <c r="K25" i="6" s="1"/>
  <c r="D25" i="6" s="1"/>
  <c r="L26" i="6"/>
  <c r="K26" i="6" s="1"/>
  <c r="D26" i="6" s="1"/>
  <c r="L27" i="6"/>
  <c r="K27" i="6" s="1"/>
  <c r="D27" i="6" s="1"/>
  <c r="L28" i="6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E38" i="6"/>
  <c r="D38" i="4" l="1"/>
  <c r="C20" i="12" l="1"/>
  <c r="G38" i="6"/>
  <c r="F68" i="7" l="1"/>
  <c r="G68" i="7" s="1"/>
  <c r="J68" i="7"/>
  <c r="K68" i="7"/>
  <c r="L68" i="7"/>
  <c r="Q68" i="7"/>
  <c r="F69" i="7"/>
  <c r="G69" i="7" s="1"/>
  <c r="J69" i="7"/>
  <c r="K69" i="7"/>
  <c r="L69" i="7"/>
  <c r="Q69" i="7"/>
  <c r="F70" i="7"/>
  <c r="G70" i="7" s="1"/>
  <c r="J70" i="7"/>
  <c r="K70" i="7"/>
  <c r="L70" i="7"/>
  <c r="Q70" i="7"/>
  <c r="F71" i="7"/>
  <c r="G71" i="7" s="1"/>
  <c r="J71" i="7"/>
  <c r="K71" i="7"/>
  <c r="L71" i="7"/>
  <c r="Q71" i="7"/>
  <c r="F72" i="7"/>
  <c r="G72" i="7" s="1"/>
  <c r="J72" i="7"/>
  <c r="K72" i="7"/>
  <c r="L72" i="7"/>
  <c r="Q72" i="7"/>
  <c r="F73" i="7"/>
  <c r="G73" i="7" s="1"/>
  <c r="J73" i="7"/>
  <c r="K73" i="7"/>
  <c r="L73" i="7"/>
  <c r="Q73" i="7"/>
  <c r="F74" i="7"/>
  <c r="G74" i="7" s="1"/>
  <c r="J74" i="7"/>
  <c r="K74" i="7"/>
  <c r="L74" i="7"/>
  <c r="Q74" i="7"/>
  <c r="F75" i="7"/>
  <c r="G75" i="7" s="1"/>
  <c r="J75" i="7"/>
  <c r="K75" i="7"/>
  <c r="L75" i="7"/>
  <c r="Q75" i="7"/>
  <c r="C37" i="15"/>
  <c r="C36" i="15"/>
  <c r="G34" i="15"/>
  <c r="D34" i="15"/>
  <c r="N27" i="15"/>
  <c r="M27" i="15" s="1"/>
  <c r="E27" i="15" s="1"/>
  <c r="F27" i="15" s="1"/>
  <c r="I27" i="15"/>
  <c r="N24" i="15"/>
  <c r="M24" i="15" s="1"/>
  <c r="E24" i="15" s="1"/>
  <c r="F24" i="15" s="1"/>
  <c r="I24" i="15"/>
  <c r="N23" i="15"/>
  <c r="M23" i="15" s="1"/>
  <c r="E23" i="15" s="1"/>
  <c r="F23" i="15" s="1"/>
  <c r="I23" i="15"/>
  <c r="N22" i="15"/>
  <c r="M22" i="15" s="1"/>
  <c r="E22" i="15" s="1"/>
  <c r="F22" i="15" s="1"/>
  <c r="I22" i="15"/>
  <c r="N21" i="15"/>
  <c r="M21" i="15" s="1"/>
  <c r="E21" i="15" s="1"/>
  <c r="F21" i="15" s="1"/>
  <c r="I21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4" i="14"/>
  <c r="H8" i="14" s="1"/>
  <c r="J8" i="14" s="1"/>
  <c r="C13" i="14"/>
  <c r="G11" i="14"/>
  <c r="D11" i="14"/>
  <c r="N9" i="14"/>
  <c r="M9" i="14" s="1"/>
  <c r="E9" i="14" s="1"/>
  <c r="I9" i="14"/>
  <c r="G29" i="13"/>
  <c r="D29" i="13"/>
  <c r="N9" i="13"/>
  <c r="I9" i="13"/>
  <c r="E9" i="13"/>
  <c r="F9" i="13" s="1"/>
  <c r="N8" i="13"/>
  <c r="I8" i="13"/>
  <c r="E8" i="13"/>
  <c r="F8" i="13" s="1"/>
  <c r="H24" i="15" l="1"/>
  <c r="H25" i="15"/>
  <c r="J25" i="15" s="1"/>
  <c r="H26" i="15"/>
  <c r="J26" i="15" s="1"/>
  <c r="H23" i="15"/>
  <c r="E11" i="14"/>
  <c r="E29" i="13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27" i="15"/>
  <c r="J27" i="15" s="1"/>
  <c r="H22" i="15"/>
  <c r="J22" i="15" s="1"/>
  <c r="H21" i="15"/>
  <c r="J21" i="15" s="1"/>
  <c r="H11" i="15"/>
  <c r="J11" i="15" s="1"/>
  <c r="H15" i="15"/>
  <c r="J15" i="15" s="1"/>
  <c r="F9" i="14"/>
  <c r="F11" i="14" s="1"/>
  <c r="H9" i="14"/>
  <c r="J24" i="15"/>
  <c r="J19" i="15"/>
  <c r="J23" i="15"/>
  <c r="I34" i="15"/>
  <c r="F34" i="15"/>
  <c r="E34" i="15"/>
  <c r="I11" i="14"/>
  <c r="F29" i="13"/>
  <c r="I29" i="13"/>
  <c r="J9" i="14" l="1"/>
  <c r="J11" i="14" s="1"/>
  <c r="H11" i="14"/>
  <c r="H34" i="15"/>
  <c r="J34" i="15"/>
  <c r="E20" i="11" l="1"/>
  <c r="D24" i="16"/>
  <c r="G13" i="12" s="1"/>
  <c r="E21" i="11"/>
  <c r="D25" i="16"/>
  <c r="G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32" i="6"/>
  <c r="L33" i="6"/>
  <c r="L34" i="6"/>
  <c r="C32" i="13"/>
  <c r="C31" i="13"/>
  <c r="H16" i="13" l="1"/>
  <c r="J16" i="13" s="1"/>
  <c r="H19" i="13"/>
  <c r="J19" i="13" s="1"/>
  <c r="H11" i="13"/>
  <c r="J11" i="13" s="1"/>
  <c r="H22" i="13"/>
  <c r="J22" i="13" s="1"/>
  <c r="H14" i="13"/>
  <c r="J14" i="13" s="1"/>
  <c r="H17" i="13"/>
  <c r="J17" i="13" s="1"/>
  <c r="H24" i="13"/>
  <c r="J24" i="13" s="1"/>
  <c r="H20" i="13"/>
  <c r="J20" i="13" s="1"/>
  <c r="H12" i="13"/>
  <c r="J12" i="13" s="1"/>
  <c r="H23" i="13"/>
  <c r="J23" i="13" s="1"/>
  <c r="H18" i="13"/>
  <c r="J18" i="13" s="1"/>
  <c r="H21" i="13"/>
  <c r="J21" i="13" s="1"/>
  <c r="H15" i="13"/>
  <c r="J15" i="13" s="1"/>
  <c r="H13" i="13"/>
  <c r="J13" i="13" s="1"/>
  <c r="H10" i="13"/>
  <c r="J10" i="13" s="1"/>
  <c r="K34" i="6"/>
  <c r="D34" i="6" s="1"/>
  <c r="K33" i="6"/>
  <c r="D33" i="6" s="1"/>
  <c r="K32" i="6"/>
  <c r="D32" i="6" s="1"/>
  <c r="H9" i="13"/>
  <c r="J9" i="13" s="1"/>
  <c r="H8" i="13"/>
  <c r="I18" i="4"/>
  <c r="N18" i="4"/>
  <c r="M18" i="4" s="1"/>
  <c r="E18" i="4" s="1"/>
  <c r="F18" i="4" s="1"/>
  <c r="I19" i="4"/>
  <c r="N19" i="4"/>
  <c r="M19" i="4" s="1"/>
  <c r="E19" i="4" s="1"/>
  <c r="F19" i="4" s="1"/>
  <c r="H29" i="13" l="1"/>
  <c r="J8" i="13"/>
  <c r="J29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G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65" i="7"/>
  <c r="G65" i="7" s="1"/>
  <c r="F66" i="7"/>
  <c r="G66" i="7" s="1"/>
  <c r="F67" i="7"/>
  <c r="G67" i="7" s="1"/>
  <c r="F76" i="7"/>
  <c r="G76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J65" i="7"/>
  <c r="K65" i="7"/>
  <c r="L65" i="7"/>
  <c r="Q65" i="7"/>
  <c r="J66" i="7"/>
  <c r="K66" i="7"/>
  <c r="L66" i="7"/>
  <c r="Q66" i="7"/>
  <c r="J67" i="7"/>
  <c r="K67" i="7"/>
  <c r="L67" i="7"/>
  <c r="Q67" i="7"/>
  <c r="J76" i="7"/>
  <c r="K76" i="7"/>
  <c r="L76" i="7"/>
  <c r="Q76" i="7"/>
  <c r="C22" i="12" l="1"/>
  <c r="C19" i="12"/>
  <c r="C21" i="12" s="1"/>
  <c r="C41" i="6" l="1"/>
  <c r="F35" i="6" s="1"/>
  <c r="H35" i="6" s="1"/>
  <c r="L10" i="6"/>
  <c r="K10" i="6" s="1"/>
  <c r="D10" i="6" s="1"/>
  <c r="C82" i="7"/>
  <c r="I49" i="7" l="1"/>
  <c r="M49" i="7" s="1"/>
  <c r="I58" i="7"/>
  <c r="M58" i="7" s="1"/>
  <c r="I47" i="7"/>
  <c r="M47" i="7" s="1"/>
  <c r="I56" i="7"/>
  <c r="M56" i="7" s="1"/>
  <c r="I60" i="7"/>
  <c r="M60" i="7" s="1"/>
  <c r="I61" i="7"/>
  <c r="M61" i="7" s="1"/>
  <c r="I44" i="7"/>
  <c r="M44" i="7" s="1"/>
  <c r="I45" i="7"/>
  <c r="M45" i="7" s="1"/>
  <c r="I54" i="7"/>
  <c r="M54" i="7" s="1"/>
  <c r="I63" i="7"/>
  <c r="M63" i="7" s="1"/>
  <c r="I51" i="7"/>
  <c r="M51" i="7" s="1"/>
  <c r="I52" i="7"/>
  <c r="M52" i="7" s="1"/>
  <c r="I50" i="7"/>
  <c r="M50" i="7" s="1"/>
  <c r="I59" i="7"/>
  <c r="M59" i="7" s="1"/>
  <c r="I64" i="7"/>
  <c r="M64" i="7" s="1"/>
  <c r="I48" i="7"/>
  <c r="M48" i="7" s="1"/>
  <c r="I57" i="7"/>
  <c r="M57" i="7" s="1"/>
  <c r="I53" i="7"/>
  <c r="M53" i="7" s="1"/>
  <c r="I62" i="7"/>
  <c r="M62" i="7" s="1"/>
  <c r="I46" i="7"/>
  <c r="M46" i="7" s="1"/>
  <c r="I55" i="7"/>
  <c r="M55" i="7" s="1"/>
  <c r="H33" i="4"/>
  <c r="J33" i="4" s="1"/>
  <c r="H34" i="4"/>
  <c r="J34" i="4" s="1"/>
  <c r="H35" i="4"/>
  <c r="J35" i="4" s="1"/>
  <c r="H36" i="4"/>
  <c r="J36" i="4" s="1"/>
  <c r="H28" i="4"/>
  <c r="J28" i="4" s="1"/>
  <c r="H29" i="4"/>
  <c r="J29" i="4" s="1"/>
  <c r="H30" i="4"/>
  <c r="J30" i="4" s="1"/>
  <c r="H31" i="4"/>
  <c r="J31" i="4" s="1"/>
  <c r="H32" i="4"/>
  <c r="J32" i="4" s="1"/>
  <c r="F30" i="6"/>
  <c r="H30" i="6" s="1"/>
  <c r="F15" i="6"/>
  <c r="H15" i="6" s="1"/>
  <c r="F31" i="6"/>
  <c r="H31" i="6" s="1"/>
  <c r="F16" i="6"/>
  <c r="H16" i="6" s="1"/>
  <c r="F28" i="6"/>
  <c r="H28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6" i="6"/>
  <c r="H26" i="6" s="1"/>
  <c r="F27" i="6"/>
  <c r="H27" i="6" s="1"/>
  <c r="F24" i="6"/>
  <c r="H24" i="6" s="1"/>
  <c r="F25" i="6"/>
  <c r="H25" i="6" s="1"/>
  <c r="F29" i="6"/>
  <c r="H29" i="6" s="1"/>
  <c r="I70" i="7"/>
  <c r="M70" i="7" s="1"/>
  <c r="I74" i="7"/>
  <c r="M74" i="7" s="1"/>
  <c r="I69" i="7"/>
  <c r="M69" i="7" s="1"/>
  <c r="I73" i="7"/>
  <c r="M73" i="7" s="1"/>
  <c r="I75" i="7"/>
  <c r="M75" i="7" s="1"/>
  <c r="I68" i="7"/>
  <c r="M68" i="7" s="1"/>
  <c r="I72" i="7"/>
  <c r="M72" i="7" s="1"/>
  <c r="I71" i="7"/>
  <c r="M71" i="7" s="1"/>
  <c r="F13" i="6"/>
  <c r="H13" i="6" s="1"/>
  <c r="F33" i="6"/>
  <c r="H33" i="6" s="1"/>
  <c r="F14" i="6"/>
  <c r="H14" i="6" s="1"/>
  <c r="F34" i="6"/>
  <c r="H34" i="6" s="1"/>
  <c r="F11" i="6"/>
  <c r="H11" i="6" s="1"/>
  <c r="F32" i="6"/>
  <c r="H32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65" i="7"/>
  <c r="M65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76" i="7"/>
  <c r="M76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67" i="7"/>
  <c r="M67" i="7" s="1"/>
  <c r="I21" i="7"/>
  <c r="M21" i="7" s="1"/>
  <c r="I13" i="7"/>
  <c r="M13" i="7" s="1"/>
  <c r="I29" i="7"/>
  <c r="M29" i="7" s="1"/>
  <c r="I37" i="7"/>
  <c r="M37" i="7" s="1"/>
  <c r="I66" i="7"/>
  <c r="M66" i="7" s="1"/>
  <c r="O5" i="12" l="1"/>
  <c r="A12" i="12"/>
  <c r="A13" i="12"/>
  <c r="A14" i="12"/>
  <c r="A15" i="12"/>
  <c r="A16" i="12"/>
  <c r="A11" i="12"/>
  <c r="I10" i="11"/>
  <c r="O14" i="12" l="1"/>
  <c r="A30" i="12" l="1"/>
  <c r="O26" i="12"/>
  <c r="O25" i="12"/>
  <c r="O24" i="12"/>
  <c r="O13" i="12"/>
  <c r="O12" i="12"/>
  <c r="O10" i="12"/>
  <c r="O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D78" i="7"/>
  <c r="E78" i="7"/>
  <c r="E10" i="11" l="1"/>
  <c r="E28" i="11" s="1"/>
  <c r="E11" i="16"/>
  <c r="I19" i="11"/>
  <c r="I21" i="11"/>
  <c r="I20" i="11"/>
  <c r="E12" i="11"/>
  <c r="O4" i="12" l="1"/>
  <c r="O6" i="12" s="1"/>
  <c r="G4" i="12"/>
  <c r="J24" i="16"/>
  <c r="K24" i="16" s="1"/>
  <c r="E13" i="16"/>
  <c r="G6" i="12" s="1"/>
  <c r="D31" i="16"/>
  <c r="G18" i="12" s="1"/>
  <c r="J25" i="16"/>
  <c r="K25" i="16" s="1"/>
  <c r="F11" i="16"/>
  <c r="J23" i="16"/>
  <c r="K23" i="16" s="1"/>
  <c r="J21" i="11"/>
  <c r="J20" i="11"/>
  <c r="J19" i="11"/>
  <c r="G8" i="12" l="1"/>
  <c r="O8" i="12" s="1"/>
  <c r="F13" i="16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78" i="7" l="1"/>
  <c r="AK29" i="2" l="1"/>
  <c r="K78" i="7" l="1"/>
  <c r="D36" i="1" l="1"/>
  <c r="D35" i="1" l="1"/>
  <c r="D34" i="1"/>
  <c r="D32" i="1"/>
  <c r="D33" i="1"/>
  <c r="L8" i="6"/>
  <c r="K8" i="6" s="1"/>
  <c r="D8" i="6" s="1"/>
  <c r="D38" i="6" s="1"/>
  <c r="N8" i="4"/>
  <c r="M8" i="4" s="1"/>
  <c r="E8" i="4" s="1"/>
  <c r="AK4" i="2"/>
  <c r="F8" i="4" l="1"/>
  <c r="E38" i="4"/>
  <c r="AK30" i="2"/>
  <c r="H8" i="4"/>
  <c r="AK5" i="1"/>
  <c r="AK4" i="1"/>
  <c r="F8" i="6"/>
  <c r="F38" i="6" s="1"/>
  <c r="AK29" i="1" l="1"/>
  <c r="G38" i="4"/>
  <c r="H8" i="6"/>
  <c r="H78" i="7"/>
  <c r="J18" i="16" s="1"/>
  <c r="G27" i="12" s="1"/>
  <c r="G22" i="12" s="1"/>
  <c r="J8" i="4"/>
  <c r="J38" i="4" s="1"/>
  <c r="D22" i="16" s="1"/>
  <c r="G11" i="12" s="1"/>
  <c r="I8" i="4"/>
  <c r="E39" i="2"/>
  <c r="E41" i="2" s="1"/>
  <c r="F14" i="16" l="1"/>
  <c r="J22" i="16"/>
  <c r="K22" i="16" s="1"/>
  <c r="J19" i="16"/>
  <c r="I15" i="11"/>
  <c r="H38" i="6"/>
  <c r="H38" i="4"/>
  <c r="E18" i="11"/>
  <c r="M78" i="7"/>
  <c r="L78" i="7"/>
  <c r="I78" i="7"/>
  <c r="D38" i="1"/>
  <c r="D40" i="1" s="1"/>
  <c r="J78" i="7"/>
  <c r="G28" i="12" l="1"/>
  <c r="O28" i="12" s="1"/>
  <c r="G23" i="12"/>
  <c r="O23" i="12" s="1"/>
  <c r="O27" i="12"/>
  <c r="O22" i="12" s="1"/>
  <c r="E22" i="11"/>
  <c r="D26" i="16"/>
  <c r="G15" i="12" s="1"/>
  <c r="E23" i="11"/>
  <c r="I23" i="11" s="1"/>
  <c r="J23" i="11" s="1"/>
  <c r="D27" i="16"/>
  <c r="I18" i="11"/>
  <c r="O11" i="12"/>
  <c r="F38" i="4"/>
  <c r="I38" i="4"/>
  <c r="G16" i="12" l="1"/>
  <c r="O16" i="12" s="1"/>
  <c r="J26" i="16"/>
  <c r="K26" i="16" s="1"/>
  <c r="O15" i="12"/>
  <c r="I22" i="11"/>
  <c r="J22" i="11" s="1"/>
  <c r="J27" i="16"/>
  <c r="D30" i="16"/>
  <c r="G17" i="12" s="1"/>
  <c r="E26" i="11"/>
  <c r="J18" i="11"/>
  <c r="C40" i="4"/>
  <c r="C81" i="7" s="1"/>
  <c r="C40" i="6" s="1"/>
  <c r="J24" i="11" l="1"/>
  <c r="G20" i="12"/>
  <c r="G19" i="12"/>
  <c r="G21" i="12" s="1"/>
  <c r="I24" i="11"/>
  <c r="J30" i="16"/>
  <c r="G29" i="12" s="1"/>
  <c r="D33" i="16"/>
  <c r="B35" i="16"/>
  <c r="K27" i="16"/>
  <c r="K28" i="16" s="1"/>
  <c r="J28" i="16"/>
  <c r="B31" i="11"/>
  <c r="I26" i="11"/>
  <c r="E30" i="11"/>
  <c r="I27" i="16" l="1"/>
  <c r="J31" i="16"/>
  <c r="G30" i="12" s="1"/>
  <c r="I24" i="16"/>
  <c r="I26" i="16"/>
  <c r="I25" i="16"/>
  <c r="I22" i="16"/>
  <c r="I23" i="16"/>
  <c r="I27" i="11"/>
  <c r="O29" i="12"/>
  <c r="O17" i="12"/>
  <c r="O20" i="12" s="1"/>
  <c r="H18" i="11"/>
  <c r="H19" i="11"/>
  <c r="H23" i="11"/>
  <c r="H21" i="11"/>
  <c r="H20" i="11"/>
  <c r="H22" i="11"/>
  <c r="O30" i="12" l="1"/>
  <c r="I28" i="16"/>
  <c r="O19" i="12"/>
  <c r="O21" i="12" s="1"/>
  <c r="H24" i="11"/>
</calcChain>
</file>

<file path=xl/sharedStrings.xml><?xml version="1.0" encoding="utf-8"?>
<sst xmlns="http://schemas.openxmlformats.org/spreadsheetml/2006/main" count="1151" uniqueCount="411">
  <si>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</si>
  <si>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</si>
  <si>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</si>
  <si>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</si>
  <si>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</si>
  <si>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</si>
  <si>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</si>
  <si>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</si>
  <si>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</si>
  <si>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</si>
  <si>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</si>
  <si>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</si>
  <si>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</si>
  <si>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</si>
  <si>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</si>
  <si>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</si>
  <si>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</si>
  <si>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</si>
  <si>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</si>
  <si>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</si>
  <si>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</si>
  <si>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</si>
  <si>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</si>
  <si>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</si>
  <si>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</si>
  <si>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</si>
  <si>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</si>
  <si>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</si>
  <si>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</si>
  <si>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</si>
  <si>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</si>
  <si>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</si>
  <si>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</si>
  <si>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</si>
  <si>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</si>
  <si>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</si>
  <si>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</si>
  <si>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</si>
  <si>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</si>
  <si>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</si>
  <si>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</si>
  <si>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</si>
  <si>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</si>
  <si>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</si>
  <si>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</si>
  <si>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</si>
  <si>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</si>
  <si>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</si>
  <si>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</si>
  <si>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</si>
  <si>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</si>
  <si>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</si>
  <si>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</si>
  <si>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</si>
  <si>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</si>
  <si>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</si>
  <si>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</si>
  <si>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</si>
  <si>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</si>
  <si>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</si>
  <si>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</si>
  <si>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</si>
  <si>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</si>
  <si>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</si>
  <si>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</si>
  <si>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</si>
  <si>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</si>
  <si>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</si>
  <si>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</si>
  <si>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</si>
  <si>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</si>
  <si>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</si>
  <si>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</si>
  <si>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</si>
  <si>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</si>
  <si>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</si>
  <si>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</si>
  <si>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</si>
  <si>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</si>
  <si>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</si>
  <si>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</si>
  <si>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</si>
  <si>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</si>
  <si>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</si>
  <si>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</si>
  <si>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</si>
  <si>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</si>
  <si>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</si>
  <si>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</si>
  <si>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</si>
  <si>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</si>
  <si>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</si>
  <si>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</si>
  <si>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</si>
  <si>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</si>
  <si>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</si>
  <si>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</si>
  <si>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</si>
  <si>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</si>
  <si>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</si>
  <si>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</si>
  <si>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</si>
  <si>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</si>
  <si>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</si>
  <si>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</si>
  <si>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</si>
  <si>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</si>
  <si>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</si>
  <si>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</si>
  <si>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</si>
  <si>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</si>
  <si>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</si>
  <si>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</si>
  <si>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</si>
  <si>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</si>
  <si>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</si>
  <si>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</si>
  <si>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</si>
  <si>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</si>
  <si>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</si>
  <si>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</si>
  <si>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</si>
  <si>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</si>
  <si>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</si>
  <si>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</si>
  <si>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</si>
  <si>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</si>
  <si>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</si>
  <si>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</si>
  <si>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</si>
  <si>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</si>
  <si>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</si>
  <si>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</si>
  <si>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</si>
  <si>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</si>
  <si>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</si>
  <si>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</si>
  <si>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</si>
  <si>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</si>
  <si>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</si>
  <si>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</si>
  <si>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</si>
  <si>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</si>
  <si>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</si>
  <si>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</si>
  <si>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</si>
  <si>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</si>
  <si>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</si>
  <si>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</si>
  <si>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</si>
  <si>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</si>
  <si>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</si>
  <si>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</si>
  <si>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</si>
  <si>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</si>
  <si>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</si>
  <si>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</si>
  <si>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</si>
  <si>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</si>
  <si>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</si>
  <si>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</si>
  <si>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</si>
  <si>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</si>
  <si>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</si>
  <si>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</si>
  <si>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</si>
  <si>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</si>
  <si>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</si>
  <si>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</si>
  <si>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</si>
  <si>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</si>
  <si>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</si>
  <si>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</si>
  <si>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</si>
  <si>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</si>
  <si>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</si>
  <si>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</si>
  <si>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</si>
  <si>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</si>
  <si>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</si>
  <si>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</si>
  <si>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</si>
  <si>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</si>
  <si>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</si>
  <si>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</si>
  <si>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</si>
  <si>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</si>
  <si>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</si>
  <si>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</si>
  <si>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</si>
  <si>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</si>
  <si>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</si>
  <si>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</si>
  <si>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</si>
  <si>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</si>
  <si>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</si>
  <si>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</si>
  <si>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</si>
  <si>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</si>
  <si>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</si>
  <si>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</si>
  <si>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</si>
  <si>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</si>
  <si>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</si>
  <si>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</si>
  <si>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</si>
  <si>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</si>
  <si>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</si>
  <si>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</si>
  <si>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</si>
  <si>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</si>
  <si>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</si>
  <si>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</si>
  <si>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</si>
  <si>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</si>
  <si>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</si>
  <si>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</si>
  <si>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</si>
  <si>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</si>
  <si>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</si>
  <si>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</si>
  <si>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</si>
  <si>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</si>
  <si>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</si>
  <si>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</si>
  <si>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</si>
  <si>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</si>
  <si>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</si>
  <si>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</si>
  <si>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314</t>
  </si>
  <si>
    <t xml:space="preserve"> DT HINO G 315</t>
  </si>
  <si>
    <t xml:space="preserve"> DT HINO G 317</t>
  </si>
  <si>
    <t xml:space="preserve"> DT HINO G 318</t>
  </si>
  <si>
    <t xml:space="preserve"> DT HINO G 321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</si>
  <si>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</si>
  <si>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</si>
  <si>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</si>
  <si>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</si>
  <si>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329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</si>
  <si>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</si>
  <si>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</si>
  <si>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</si>
  <si>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</si>
  <si>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</si>
  <si>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</si>
  <si>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</si>
  <si>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339</t>
  </si>
  <si>
    <t xml:space="preserve"> DT HINO G 340</t>
  </si>
  <si>
    <t xml:space="preserve"> DT HINO G 341</t>
  </si>
  <si>
    <t xml:space="preserve"> DT HINO G 343</t>
  </si>
  <si>
    <t xml:space="preserve"> DT HINO G 344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</si>
  <si>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</si>
  <si>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</si>
  <si>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</si>
  <si>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</si>
  <si>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</si>
  <si>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</si>
  <si>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</si>
  <si>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</si>
  <si>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</si>
  <si>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</si>
  <si>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</si>
  <si>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</si>
  <si>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</si>
  <si>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</si>
  <si>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</si>
  <si>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</si>
  <si>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</si>
  <si>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</si>
  <si>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</si>
  <si>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</si>
  <si>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</si>
  <si>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</si>
  <si>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</si>
  <si>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</si>
  <si>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</si>
  <si>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</si>
  <si>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</si>
  <si>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</si>
  <si>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</si>
  <si>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</si>
  <si>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</si>
  <si>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</si>
  <si>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</si>
  <si>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</si>
  <si>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</si>
  <si>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</si>
  <si>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</si>
  <si>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</si>
  <si>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</si>
  <si>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</si>
  <si>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</si>
  <si>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</si>
  <si>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</si>
  <si>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</si>
  <si>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</si>
  <si>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</si>
  <si>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</si>
  <si>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</si>
  <si>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</si>
  <si>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</si>
  <si>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</si>
  <si>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</si>
  <si>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</si>
  <si>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</si>
  <si>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</si>
  <si>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</si>
  <si>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</si>
  <si>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</si>
  <si>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</si>
  <si>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</si>
  <si>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</si>
  <si>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</si>
  <si>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</si>
  <si>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</si>
  <si>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</si>
  <si>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</si>
  <si>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</si>
  <si>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</si>
  <si>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</si>
  <si>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</si>
  <si>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</si>
  <si>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</si>
  <si>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</si>
  <si>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</si>
  <si>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</si>
  <si>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</si>
  <si>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</si>
  <si>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</si>
  <si>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</si>
  <si>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</si>
  <si>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</si>
  <si>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</si>
  <si>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</si>
  <si>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</si>
  <si>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</si>
  <si>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</si>
  <si>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</si>
  <si>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</si>
  <si>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</si>
  <si>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</si>
  <si>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</si>
  <si>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</si>
  <si>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</si>
  <si>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</si>
  <si>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</si>
  <si>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</si>
  <si>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</si>
  <si>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</si>
  <si>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</si>
  <si>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</si>
  <si>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</si>
  <si>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</si>
  <si>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</si>
  <si>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</si>
  <si>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</si>
  <si>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</si>
  <si>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</si>
  <si>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</si>
  <si>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</si>
  <si>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</si>
  <si>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</si>
  <si>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</si>
  <si>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</si>
  <si>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</si>
  <si>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</si>
  <si>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</si>
  <si>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</si>
  <si>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</si>
  <si>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</si>
  <si>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</si>
  <si>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</si>
  <si>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</si>
  <si>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</si>
  <si>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</si>
  <si>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</si>
  <si>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</si>
  <si>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</si>
  <si>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365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</si>
  <si>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</si>
  <si>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</si>
  <si>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</si>
  <si>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</si>
  <si>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</si>
  <si>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</si>
  <si>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</si>
  <si>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382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</si>
  <si>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</si>
  <si>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</si>
  <si>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</si>
  <si>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</si>
  <si>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</si>
  <si>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</si>
  <si>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</si>
  <si>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</si>
  <si>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</si>
  <si>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</si>
  <si>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 xml:space="preserve"> DT HINO G 394</t>
  </si>
  <si>
    <t>NOTE</t>
  </si>
  <si>
    <t>3 hari tidak ada kegiatan, karena grade pengiriman drop</t>
  </si>
  <si>
    <t>terjadi penurunan dikarenakan produksi ore menurun</t>
  </si>
  <si>
    <t>KOMATSU PC 300 - 07</t>
  </si>
  <si>
    <t>KOBELCO SK 330 - 12</t>
  </si>
  <si>
    <t>WELDER CAR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</si>
  <si>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(MEI)</t>
    </r>
  </si>
  <si>
    <t>Mei 2023</t>
  </si>
  <si>
    <t>ADT HM 400 (bcm/hour)</t>
  </si>
  <si>
    <t>PRODUCTION hauler</t>
  </si>
  <si>
    <t>KOMATSU PC 200 - 21</t>
  </si>
  <si>
    <t xml:space="preserve"> DT HINO G 316</t>
  </si>
  <si>
    <t>LV HILUX SILVER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</si>
</sst>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43" fontId="54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  <c:pt idx="3">
                  <c:v>111460.29999999999</c:v>
                </c:pt>
                <c:pt idx="4">
                  <c:v>111460.29999999999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  <c:pt idx="3">
                  <c:v>0.55084948263729172</c:v>
                </c:pt>
                <c:pt idx="4">
                  <c:v>0.54546435084900813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  <c:pt idx="3">
                  <c:v>18392351432.699123</c:v>
                </c:pt>
                <c:pt idx="4">
                  <c:v>20097756520.941818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  <c:pt idx="3">
                  <c:v>31546016033.280003</c:v>
                </c:pt>
                <c:pt idx="4">
                  <c:v>31857456099.84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  <c:pt idx="3">
                  <c:v>0.41696753677878684</c:v>
                </c:pt>
                <c:pt idx="4">
                  <c:v>0.36913492219980626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  <c:pt idx="3">
                  <c:v>373910</c:v>
                </c:pt>
                <c:pt idx="4">
                  <c:v>407315.81021849712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  <c:pt idx="3">
                  <c:v>1.8479057570534958</c:v>
                </c:pt>
                <c:pt idx="4">
                  <c:v>1.9933218734506397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  <c:pt idx="3">
                  <c:v>6.1218408638227384</c:v>
                </c:pt>
                <c:pt idx="4">
                  <c:v>6.624083316902035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  <c:pt idx="3">
                  <c:v>0.66103056420606143</c:v>
                </c:pt>
                <c:pt idx="4">
                  <c:v>0.6355740395301217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  <c:pt idx="3">
                  <c:v>0.60339142988368932</c:v>
                </c:pt>
                <c:pt idx="4">
                  <c:v>0.67460717335175269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  <c:pt idx="3">
                  <c:v>0.66264458702897411</c:v>
                </c:pt>
                <c:pt idx="4">
                  <c:v>1.0618765095897726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  <c:pt idx="3">
                  <c:v>0.941606460913054</c:v>
                </c:pt>
                <c:pt idx="4">
                  <c:v>1.0986685237185958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  <c:pt idx="3">
                  <c:v>1.5605752921291223</c:v>
                </c:pt>
                <c:pt idx="4">
                  <c:v>1.463297376141411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ambang\Laporan%20Produksi\Report_2021\CV_APP\cost%20production%20report%20APP\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zoomScale="85" zoomScaleNormal="85" workbookViewId="0">
      <selection activeCell="P15" sqref="P15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84" t="s">
        <v>404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2:12" ht="19.95" customHeight="1" x14ac:dyDescent="0.3"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85" t="s">
        <v>185</v>
      </c>
      <c r="D5" s="186" t="s">
        <v>405</v>
      </c>
      <c r="E5" s="186"/>
      <c r="F5" s="186"/>
      <c r="G5" s="107"/>
      <c r="H5" s="187" t="s">
        <v>372</v>
      </c>
      <c r="I5" s="187"/>
      <c r="J5" s="187"/>
      <c r="K5" s="107"/>
      <c r="L5" s="107"/>
    </row>
    <row r="6" spans="2:12" ht="14.4" customHeight="1" x14ac:dyDescent="0.3">
      <c r="B6" s="107"/>
      <c r="C6" s="185"/>
      <c r="D6" s="186"/>
      <c r="E6" s="186"/>
      <c r="F6" s="186"/>
      <c r="G6" s="107"/>
      <c r="H6" s="187"/>
      <c r="I6" s="187"/>
      <c r="J6" s="187"/>
      <c r="K6" s="107"/>
      <c r="L6" s="107"/>
    </row>
    <row r="7" spans="2:12" ht="14.4" customHeight="1" x14ac:dyDescent="0.3">
      <c r="B7" s="107"/>
      <c r="C7" s="185"/>
      <c r="D7" s="186"/>
      <c r="E7" s="186"/>
      <c r="F7" s="186"/>
      <c r="G7" s="107"/>
      <c r="H7" s="187"/>
      <c r="I7" s="187"/>
      <c r="J7" s="187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55" t="s">
        <v>361</v>
      </c>
      <c r="E9" s="156" t="s">
        <v>362</v>
      </c>
      <c r="F9" s="155" t="s">
        <v>363</v>
      </c>
      <c r="G9" s="107"/>
      <c r="H9" s="109" t="s">
        <v>73</v>
      </c>
      <c r="I9" s="109"/>
      <c r="J9" s="116">
        <v>31</v>
      </c>
      <c r="K9" s="112" t="s">
        <v>364</v>
      </c>
      <c r="L9" s="107"/>
    </row>
    <row r="10" spans="2:12" ht="15.6" x14ac:dyDescent="0.3">
      <c r="B10" s="107"/>
      <c r="C10" s="109" t="s">
        <v>365</v>
      </c>
      <c r="D10" s="157">
        <v>175369.4976</v>
      </c>
      <c r="E10" s="158">
        <v>111460.29999999999</v>
      </c>
      <c r="F10" s="159">
        <f>E10/D10</f>
        <v>0.6355740395301217</v>
      </c>
      <c r="G10" s="107"/>
      <c r="H10" s="109" t="s">
        <v>75</v>
      </c>
      <c r="I10" s="109"/>
      <c r="J10" s="116">
        <f>9*J9</f>
        <v>279</v>
      </c>
      <c r="K10" s="112" t="s">
        <v>366</v>
      </c>
      <c r="L10" s="107"/>
    </row>
    <row r="11" spans="2:12" ht="15.6" x14ac:dyDescent="0.3">
      <c r="B11" s="107"/>
      <c r="C11" s="109" t="s">
        <v>76</v>
      </c>
      <c r="D11" s="160">
        <v>302902.51582227577</v>
      </c>
      <c r="E11" s="161">
        <f>'REPORT unit DT HAUL'!D78</f>
        <v>204340.21</v>
      </c>
      <c r="F11" s="162">
        <f t="shared" ref="F11:F12" si="0">E11/D11</f>
        <v>0.67460717335175269</v>
      </c>
      <c r="G11" s="107"/>
      <c r="H11" s="109" t="s">
        <v>367</v>
      </c>
      <c r="I11" s="111"/>
      <c r="J11" s="163">
        <v>0.85</v>
      </c>
      <c r="K11" s="112" t="s">
        <v>368</v>
      </c>
      <c r="L11" s="107"/>
    </row>
    <row r="12" spans="2:12" ht="15.6" x14ac:dyDescent="0.3">
      <c r="B12" s="107"/>
      <c r="C12" s="109" t="s">
        <v>183</v>
      </c>
      <c r="D12" s="160">
        <f>D10*12%</f>
        <v>21044.339712000001</v>
      </c>
      <c r="E12" s="161">
        <v>22346.49</v>
      </c>
      <c r="F12" s="162">
        <f t="shared" si="0"/>
        <v>1.0618765095897726</v>
      </c>
      <c r="G12" s="107"/>
      <c r="H12" s="109"/>
      <c r="I12" s="111"/>
      <c r="J12" s="163"/>
      <c r="K12" s="112"/>
      <c r="L12" s="107"/>
    </row>
    <row r="13" spans="2:12" ht="15.6" x14ac:dyDescent="0.3">
      <c r="B13" s="107"/>
      <c r="C13" s="109" t="s">
        <v>78</v>
      </c>
      <c r="D13" s="160">
        <f>D10/D11</f>
        <v>0.5789634897020659</v>
      </c>
      <c r="E13" s="161">
        <f>E10/E11</f>
        <v>0.54546435084900813</v>
      </c>
      <c r="F13" s="162">
        <f>D13/E13</f>
        <v>1.0614139838853205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5.6" x14ac:dyDescent="0.3">
      <c r="B14" s="107"/>
      <c r="C14" s="109" t="s">
        <v>369</v>
      </c>
      <c r="D14" s="160">
        <v>2.19</v>
      </c>
      <c r="E14" s="161">
        <f>J18/E11</f>
        <v>1.9933218734506397</v>
      </c>
      <c r="F14" s="162">
        <f>D14/E14</f>
        <v>1.0986685237185958</v>
      </c>
      <c r="G14" s="107"/>
      <c r="H14" s="165" t="s">
        <v>370</v>
      </c>
      <c r="I14" s="112"/>
      <c r="J14" s="110"/>
      <c r="K14" s="107"/>
      <c r="L14" s="107"/>
    </row>
    <row r="15" spans="2:12" ht="15.6" x14ac:dyDescent="0.3">
      <c r="B15" s="107"/>
      <c r="C15" s="109"/>
      <c r="D15" s="166"/>
      <c r="E15" s="161"/>
      <c r="F15" s="167"/>
      <c r="G15" s="107"/>
      <c r="H15" s="165"/>
      <c r="I15" s="112"/>
      <c r="J15" s="110"/>
      <c r="K15" s="107"/>
      <c r="L15" s="107"/>
    </row>
    <row r="16" spans="2:12" ht="7.95" customHeight="1" x14ac:dyDescent="0.3">
      <c r="B16" s="107"/>
      <c r="C16" s="109"/>
      <c r="D16" s="166"/>
      <c r="E16" s="161"/>
      <c r="F16" s="167"/>
      <c r="G16" s="107"/>
      <c r="H16" s="165"/>
      <c r="I16" s="112"/>
      <c r="J16" s="110"/>
      <c r="K16" s="107"/>
      <c r="L16" s="107"/>
    </row>
    <row r="17" spans="2:14" ht="15.6" x14ac:dyDescent="0.3">
      <c r="B17" s="107"/>
      <c r="C17" s="109" t="s">
        <v>406</v>
      </c>
      <c r="D17" s="168"/>
      <c r="E17" s="169"/>
      <c r="F17" s="167"/>
      <c r="G17" s="107"/>
      <c r="H17" s="188" t="s">
        <v>141</v>
      </c>
      <c r="I17" s="171" t="s">
        <v>361</v>
      </c>
      <c r="J17" s="172">
        <v>596024.15635363979</v>
      </c>
      <c r="K17" s="173" t="s">
        <v>142</v>
      </c>
      <c r="L17" s="116"/>
    </row>
    <row r="18" spans="2:14" ht="15.6" x14ac:dyDescent="0.3">
      <c r="B18" s="107"/>
      <c r="C18" s="109" t="s">
        <v>407</v>
      </c>
      <c r="D18" s="174">
        <v>80</v>
      </c>
      <c r="E18" s="161">
        <f>(E10+E12)/((SUM('REPORT unit OB'!D12:D26)+SUM('REPORT unit QUARRY'!D16:D27)))</f>
        <v>43.066234309623425</v>
      </c>
      <c r="F18" s="162">
        <f t="shared" ref="F18" si="1">E18/D18</f>
        <v>0.53832792887029279</v>
      </c>
      <c r="G18" s="107"/>
      <c r="H18" s="188"/>
      <c r="I18" s="171" t="s">
        <v>362</v>
      </c>
      <c r="J18" s="172">
        <f>'REPORT unit OB'!G38+'REPORT unit QUARRY'!G29+'REPORT unit DEVELOP'!G11+'REPORT unit ORE GETTING'!G34+'REPORT unit DT HAUL'!H78+'REPORT unit LV &amp; support'!E38</f>
        <v>407315.81021849712</v>
      </c>
      <c r="K18" s="175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88"/>
      <c r="I19" s="171" t="s">
        <v>363</v>
      </c>
      <c r="J19" s="162">
        <f>J17/J18</f>
        <v>1.463297376141411</v>
      </c>
      <c r="K19" s="175"/>
      <c r="L19" s="107"/>
      <c r="N19" s="180"/>
    </row>
    <row r="20" spans="2:14" ht="7.95" customHeight="1" x14ac:dyDescent="0.3">
      <c r="B20" s="107"/>
      <c r="C20" s="109"/>
      <c r="D20" s="109"/>
      <c r="E20" s="113"/>
      <c r="F20" s="107"/>
      <c r="G20" s="107"/>
      <c r="H20" s="170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6" t="s">
        <v>371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83">
        <f>'REPORT unit OB'!J38</f>
        <v>7157900981.7813101</v>
      </c>
      <c r="E22" s="183"/>
      <c r="F22" s="183"/>
      <c r="G22" s="107"/>
      <c r="H22" s="109" t="s">
        <v>181</v>
      </c>
      <c r="I22" s="125">
        <f>J22/$J$30</f>
        <v>0.35615422917094214</v>
      </c>
      <c r="J22" s="126">
        <f>D22/E11</f>
        <v>35029.331631700436</v>
      </c>
      <c r="K22" s="127">
        <f>J22/$J$32</f>
        <v>2.3591952876953419</v>
      </c>
      <c r="L22" s="127"/>
    </row>
    <row r="23" spans="2:14" ht="15.6" x14ac:dyDescent="0.3">
      <c r="B23" s="107"/>
      <c r="C23" s="123" t="s">
        <v>173</v>
      </c>
      <c r="D23" s="183">
        <f>'REPORT unit QUARRY'!J29</f>
        <v>1072130001.1488132</v>
      </c>
      <c r="E23" s="183"/>
      <c r="F23" s="183"/>
      <c r="G23" s="107"/>
      <c r="H23" s="109" t="s">
        <v>182</v>
      </c>
      <c r="I23" s="125">
        <f t="shared" ref="I23:I27" si="2">J23/$J$30</f>
        <v>5.3345755285255647E-2</v>
      </c>
      <c r="J23" s="126">
        <f>D23/E11</f>
        <v>5246.7891715918922</v>
      </c>
      <c r="K23" s="127">
        <f t="shared" ref="K23:K27" si="3">J23/$J$32</f>
        <v>0.35336672761260052</v>
      </c>
      <c r="L23" s="127"/>
    </row>
    <row r="24" spans="2:14" ht="15.6" x14ac:dyDescent="0.3">
      <c r="B24" s="107"/>
      <c r="C24" s="123" t="s">
        <v>174</v>
      </c>
      <c r="D24" s="183">
        <f>'REPORT unit DEVELOP'!J11</f>
        <v>0</v>
      </c>
      <c r="E24" s="183"/>
      <c r="F24" s="183"/>
      <c r="G24" s="107"/>
      <c r="H24" s="109" t="s">
        <v>177</v>
      </c>
      <c r="I24" s="125">
        <f t="shared" si="2"/>
        <v>0</v>
      </c>
      <c r="J24" s="126">
        <f>D24/E11</f>
        <v>0</v>
      </c>
      <c r="K24" s="127">
        <f t="shared" si="3"/>
        <v>0</v>
      </c>
      <c r="L24" s="127"/>
    </row>
    <row r="25" spans="2:14" ht="15.6" x14ac:dyDescent="0.3">
      <c r="B25" s="107"/>
      <c r="C25" s="123" t="s">
        <v>175</v>
      </c>
      <c r="D25" s="183">
        <f>'REPORT unit ORE GETTING'!J34</f>
        <v>2197725538.0116959</v>
      </c>
      <c r="E25" s="183"/>
      <c r="F25" s="183"/>
      <c r="G25" s="107"/>
      <c r="H25" s="109" t="s">
        <v>178</v>
      </c>
      <c r="I25" s="125">
        <f t="shared" si="2"/>
        <v>0.10935178440049617</v>
      </c>
      <c r="J25" s="126">
        <f>D25/E11</f>
        <v>10755.227950542363</v>
      </c>
      <c r="K25" s="127">
        <f t="shared" si="3"/>
        <v>0.72435533072079494</v>
      </c>
      <c r="L25" s="127"/>
    </row>
    <row r="26" spans="2:14" ht="15.6" x14ac:dyDescent="0.3">
      <c r="B26" s="107"/>
      <c r="C26" s="123" t="s">
        <v>176</v>
      </c>
      <c r="D26" s="183">
        <f>'REPORT unit DT HAUL'!M78</f>
        <v>9457370000</v>
      </c>
      <c r="E26" s="183"/>
      <c r="F26" s="183"/>
      <c r="G26" s="107"/>
      <c r="H26" s="109" t="s">
        <v>179</v>
      </c>
      <c r="I26" s="125">
        <f t="shared" si="2"/>
        <v>0.4705684433058705</v>
      </c>
      <c r="J26" s="126">
        <f>D26/E11</f>
        <v>46282.471766080693</v>
      </c>
      <c r="K26" s="127">
        <f t="shared" si="3"/>
        <v>3.1170845747629778</v>
      </c>
      <c r="L26" s="127"/>
    </row>
    <row r="27" spans="2:14" ht="15.6" x14ac:dyDescent="0.3">
      <c r="B27" s="107"/>
      <c r="C27" s="123" t="s">
        <v>83</v>
      </c>
      <c r="D27" s="183">
        <f>'REPORT unit LV &amp; support'!H38</f>
        <v>212630000</v>
      </c>
      <c r="E27" s="183"/>
      <c r="F27" s="183"/>
      <c r="G27" s="107"/>
      <c r="H27" s="109" t="s">
        <v>180</v>
      </c>
      <c r="I27" s="125">
        <f t="shared" si="2"/>
        <v>1.0579787837435487E-2</v>
      </c>
      <c r="J27" s="126">
        <f>D27/E11</f>
        <v>1040.5685694460235</v>
      </c>
      <c r="K27" s="127">
        <f t="shared" si="3"/>
        <v>7.0081396110319466E-2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0.99999999999999989</v>
      </c>
      <c r="J28" s="129">
        <f t="shared" ref="J28:K28" si="4">SUM(J22:J27)</f>
        <v>98354.389089361415</v>
      </c>
      <c r="K28" s="130">
        <f t="shared" si="4"/>
        <v>6.624083316902035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197">
        <f>SUM(D22:F27)</f>
        <v>20097756520.941818</v>
      </c>
      <c r="E30" s="197"/>
      <c r="F30" s="197"/>
      <c r="G30" s="138"/>
      <c r="H30" s="133" t="s">
        <v>95</v>
      </c>
      <c r="I30" s="139"/>
      <c r="J30" s="190">
        <f>D30/E11</f>
        <v>98354.389089361415</v>
      </c>
      <c r="K30" s="190"/>
      <c r="L30" s="135"/>
    </row>
    <row r="31" spans="2:14" ht="18" x14ac:dyDescent="0.3">
      <c r="B31" s="107"/>
      <c r="C31" s="136" t="s">
        <v>49</v>
      </c>
      <c r="D31" s="191">
        <f>E11*(J33*J32)</f>
        <v>31857456099.84</v>
      </c>
      <c r="E31" s="191"/>
      <c r="F31" s="191"/>
      <c r="G31" s="138"/>
      <c r="H31" s="133" t="s">
        <v>85</v>
      </c>
      <c r="I31" s="139"/>
      <c r="J31" s="192">
        <f>J30/J32</f>
        <v>6.624083316902035</v>
      </c>
      <c r="K31" s="192"/>
      <c r="L31" s="142"/>
    </row>
    <row r="32" spans="2:14" ht="18" x14ac:dyDescent="0.3">
      <c r="B32" s="107"/>
      <c r="C32" s="136"/>
      <c r="D32" s="191"/>
      <c r="E32" s="191"/>
      <c r="F32" s="191"/>
      <c r="G32" s="138"/>
      <c r="H32" s="143" t="s">
        <v>80</v>
      </c>
      <c r="I32" s="144"/>
      <c r="J32" s="193">
        <v>14848</v>
      </c>
      <c r="K32" s="193"/>
      <c r="L32" s="107"/>
    </row>
    <row r="33" spans="2:12" ht="18" x14ac:dyDescent="0.3">
      <c r="B33" s="107"/>
      <c r="C33" s="194" t="s">
        <v>81</v>
      </c>
      <c r="D33" s="195">
        <f>D31-D30</f>
        <v>11759699578.898182</v>
      </c>
      <c r="E33" s="195"/>
      <c r="F33" s="195"/>
      <c r="G33" s="107"/>
      <c r="H33" s="143" t="s">
        <v>86</v>
      </c>
      <c r="I33" s="144"/>
      <c r="J33" s="196">
        <v>10.5</v>
      </c>
      <c r="K33" s="196"/>
      <c r="L33" s="107"/>
    </row>
    <row r="34" spans="2:12" ht="18" x14ac:dyDescent="0.3">
      <c r="B34" s="107"/>
      <c r="C34" s="194"/>
      <c r="D34" s="195"/>
      <c r="E34" s="195"/>
      <c r="F34" s="195"/>
      <c r="G34" s="107"/>
      <c r="H34" s="143"/>
      <c r="I34" s="144"/>
      <c r="J34" s="150"/>
      <c r="K34" s="107"/>
      <c r="L34" s="107"/>
    </row>
    <row r="35" spans="2:12" ht="14.4" customHeight="1" x14ac:dyDescent="0.3">
      <c r="B35" s="189" t="str">
        <f>IF(D31&lt;D30,("….RUGI …..!!!!!"),("OKE….."))</f>
        <v>OKE…..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</row>
    <row r="36" spans="2:12" ht="14.4" customHeight="1" x14ac:dyDescent="0.3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</row>
    <row r="37" spans="2:12" ht="14.4" customHeight="1" x14ac:dyDescent="0.3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</row>
    <row r="39" spans="2:12" x14ac:dyDescent="0.3">
      <c r="H39" s="153"/>
    </row>
  </sheetData>
  <mergeCells count="21"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  <mergeCell ref="D23:F23"/>
    <mergeCell ref="D24:F24"/>
    <mergeCell ref="D25:F25"/>
    <mergeCell ref="D26:F26"/>
    <mergeCell ref="D27:F27"/>
    <mergeCell ref="D22:F22"/>
    <mergeCell ref="B2:L3"/>
    <mergeCell ref="C5:C7"/>
    <mergeCell ref="D5:F7"/>
    <mergeCell ref="H5:J7"/>
    <mergeCell ref="H17:H19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9"/>
  <sheetViews>
    <sheetView topLeftCell="J94" workbookViewId="0">
      <selection activeCell="S117" sqref="S117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346</v>
      </c>
      <c r="P2" s="64" t="s">
        <v>347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278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286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313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279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287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342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301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288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302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303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314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304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305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306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307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308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209" t="s">
        <v>134</v>
      </c>
      <c r="B28" s="209"/>
      <c r="C28" s="209"/>
      <c r="O28" s="64" t="s">
        <v>343</v>
      </c>
      <c r="P28" s="64" t="s">
        <v>111</v>
      </c>
    </row>
    <row r="29" spans="1:16" x14ac:dyDescent="0.3">
      <c r="J29" s="154" t="s">
        <v>352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289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299</v>
      </c>
      <c r="P40" s="64" t="s">
        <v>116</v>
      </c>
    </row>
    <row r="41" spans="1:16" x14ac:dyDescent="0.3">
      <c r="O41" s="64" t="s">
        <v>318</v>
      </c>
      <c r="P41" s="64" t="s">
        <v>116</v>
      </c>
    </row>
    <row r="42" spans="1:16" x14ac:dyDescent="0.3">
      <c r="O42" s="64" t="s">
        <v>290</v>
      </c>
      <c r="P42" s="64" t="s">
        <v>116</v>
      </c>
    </row>
    <row r="43" spans="1:16" x14ac:dyDescent="0.3">
      <c r="O43" s="64" t="s">
        <v>300</v>
      </c>
      <c r="P43" s="64" t="s">
        <v>116</v>
      </c>
    </row>
    <row r="44" spans="1:16" x14ac:dyDescent="0.3">
      <c r="O44" s="64" t="s">
        <v>291</v>
      </c>
      <c r="P44" s="64" t="s">
        <v>116</v>
      </c>
    </row>
    <row r="45" spans="1:16" x14ac:dyDescent="0.3">
      <c r="O45" s="64" t="s">
        <v>292</v>
      </c>
      <c r="P45" s="64" t="s">
        <v>116</v>
      </c>
    </row>
    <row r="46" spans="1:16" x14ac:dyDescent="0.3">
      <c r="O46" s="64" t="s">
        <v>293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280</v>
      </c>
      <c r="P61" s="64" t="s">
        <v>116</v>
      </c>
    </row>
    <row r="62" spans="15:16" x14ac:dyDescent="0.3">
      <c r="O62" s="64" t="s">
        <v>281</v>
      </c>
      <c r="P62" s="64" t="s">
        <v>116</v>
      </c>
    </row>
    <row r="63" spans="15:16" x14ac:dyDescent="0.3">
      <c r="O63" s="64" t="s">
        <v>282</v>
      </c>
      <c r="P63" s="64" t="s">
        <v>116</v>
      </c>
    </row>
    <row r="64" spans="15:16" x14ac:dyDescent="0.3">
      <c r="O64" s="64" t="s">
        <v>325</v>
      </c>
      <c r="P64" s="64" t="s">
        <v>120</v>
      </c>
    </row>
    <row r="65" spans="15:16" x14ac:dyDescent="0.3">
      <c r="O65" s="64" t="s">
        <v>294</v>
      </c>
      <c r="P65" s="64" t="s">
        <v>120</v>
      </c>
    </row>
    <row r="66" spans="15:16" x14ac:dyDescent="0.3">
      <c r="O66" s="64" t="s">
        <v>295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283</v>
      </c>
      <c r="P71" s="64" t="s">
        <v>120</v>
      </c>
    </row>
    <row r="72" spans="15:16" x14ac:dyDescent="0.3">
      <c r="O72" s="64" t="s">
        <v>309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296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284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315</v>
      </c>
      <c r="P78" s="64" t="s">
        <v>129</v>
      </c>
    </row>
    <row r="79" spans="15:16" x14ac:dyDescent="0.3">
      <c r="O79" s="64" t="s">
        <v>316</v>
      </c>
      <c r="P79" s="64" t="s">
        <v>123</v>
      </c>
    </row>
    <row r="80" spans="15:16" x14ac:dyDescent="0.3">
      <c r="O80" s="64" t="s">
        <v>326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337</v>
      </c>
      <c r="P82" s="64" t="s">
        <v>38</v>
      </c>
    </row>
    <row r="83" spans="15:16" x14ac:dyDescent="0.3">
      <c r="O83" s="64" t="s">
        <v>270</v>
      </c>
      <c r="P83" s="64" t="s">
        <v>38</v>
      </c>
    </row>
    <row r="84" spans="15:16" x14ac:dyDescent="0.3">
      <c r="O84" s="64" t="s">
        <v>271</v>
      </c>
      <c r="P84" s="64" t="s">
        <v>38</v>
      </c>
    </row>
    <row r="85" spans="15:16" x14ac:dyDescent="0.3">
      <c r="O85" s="64" t="s">
        <v>272</v>
      </c>
      <c r="P85" s="64" t="s">
        <v>38</v>
      </c>
    </row>
    <row r="86" spans="15:16" x14ac:dyDescent="0.3">
      <c r="O86" s="64" t="s">
        <v>285</v>
      </c>
      <c r="P86" s="64" t="s">
        <v>38</v>
      </c>
    </row>
    <row r="87" spans="15:16" x14ac:dyDescent="0.3">
      <c r="O87" s="64" t="s">
        <v>338</v>
      </c>
      <c r="P87" s="64" t="s">
        <v>38</v>
      </c>
    </row>
    <row r="88" spans="15:16" x14ac:dyDescent="0.3">
      <c r="O88" s="64" t="s">
        <v>268</v>
      </c>
      <c r="P88" s="64" t="s">
        <v>38</v>
      </c>
    </row>
    <row r="89" spans="15:16" x14ac:dyDescent="0.3">
      <c r="O89" s="64" t="s">
        <v>312</v>
      </c>
      <c r="P89" s="64" t="s">
        <v>38</v>
      </c>
    </row>
    <row r="90" spans="15:16" x14ac:dyDescent="0.3">
      <c r="O90" s="64" t="s">
        <v>319</v>
      </c>
      <c r="P90" s="64" t="s">
        <v>38</v>
      </c>
    </row>
    <row r="91" spans="15:16" x14ac:dyDescent="0.3">
      <c r="O91" s="64" t="s">
        <v>344</v>
      </c>
      <c r="P91" s="64" t="s">
        <v>38</v>
      </c>
    </row>
    <row r="92" spans="15:16" x14ac:dyDescent="0.3">
      <c r="O92" s="64" t="s">
        <v>320</v>
      </c>
      <c r="P92" s="64" t="s">
        <v>38</v>
      </c>
    </row>
    <row r="93" spans="15:16" x14ac:dyDescent="0.3">
      <c r="O93" s="64" t="s">
        <v>321</v>
      </c>
      <c r="P93" s="64" t="s">
        <v>38</v>
      </c>
    </row>
    <row r="94" spans="15:16" x14ac:dyDescent="0.3">
      <c r="O94" s="64" t="s">
        <v>322</v>
      </c>
      <c r="P94" s="64" t="s">
        <v>38</v>
      </c>
    </row>
    <row r="95" spans="15:16" x14ac:dyDescent="0.3">
      <c r="O95" s="64" t="s">
        <v>349</v>
      </c>
      <c r="P95" s="64" t="s">
        <v>38</v>
      </c>
    </row>
    <row r="96" spans="15:16" x14ac:dyDescent="0.3">
      <c r="O96" s="64" t="s">
        <v>269</v>
      </c>
      <c r="P96" s="64" t="s">
        <v>38</v>
      </c>
    </row>
    <row r="97" spans="15:16" x14ac:dyDescent="0.3">
      <c r="O97" s="64" t="s">
        <v>323</v>
      </c>
      <c r="P97" s="64" t="s">
        <v>38</v>
      </c>
    </row>
    <row r="98" spans="15:16" x14ac:dyDescent="0.3">
      <c r="O98" s="64" t="s">
        <v>345</v>
      </c>
      <c r="P98" s="64" t="s">
        <v>38</v>
      </c>
    </row>
    <row r="99" spans="15:16" x14ac:dyDescent="0.3">
      <c r="O99" s="64" t="s">
        <v>297</v>
      </c>
      <c r="P99" s="64" t="s">
        <v>38</v>
      </c>
    </row>
    <row r="100" spans="15:16" x14ac:dyDescent="0.3">
      <c r="O100" s="64" t="s">
        <v>311</v>
      </c>
      <c r="P100" s="64" t="s">
        <v>38</v>
      </c>
    </row>
    <row r="101" spans="15:16" x14ac:dyDescent="0.3">
      <c r="O101" s="64" t="s">
        <v>324</v>
      </c>
      <c r="P101" s="64" t="s">
        <v>38</v>
      </c>
    </row>
    <row r="102" spans="15:16" x14ac:dyDescent="0.3">
      <c r="O102" s="64" t="s">
        <v>273</v>
      </c>
      <c r="P102" s="64" t="s">
        <v>130</v>
      </c>
    </row>
    <row r="103" spans="15:16" x14ac:dyDescent="0.3">
      <c r="O103" s="64" t="s">
        <v>327</v>
      </c>
      <c r="P103" s="64" t="s">
        <v>152</v>
      </c>
    </row>
    <row r="104" spans="15:16" x14ac:dyDescent="0.3">
      <c r="O104" s="64" t="s">
        <v>274</v>
      </c>
      <c r="P104" s="64" t="s">
        <v>130</v>
      </c>
    </row>
    <row r="105" spans="15:16" x14ac:dyDescent="0.3">
      <c r="O105" s="64" t="s">
        <v>275</v>
      </c>
      <c r="P105" s="64" t="s">
        <v>130</v>
      </c>
    </row>
    <row r="106" spans="15:16" x14ac:dyDescent="0.3">
      <c r="O106" s="64" t="s">
        <v>348</v>
      </c>
      <c r="P106" s="64" t="s">
        <v>130</v>
      </c>
    </row>
    <row r="107" spans="15:16" x14ac:dyDescent="0.3">
      <c r="O107" s="64" t="s">
        <v>339</v>
      </c>
      <c r="P107" s="64" t="s">
        <v>152</v>
      </c>
    </row>
    <row r="108" spans="15:16" x14ac:dyDescent="0.3">
      <c r="O108" s="64" t="s">
        <v>276</v>
      </c>
      <c r="P108" s="64" t="s">
        <v>152</v>
      </c>
    </row>
    <row r="109" spans="15:16" x14ac:dyDescent="0.3">
      <c r="O109" s="64" t="s">
        <v>277</v>
      </c>
      <c r="P109" s="64" t="s">
        <v>152</v>
      </c>
    </row>
    <row r="110" spans="15:16" x14ac:dyDescent="0.3">
      <c r="O110" s="64" t="s">
        <v>328</v>
      </c>
      <c r="P110" s="64" t="s">
        <v>152</v>
      </c>
    </row>
    <row r="111" spans="15:16" x14ac:dyDescent="0.3">
      <c r="O111" s="64" t="s">
        <v>341</v>
      </c>
    </row>
    <row r="112" spans="15:16" x14ac:dyDescent="0.3">
      <c r="O112" s="64" t="s">
        <v>355</v>
      </c>
      <c r="P112" s="64" t="s">
        <v>38</v>
      </c>
    </row>
    <row r="113" spans="15:16" x14ac:dyDescent="0.3">
      <c r="O113" s="64" t="s">
        <v>356</v>
      </c>
    </row>
    <row r="114" spans="15:16" x14ac:dyDescent="0.3">
      <c r="O114" s="64" t="s">
        <v>359</v>
      </c>
      <c r="P114" s="64" t="s">
        <v>118</v>
      </c>
    </row>
    <row r="115" spans="15:16" x14ac:dyDescent="0.3">
      <c r="O115" s="64" t="s">
        <v>401</v>
      </c>
      <c r="P115" s="64" t="s">
        <v>112</v>
      </c>
    </row>
    <row r="116" spans="15:16" x14ac:dyDescent="0.3">
      <c r="O116" s="64" t="s">
        <v>402</v>
      </c>
      <c r="P116" s="64" t="s">
        <v>115</v>
      </c>
    </row>
    <row r="117" spans="15:16" x14ac:dyDescent="0.3">
      <c r="O117" s="64" t="s">
        <v>360</v>
      </c>
      <c r="P117" s="64" t="s">
        <v>38</v>
      </c>
    </row>
    <row r="118" spans="15:16" x14ac:dyDescent="0.3">
      <c r="O118" s="64" t="s">
        <v>403</v>
      </c>
      <c r="P118" s="64" t="s">
        <v>152</v>
      </c>
    </row>
    <row r="119" spans="15:16" x14ac:dyDescent="0.3">
      <c r="O119" s="64" t="s">
        <v>408</v>
      </c>
      <c r="P119" s="64" t="s">
        <v>111</v>
      </c>
    </row>
  </sheetData>
  <autoFilter ref="O2:P2" xr:uid="{00000000-0001-0000-0000-000000000000}"/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84" t="s">
        <v>357</v>
      </c>
      <c r="C2" s="184"/>
      <c r="D2" s="184"/>
      <c r="E2" s="184"/>
      <c r="F2" s="184"/>
      <c r="G2" s="184"/>
      <c r="H2" s="184"/>
      <c r="I2" s="184"/>
      <c r="J2" s="184"/>
    </row>
    <row r="3" spans="2:10" x14ac:dyDescent="0.3">
      <c r="B3" s="184"/>
      <c r="C3" s="184"/>
      <c r="D3" s="184"/>
      <c r="E3" s="184"/>
      <c r="F3" s="184"/>
      <c r="G3" s="184"/>
      <c r="H3" s="184"/>
      <c r="I3" s="184"/>
      <c r="J3" s="184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85" t="s">
        <v>185</v>
      </c>
      <c r="D5" s="186" t="s">
        <v>358</v>
      </c>
      <c r="E5" s="198"/>
      <c r="F5" s="107"/>
      <c r="G5" s="187" t="s">
        <v>184</v>
      </c>
      <c r="H5" s="199"/>
      <c r="I5" s="199"/>
      <c r="J5" s="107"/>
    </row>
    <row r="6" spans="2:10" ht="14.4" customHeight="1" x14ac:dyDescent="0.3">
      <c r="B6" s="107"/>
      <c r="C6" s="185"/>
      <c r="D6" s="198"/>
      <c r="E6" s="198"/>
      <c r="F6" s="107"/>
      <c r="G6" s="199"/>
      <c r="H6" s="199"/>
      <c r="I6" s="199"/>
      <c r="J6" s="107"/>
    </row>
    <row r="7" spans="2:10" ht="14.4" customHeight="1" x14ac:dyDescent="0.3">
      <c r="B7" s="107"/>
      <c r="C7" s="185"/>
      <c r="D7" s="198"/>
      <c r="E7" s="198"/>
      <c r="F7" s="107"/>
      <c r="G7" s="199"/>
      <c r="H7" s="199"/>
      <c r="I7" s="199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HAUL'!D78</f>
        <v>204340.21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0.83384058379894987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350</v>
      </c>
      <c r="D14" s="109"/>
      <c r="E14" s="113"/>
      <c r="F14" s="107"/>
      <c r="G14" s="114" t="s">
        <v>351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OB'!D8:D36)</f>
        <v>1014.5201083591331</v>
      </c>
      <c r="F15" s="107"/>
      <c r="G15" s="115" t="s">
        <v>141</v>
      </c>
      <c r="H15" s="116" t="s">
        <v>142</v>
      </c>
      <c r="I15" s="117">
        <f>'REPORT unit OB'!G38+'REPORT unit QUARRY'!G29+'REPORT unit DEVELOP'!G11+'REPORT unit ORE GETTING'!G34+'REPORT unit DT HAUL'!H78+'REPORT unit LV &amp; support'!E38</f>
        <v>407315.81021849712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OB'!J38</f>
        <v>7157900981.7813101</v>
      </c>
      <c r="F18" s="107"/>
      <c r="G18" s="109" t="s">
        <v>181</v>
      </c>
      <c r="H18" s="125">
        <f>I18/$I$26</f>
        <v>0.35615422917094214</v>
      </c>
      <c r="I18" s="126">
        <f>E18/E10</f>
        <v>35029.331631700436</v>
      </c>
      <c r="J18" s="127">
        <f>I18/$I$28</f>
        <v>2.3591952876953419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QUARRY'!J29</f>
        <v>1072130001.1488132</v>
      </c>
      <c r="F19" s="107"/>
      <c r="G19" s="109" t="s">
        <v>182</v>
      </c>
      <c r="H19" s="125">
        <f t="shared" ref="H19:H23" si="0">I19/$I$26</f>
        <v>5.3345755285255647E-2</v>
      </c>
      <c r="I19" s="126">
        <f>E19/E10</f>
        <v>5246.7891715918922</v>
      </c>
      <c r="J19" s="127">
        <f t="shared" ref="J19:J23" si="1">I19/$I$28</f>
        <v>0.35336672761260052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0</v>
      </c>
      <c r="F20" s="107"/>
      <c r="G20" s="109" t="s">
        <v>177</v>
      </c>
      <c r="H20" s="125">
        <f t="shared" si="0"/>
        <v>0</v>
      </c>
      <c r="I20" s="126">
        <f>E20/E10</f>
        <v>0</v>
      </c>
      <c r="J20" s="127">
        <f t="shared" si="1"/>
        <v>0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GETTING'!J34</f>
        <v>2197725538.0116959</v>
      </c>
      <c r="F21" s="107"/>
      <c r="G21" s="109" t="s">
        <v>178</v>
      </c>
      <c r="H21" s="125">
        <f t="shared" si="0"/>
        <v>0.10935178440049617</v>
      </c>
      <c r="I21" s="126">
        <f>E21/E10</f>
        <v>10755.227950542363</v>
      </c>
      <c r="J21" s="127">
        <f t="shared" si="1"/>
        <v>0.72435533072079494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HAUL'!M78</f>
        <v>9457370000</v>
      </c>
      <c r="F22" s="107"/>
      <c r="G22" s="109" t="s">
        <v>179</v>
      </c>
      <c r="H22" s="125">
        <f t="shared" si="0"/>
        <v>0.4705684433058705</v>
      </c>
      <c r="I22" s="126">
        <f>E22/E10</f>
        <v>46282.471766080693</v>
      </c>
      <c r="J22" s="127">
        <f t="shared" si="1"/>
        <v>3.1170845747629778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support'!H38</f>
        <v>212630000</v>
      </c>
      <c r="F23" s="107"/>
      <c r="G23" s="109" t="s">
        <v>180</v>
      </c>
      <c r="H23" s="125">
        <f t="shared" si="0"/>
        <v>1.0579787837435487E-2</v>
      </c>
      <c r="I23" s="126">
        <f>E23/E10</f>
        <v>1040.5685694460235</v>
      </c>
      <c r="J23" s="127">
        <f t="shared" si="1"/>
        <v>7.0081396110319466E-2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98354.389089361415</v>
      </c>
      <c r="J24" s="130">
        <f t="shared" si="2"/>
        <v>6.624083316902035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20097756520.941818</v>
      </c>
      <c r="F26" s="138"/>
      <c r="G26" s="133" t="s">
        <v>95</v>
      </c>
      <c r="H26" s="139"/>
      <c r="I26" s="134">
        <f>E26/E10</f>
        <v>98354.389089361415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6.624083316902035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31857456099.84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11759699578.898182</v>
      </c>
      <c r="F30" s="107"/>
      <c r="G30" s="143"/>
      <c r="H30" s="144"/>
      <c r="I30" s="150"/>
      <c r="J30" s="107"/>
    </row>
    <row r="31" spans="2:10" ht="14.4" customHeight="1" x14ac:dyDescent="0.3">
      <c r="B31" s="189" t="str">
        <f>IF(E28&lt;E26,("….RUGI …..!!!!!"),("OKE….."))</f>
        <v>OKE…..</v>
      </c>
      <c r="C31" s="189"/>
      <c r="D31" s="189"/>
      <c r="E31" s="189"/>
      <c r="F31" s="189"/>
      <c r="G31" s="189"/>
      <c r="H31" s="189"/>
      <c r="I31" s="189"/>
      <c r="J31" s="189"/>
    </row>
    <row r="32" spans="2:10" ht="14.4" customHeight="1" x14ac:dyDescent="0.3">
      <c r="B32" s="189"/>
      <c r="C32" s="189"/>
      <c r="D32" s="189"/>
      <c r="E32" s="189"/>
      <c r="F32" s="189"/>
      <c r="G32" s="189"/>
      <c r="H32" s="189"/>
      <c r="I32" s="189"/>
      <c r="J32" s="189"/>
    </row>
    <row r="33" spans="2:10" ht="14.4" customHeight="1" x14ac:dyDescent="0.3">
      <c r="B33" s="189"/>
      <c r="C33" s="189"/>
      <c r="D33" s="189"/>
      <c r="E33" s="189"/>
      <c r="F33" s="189"/>
      <c r="G33" s="189"/>
      <c r="H33" s="189"/>
      <c r="I33" s="189"/>
      <c r="J33" s="189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zoomScaleNormal="100" workbookViewId="0">
      <pane xSplit="1" ySplit="2" topLeftCell="C3" activePane="bottomRight" state="frozenSplit"/>
      <selection pane="topRight" activeCell="B1" sqref="B1"/>
      <selection pane="bottomLeft" activeCell="A4" sqref="A4"/>
      <selection pane="bottomRight" activeCell="J26" sqref="J26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353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354</v>
      </c>
    </row>
    <row r="3" spans="1:17" x14ac:dyDescent="0.3">
      <c r="A3" s="72" t="s">
        <v>365</v>
      </c>
      <c r="B3" s="91">
        <v>2593394.6799999997</v>
      </c>
      <c r="C3" s="73">
        <v>162229.22999999998</v>
      </c>
      <c r="D3" s="73">
        <v>170387.16</v>
      </c>
      <c r="E3" s="73">
        <v>141007.28000000003</v>
      </c>
      <c r="F3" s="73">
        <v>111460.29999999999</v>
      </c>
      <c r="G3" s="73">
        <f>SUMMARY!$E$10</f>
        <v>111460.29999999999</v>
      </c>
      <c r="H3" s="73"/>
      <c r="I3" s="73"/>
      <c r="J3" s="73"/>
      <c r="K3" s="73"/>
      <c r="L3" s="73"/>
      <c r="M3" s="73"/>
      <c r="N3" s="73"/>
      <c r="O3" s="91">
        <f>SUM(C3:N3)</f>
        <v>696544.27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v>220801.4</v>
      </c>
      <c r="F4" s="76">
        <v>202342.57</v>
      </c>
      <c r="G4" s="76">
        <f>SUMMARY!$E$11</f>
        <v>204340.21</v>
      </c>
      <c r="H4" s="76"/>
      <c r="I4" s="76"/>
      <c r="J4" s="76"/>
      <c r="K4" s="76"/>
      <c r="L4" s="76"/>
      <c r="M4" s="76"/>
      <c r="N4" s="76"/>
      <c r="O4" s="92">
        <f>SUM(C4:N4)</f>
        <v>1101662.6399999999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v>34352.259999999995</v>
      </c>
      <c r="F5" s="102">
        <v>22346.49</v>
      </c>
      <c r="G5" s="102">
        <f>SUMMARY!$E$12</f>
        <v>22346.49</v>
      </c>
      <c r="H5" s="102"/>
      <c r="I5" s="102"/>
      <c r="J5" s="102"/>
      <c r="K5" s="102"/>
      <c r="L5" s="102"/>
      <c r="M5" s="102"/>
      <c r="N5" s="102"/>
      <c r="O5" s="103">
        <f>SUM(C5:N5)</f>
        <v>130069.85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v>0.63861587834135125</v>
      </c>
      <c r="F6" s="78">
        <v>0.55084948263729172</v>
      </c>
      <c r="G6" s="78">
        <f>SUMMARY!$E$13</f>
        <v>0.54546435084900813</v>
      </c>
      <c r="H6" s="78"/>
      <c r="I6" s="78"/>
      <c r="J6" s="78"/>
      <c r="K6" s="78"/>
      <c r="L6" s="78"/>
      <c r="M6" s="78"/>
      <c r="N6" s="78"/>
      <c r="O6" s="93">
        <f>O3/O4</f>
        <v>0.63226639872257084</v>
      </c>
    </row>
    <row r="7" spans="1:17" x14ac:dyDescent="0.3">
      <c r="A7" s="69" t="s">
        <v>373</v>
      </c>
      <c r="B7" s="94"/>
      <c r="C7" s="177">
        <v>0.74253772354962899</v>
      </c>
      <c r="D7" s="177">
        <v>0.83765309627028406</v>
      </c>
      <c r="E7" s="177">
        <v>0.70707209506681568</v>
      </c>
      <c r="F7" s="177">
        <v>0.66103056420606143</v>
      </c>
      <c r="G7" s="177">
        <f>SUMMARY!$F$10</f>
        <v>0.6355740395301217</v>
      </c>
      <c r="H7" s="79"/>
      <c r="I7" s="79"/>
      <c r="J7" s="79"/>
      <c r="K7" s="79"/>
      <c r="L7" s="79"/>
      <c r="M7" s="79"/>
      <c r="N7" s="79"/>
      <c r="O7" s="98">
        <f t="shared" ref="O7:O9" si="0">AVERAGE(C7:N7)</f>
        <v>0.71677350372458226</v>
      </c>
    </row>
    <row r="8" spans="1:17" x14ac:dyDescent="0.3">
      <c r="A8" s="69" t="s">
        <v>374</v>
      </c>
      <c r="B8" s="94"/>
      <c r="C8" s="177">
        <v>0.97757868733841513</v>
      </c>
      <c r="D8" s="177">
        <v>1.0200287269450323</v>
      </c>
      <c r="E8" s="177">
        <v>0.72406828784212274</v>
      </c>
      <c r="F8" s="177">
        <v>0.60339142988368932</v>
      </c>
      <c r="G8" s="177">
        <f>SUMMARY!$F$11</f>
        <v>0.67460717335175269</v>
      </c>
      <c r="H8" s="79"/>
      <c r="I8" s="79"/>
      <c r="J8" s="79"/>
      <c r="K8" s="79"/>
      <c r="L8" s="79"/>
      <c r="M8" s="79"/>
      <c r="N8" s="79"/>
      <c r="O8" s="98">
        <f t="shared" si="0"/>
        <v>0.79993486107220257</v>
      </c>
    </row>
    <row r="9" spans="1:17" x14ac:dyDescent="0.3">
      <c r="A9" s="69" t="s">
        <v>375</v>
      </c>
      <c r="B9" s="94"/>
      <c r="C9" s="177">
        <v>0.41234954552156672</v>
      </c>
      <c r="D9" s="177">
        <v>0.8113318461598763</v>
      </c>
      <c r="E9" s="177">
        <v>0.86128618495725751</v>
      </c>
      <c r="F9" s="177">
        <v>0.66264458702897411</v>
      </c>
      <c r="G9" s="177">
        <f>SUMMARY!$F$12</f>
        <v>1.0618765095897726</v>
      </c>
      <c r="H9" s="79"/>
      <c r="I9" s="79"/>
      <c r="J9" s="79"/>
      <c r="K9" s="79"/>
      <c r="L9" s="79"/>
      <c r="M9" s="79"/>
      <c r="N9" s="79"/>
      <c r="O9" s="98">
        <f t="shared" si="0"/>
        <v>0.76189773465148947</v>
      </c>
    </row>
    <row r="10" spans="1:17" x14ac:dyDescent="0.3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v>213.95746705710121</v>
      </c>
      <c r="F10" s="79">
        <v>182.79616120218577</v>
      </c>
      <c r="G10" s="79">
        <f>SUMMARY!$E$18</f>
        <v>43.066234309623425</v>
      </c>
      <c r="H10" s="79"/>
      <c r="I10" s="79"/>
      <c r="J10" s="79"/>
      <c r="K10" s="79"/>
      <c r="L10" s="79"/>
      <c r="M10" s="79"/>
      <c r="N10" s="79"/>
      <c r="O10" s="94">
        <f>AVERAGE(C10:N10)</f>
        <v>518.97515865139235</v>
      </c>
    </row>
    <row r="11" spans="1:17" x14ac:dyDescent="0.3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v>7633760648.9456692</v>
      </c>
      <c r="F11" s="80">
        <v>5863845675.0929871</v>
      </c>
      <c r="G11" s="80">
        <f>SUMMARY!$D$22</f>
        <v>7157900981.7813101</v>
      </c>
      <c r="H11" s="80"/>
      <c r="I11" s="80"/>
      <c r="J11" s="80"/>
      <c r="K11" s="80"/>
      <c r="L11" s="80"/>
      <c r="M11" s="80"/>
      <c r="N11" s="80"/>
      <c r="O11" s="95">
        <f t="shared" ref="O11:O30" si="1">SUM(C11:N11)</f>
        <v>36185387880.806419</v>
      </c>
      <c r="Q11" s="108"/>
    </row>
    <row r="12" spans="1:17" x14ac:dyDescent="0.3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v>1215626563.5057042</v>
      </c>
      <c r="F12" s="80">
        <v>913239430.08529866</v>
      </c>
      <c r="G12" s="80">
        <f>SUMMARY!$D$23</f>
        <v>1072130001.1488132</v>
      </c>
      <c r="H12" s="80"/>
      <c r="I12" s="80"/>
      <c r="J12" s="80"/>
      <c r="K12" s="80"/>
      <c r="L12" s="80"/>
      <c r="M12" s="80"/>
      <c r="N12" s="80"/>
      <c r="O12" s="95">
        <f t="shared" si="1"/>
        <v>4894671185.3388739</v>
      </c>
      <c r="Q12" s="108"/>
    </row>
    <row r="13" spans="1:17" x14ac:dyDescent="0.3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v>112614000</v>
      </c>
      <c r="F13" s="80">
        <v>50126000</v>
      </c>
      <c r="G13" s="80">
        <f>SUMMARY!$D$24</f>
        <v>0</v>
      </c>
      <c r="H13" s="80"/>
      <c r="I13" s="80"/>
      <c r="J13" s="80"/>
      <c r="K13" s="80"/>
      <c r="L13" s="80"/>
      <c r="M13" s="80"/>
      <c r="N13" s="80"/>
      <c r="O13" s="95">
        <f t="shared" si="1"/>
        <v>304477500</v>
      </c>
      <c r="Q13" s="108"/>
    </row>
    <row r="14" spans="1:17" x14ac:dyDescent="0.3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v>2216656000.4908934</v>
      </c>
      <c r="F14" s="80">
        <v>1626803827.5208366</v>
      </c>
      <c r="G14" s="80">
        <f>SUMMARY!$D$25</f>
        <v>2197725538.0116959</v>
      </c>
      <c r="H14" s="80"/>
      <c r="I14" s="80"/>
      <c r="J14" s="80"/>
      <c r="K14" s="80"/>
      <c r="L14" s="80"/>
      <c r="M14" s="80"/>
      <c r="N14" s="80"/>
      <c r="O14" s="95">
        <f t="shared" si="1"/>
        <v>10565105067.100952</v>
      </c>
      <c r="Q14" s="108"/>
    </row>
    <row r="15" spans="1:17" x14ac:dyDescent="0.3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v>9946061000</v>
      </c>
      <c r="F15" s="80">
        <v>9642996500</v>
      </c>
      <c r="G15" s="80">
        <f>SUMMARY!$D$26</f>
        <v>9457370000</v>
      </c>
      <c r="H15" s="80"/>
      <c r="I15" s="80"/>
      <c r="J15" s="80"/>
      <c r="K15" s="80"/>
      <c r="L15" s="80"/>
      <c r="M15" s="80"/>
      <c r="N15" s="80"/>
      <c r="O15" s="95">
        <f t="shared" si="1"/>
        <v>45475015000</v>
      </c>
      <c r="Q15" s="108"/>
    </row>
    <row r="16" spans="1:17" x14ac:dyDescent="0.3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v>204840000</v>
      </c>
      <c r="F16" s="80">
        <v>295340000</v>
      </c>
      <c r="G16" s="80">
        <f>SUMMARY!$D$27</f>
        <v>212630000</v>
      </c>
      <c r="H16" s="80"/>
      <c r="I16" s="80"/>
      <c r="J16" s="80"/>
      <c r="K16" s="80"/>
      <c r="L16" s="80"/>
      <c r="M16" s="80"/>
      <c r="N16" s="80"/>
      <c r="O16" s="95">
        <f t="shared" si="1"/>
        <v>1367159000</v>
      </c>
      <c r="Q16" s="108"/>
    </row>
    <row r="17" spans="1:15" x14ac:dyDescent="0.3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v>21329558212.942268</v>
      </c>
      <c r="F17" s="80">
        <v>18392351432.699123</v>
      </c>
      <c r="G17" s="80">
        <f>SUMMARY!$D$30</f>
        <v>20097756520.941818</v>
      </c>
      <c r="H17" s="80"/>
      <c r="I17" s="80"/>
      <c r="J17" s="80"/>
      <c r="K17" s="80"/>
      <c r="L17" s="80"/>
      <c r="M17" s="80"/>
      <c r="N17" s="80"/>
      <c r="O17" s="95">
        <f t="shared" si="1"/>
        <v>98791815633.246246</v>
      </c>
    </row>
    <row r="18" spans="1:15" x14ac:dyDescent="0.3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v>34423821465.599998</v>
      </c>
      <c r="F18" s="80">
        <v>31546016033.280003</v>
      </c>
      <c r="G18" s="80">
        <f>SUMMARY!$D$31</f>
        <v>31857456099.84</v>
      </c>
      <c r="H18" s="80"/>
      <c r="I18" s="80"/>
      <c r="J18" s="80"/>
      <c r="K18" s="80"/>
      <c r="L18" s="80"/>
      <c r="M18" s="80"/>
      <c r="N18" s="80"/>
      <c r="O18" s="95">
        <f t="shared" si="1"/>
        <v>171753612226.56</v>
      </c>
    </row>
    <row r="19" spans="1:15" x14ac:dyDescent="0.3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v>13094263252.65773</v>
      </c>
      <c r="F19" s="81">
        <v>13153664600.580879</v>
      </c>
      <c r="G19" s="81">
        <f>G18-G17</f>
        <v>11759699578.898182</v>
      </c>
      <c r="H19" s="81"/>
      <c r="I19" s="81"/>
      <c r="J19" s="81"/>
      <c r="K19" s="81"/>
      <c r="L19" s="81"/>
      <c r="M19" s="81"/>
      <c r="N19" s="81"/>
      <c r="O19" s="96">
        <f t="shared" si="1"/>
        <v>72961796593.313751</v>
      </c>
    </row>
    <row r="20" spans="1:15" x14ac:dyDescent="0.3">
      <c r="A20" s="86" t="s">
        <v>340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v>0.61961622227959401</v>
      </c>
      <c r="F20" s="87">
        <v>0.58303246322121316</v>
      </c>
      <c r="G20" s="87">
        <f>G17/G18</f>
        <v>0.63086507780019374</v>
      </c>
      <c r="H20" s="87"/>
      <c r="I20" s="87"/>
      <c r="J20" s="87"/>
      <c r="K20" s="87"/>
      <c r="L20" s="87"/>
      <c r="M20" s="87"/>
      <c r="N20" s="87"/>
      <c r="O20" s="87">
        <f t="shared" ref="O20" si="2">O17/O18</f>
        <v>0.5751949804871066</v>
      </c>
    </row>
    <row r="21" spans="1:15" x14ac:dyDescent="0.3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v>0.38038377772040599</v>
      </c>
      <c r="F21" s="87">
        <v>0.41696753677878684</v>
      </c>
      <c r="G21" s="87">
        <f>IFERROR(G19/G18,"")</f>
        <v>0.36913492219980626</v>
      </c>
      <c r="H21" s="87"/>
      <c r="I21" s="87"/>
      <c r="J21" s="87"/>
      <c r="K21" s="87"/>
      <c r="L21" s="87"/>
      <c r="M21" s="87"/>
      <c r="N21" s="87"/>
      <c r="O21" s="88">
        <f t="shared" ref="O21" si="3">O19/O18</f>
        <v>0.42480501951289346</v>
      </c>
    </row>
    <row r="22" spans="1:15" x14ac:dyDescent="0.3">
      <c r="A22" s="89" t="s">
        <v>317</v>
      </c>
      <c r="B22" s="97">
        <v>2.4824366268315292</v>
      </c>
      <c r="C22" s="90">
        <f t="shared" ref="C22:D22" si="4">IFERROR(C27/C4,0)</f>
        <v>1.7187375733252401</v>
      </c>
      <c r="D22" s="90">
        <f t="shared" si="4"/>
        <v>1.9424888767968427</v>
      </c>
      <c r="E22" s="90">
        <v>2.0214183424561618</v>
      </c>
      <c r="F22" s="90">
        <v>1.8479057570534958</v>
      </c>
      <c r="G22" s="90">
        <f t="shared" ref="G22" si="5">IFERROR(G27/G4,0)</f>
        <v>1.9933218734506397</v>
      </c>
      <c r="H22" s="90"/>
      <c r="I22" s="90"/>
      <c r="J22" s="90"/>
      <c r="K22" s="90"/>
      <c r="L22" s="90"/>
      <c r="M22" s="90"/>
      <c r="N22" s="90"/>
      <c r="O22" s="97">
        <f t="shared" ref="O22" si="6">IFERROR(O27/O4,0)</f>
        <v>1.9011026916720144</v>
      </c>
    </row>
    <row r="23" spans="1:15" x14ac:dyDescent="0.3">
      <c r="A23" s="89" t="s">
        <v>376</v>
      </c>
      <c r="B23" s="97"/>
      <c r="C23" s="178">
        <f>2.08/C22</f>
        <v>1.2101905679386677</v>
      </c>
      <c r="D23" s="178">
        <f>2.11/D22</f>
        <v>1.086235306263057</v>
      </c>
      <c r="E23" s="178">
        <v>0.95477514944032693</v>
      </c>
      <c r="F23" s="178">
        <v>0.941606460913054</v>
      </c>
      <c r="G23" s="178">
        <f>SUMMARY!$F$14</f>
        <v>1.0986685237185958</v>
      </c>
      <c r="H23" s="90"/>
      <c r="I23" s="90"/>
      <c r="J23" s="90"/>
      <c r="K23" s="90"/>
      <c r="L23" s="90"/>
      <c r="M23" s="90"/>
      <c r="N23" s="90"/>
      <c r="O23" s="179">
        <f>AVERAGE(C23:N23)</f>
        <v>1.0582952016547402</v>
      </c>
    </row>
    <row r="24" spans="1:15" x14ac:dyDescent="0.3">
      <c r="A24" s="69" t="s">
        <v>73</v>
      </c>
      <c r="B24" s="69">
        <v>367</v>
      </c>
      <c r="C24" s="74">
        <v>31</v>
      </c>
      <c r="D24" s="74">
        <v>28</v>
      </c>
      <c r="E24" s="74">
        <v>31</v>
      </c>
      <c r="F24" s="74">
        <v>30</v>
      </c>
      <c r="G24" s="74">
        <f>SUMMARY!$J$9</f>
        <v>31</v>
      </c>
      <c r="O24" s="69">
        <f t="shared" si="1"/>
        <v>151</v>
      </c>
    </row>
    <row r="25" spans="1:15" x14ac:dyDescent="0.3">
      <c r="A25" s="69" t="s">
        <v>75</v>
      </c>
      <c r="B25" s="69">
        <v>3303</v>
      </c>
      <c r="C25" s="74">
        <v>279</v>
      </c>
      <c r="D25" s="74">
        <v>252</v>
      </c>
      <c r="E25" s="74">
        <v>279</v>
      </c>
      <c r="F25" s="74">
        <v>270</v>
      </c>
      <c r="G25" s="74">
        <f>SUMMARY!$J$10</f>
        <v>279</v>
      </c>
      <c r="O25" s="69">
        <f t="shared" si="1"/>
        <v>1359</v>
      </c>
    </row>
    <row r="26" spans="1:15" x14ac:dyDescent="0.3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v>0.85</v>
      </c>
      <c r="F26" s="82">
        <v>0.85</v>
      </c>
      <c r="G26" s="82">
        <f>SUMMARY!$J$11</f>
        <v>0.85</v>
      </c>
      <c r="H26" s="82"/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3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v>446332</v>
      </c>
      <c r="F27" s="83">
        <v>373910</v>
      </c>
      <c r="G27" s="83">
        <f>SUMMARY!$J$18</f>
        <v>407315.81021849712</v>
      </c>
      <c r="H27" s="83"/>
      <c r="I27" s="83"/>
      <c r="J27" s="83"/>
      <c r="K27" s="83"/>
      <c r="L27" s="83"/>
      <c r="M27" s="83"/>
      <c r="N27" s="83"/>
      <c r="O27" s="99">
        <f t="shared" si="1"/>
        <v>2094373.8102184972</v>
      </c>
    </row>
    <row r="28" spans="1:15" x14ac:dyDescent="0.3">
      <c r="A28" s="69" t="s">
        <v>377</v>
      </c>
      <c r="B28" s="99"/>
      <c r="C28" s="108">
        <v>1.2396340073786931</v>
      </c>
      <c r="D28" s="108">
        <v>1.0628169729208339</v>
      </c>
      <c r="E28" s="108">
        <v>1.3193021041287654</v>
      </c>
      <c r="F28" s="108">
        <v>1.5605752921291223</v>
      </c>
      <c r="G28" s="108">
        <f>SUMMARY!$J$19</f>
        <v>1.463297376141411</v>
      </c>
      <c r="H28" s="83"/>
      <c r="I28" s="83"/>
      <c r="J28" s="83"/>
      <c r="K28" s="83"/>
      <c r="L28" s="83"/>
      <c r="M28" s="83"/>
      <c r="N28" s="83"/>
      <c r="O28" s="98">
        <f>AVERAGE(C28:N28)</f>
        <v>1.3291251505397652</v>
      </c>
    </row>
    <row r="29" spans="1:15" s="106" customFormat="1" x14ac:dyDescent="0.3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v>96600.647518277823</v>
      </c>
      <c r="F29" s="85">
        <v>90897.093146040017</v>
      </c>
      <c r="G29" s="85">
        <f>SUMMARY!$J$30</f>
        <v>98354.389089361415</v>
      </c>
      <c r="H29" s="85"/>
      <c r="I29" s="85"/>
      <c r="J29" s="85"/>
      <c r="K29" s="85"/>
      <c r="L29" s="105"/>
      <c r="M29" s="105"/>
      <c r="N29" s="105"/>
      <c r="O29" s="104">
        <f t="shared" si="1"/>
        <v>450325.21802053414</v>
      </c>
    </row>
    <row r="30" spans="1:15" x14ac:dyDescent="0.3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v>6.5059703339357373</v>
      </c>
      <c r="F30" s="85">
        <v>6.1218408638227384</v>
      </c>
      <c r="G30" s="85">
        <f>SUMMARY!$J$31</f>
        <v>6.624083316902035</v>
      </c>
      <c r="H30" s="85"/>
      <c r="I30" s="85"/>
      <c r="J30" s="85"/>
      <c r="K30" s="85"/>
      <c r="L30" s="85"/>
      <c r="M30" s="85"/>
      <c r="N30" s="85"/>
      <c r="O30" s="100">
        <f t="shared" si="1"/>
        <v>30.329015222288131</v>
      </c>
    </row>
    <row r="31" spans="1:15" x14ac:dyDescent="0.3">
      <c r="I31" s="79"/>
      <c r="J31" s="82"/>
    </row>
    <row r="41" spans="1:2" x14ac:dyDescent="0.3">
      <c r="A41" s="151"/>
      <c r="B41" s="151"/>
    </row>
    <row r="43" spans="1:2" x14ac:dyDescent="0.3">
      <c r="A43" s="152"/>
      <c r="B43" s="152"/>
    </row>
    <row r="59" spans="9:10" x14ac:dyDescent="0.3">
      <c r="I59" s="181"/>
    </row>
    <row r="61" spans="9:10" x14ac:dyDescent="0.3">
      <c r="J61" s="182"/>
    </row>
    <row r="67" spans="1:2" x14ac:dyDescent="0.3">
      <c r="A67" s="69" t="s">
        <v>398</v>
      </c>
      <c r="B67" s="74"/>
    </row>
    <row r="68" spans="1:2" x14ac:dyDescent="0.3">
      <c r="A68" s="69" t="s">
        <v>373</v>
      </c>
      <c r="B68" s="182"/>
    </row>
    <row r="69" spans="1:2" x14ac:dyDescent="0.3">
      <c r="A69" s="69" t="s">
        <v>374</v>
      </c>
      <c r="B69" s="182" t="s">
        <v>399</v>
      </c>
    </row>
    <row r="70" spans="1:2" x14ac:dyDescent="0.3">
      <c r="A70" s="69" t="s">
        <v>375</v>
      </c>
      <c r="B70" s="182"/>
    </row>
    <row r="71" spans="1:2" x14ac:dyDescent="0.3">
      <c r="A71" s="69" t="s">
        <v>376</v>
      </c>
      <c r="B71" s="182" t="s">
        <v>400</v>
      </c>
    </row>
    <row r="72" spans="1:2" x14ac:dyDescent="0.3">
      <c r="A72" s="69" t="s">
        <v>377</v>
      </c>
      <c r="B72" s="182"/>
    </row>
    <row r="73" spans="1:2" x14ac:dyDescent="0.3">
      <c r="B73" s="74"/>
    </row>
    <row r="74" spans="1:2" x14ac:dyDescent="0.3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3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C42" sqref="C4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168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238</v>
      </c>
      <c r="E8" s="62">
        <f>IF(O8="K",VLOOKUP(M8,Table2[[#All],[UNIT]:[Column7]],10,FALSE),0)</f>
        <v>1000000</v>
      </c>
      <c r="F8" s="43">
        <f>D8*E8</f>
        <v>238000000</v>
      </c>
      <c r="G8" s="42">
        <v>7442.0401606425703</v>
      </c>
      <c r="H8" s="44">
        <f t="shared" ref="H8:H36" si="0">G8*$C$41</f>
        <v>85583461.847389564</v>
      </c>
      <c r="I8" s="42">
        <f t="shared" ref="I8:I38" si="1">IFERROR(G8/D8,0)</f>
        <v>31.269076305220885</v>
      </c>
      <c r="J8" s="45">
        <f>F8+H8</f>
        <v>323583461.84738958</v>
      </c>
      <c r="K8" s="36"/>
      <c r="L8" s="41" t="s">
        <v>298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256</v>
      </c>
      <c r="E9" s="62">
        <f>IF(O9="K",VLOOKUP(M9,Table2[[#All],[UNIT]:[Column7]],10,FALSE),0)</f>
        <v>1000000</v>
      </c>
      <c r="F9" s="43">
        <f t="shared" ref="F9:F27" si="2">D9*E9</f>
        <v>256000000</v>
      </c>
      <c r="G9" s="42">
        <v>6640</v>
      </c>
      <c r="H9" s="44">
        <f t="shared" si="0"/>
        <v>76360000</v>
      </c>
      <c r="I9" s="42">
        <f t="shared" ref="I9:I27" si="3">IFERROR(G9/D9,0)</f>
        <v>25.9375</v>
      </c>
      <c r="J9" s="45">
        <f t="shared" ref="J9:J27" si="4">F9+H9</f>
        <v>332360000</v>
      </c>
      <c r="K9" s="36"/>
      <c r="L9" s="41" t="s">
        <v>298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262</v>
      </c>
      <c r="E10" s="62">
        <f>IF(O10="K",VLOOKUP(M10,Table2[[#All],[UNIT]:[Column7]],10,FALSE),0)</f>
        <v>1000000</v>
      </c>
      <c r="F10" s="43">
        <f t="shared" si="2"/>
        <v>262000000</v>
      </c>
      <c r="G10" s="42">
        <v>7223.3014705882351</v>
      </c>
      <c r="H10" s="44">
        <f t="shared" si="0"/>
        <v>83067966.911764711</v>
      </c>
      <c r="I10" s="42">
        <f t="shared" si="3"/>
        <v>27.569852941176471</v>
      </c>
      <c r="J10" s="45">
        <f t="shared" si="4"/>
        <v>345067966.91176474</v>
      </c>
      <c r="K10" s="36"/>
      <c r="L10" s="41" t="s">
        <v>298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3">
      <c r="B11" s="41">
        <v>4</v>
      </c>
      <c r="C11" s="41" t="s">
        <v>278</v>
      </c>
      <c r="D11" s="42">
        <v>225</v>
      </c>
      <c r="E11" s="62">
        <f>IF(O11="K",VLOOKUP(M11,Table2[[#All],[UNIT]:[Column7]],10,FALSE),0)</f>
        <v>1000000</v>
      </c>
      <c r="F11" s="43">
        <f t="shared" si="2"/>
        <v>225000000</v>
      </c>
      <c r="G11" s="42">
        <v>7151.235741444867</v>
      </c>
      <c r="H11" s="44">
        <f t="shared" si="0"/>
        <v>82239211.026615977</v>
      </c>
      <c r="I11" s="42">
        <f t="shared" si="3"/>
        <v>31.783269961977187</v>
      </c>
      <c r="J11" s="45">
        <f t="shared" si="4"/>
        <v>307239211.02661598</v>
      </c>
      <c r="K11" s="36"/>
      <c r="L11" s="41" t="s">
        <v>298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3">
      <c r="B12" s="41">
        <v>5</v>
      </c>
      <c r="C12" s="41" t="s">
        <v>207</v>
      </c>
      <c r="D12" s="42">
        <v>123</v>
      </c>
      <c r="E12" s="62">
        <f>IF(O12="K",VLOOKUP(M12,Table2[[#All],[UNIT]:[Column7]],10,FALSE),0)</f>
        <v>1424304.3667884208</v>
      </c>
      <c r="F12" s="43">
        <f t="shared" si="2"/>
        <v>175189437.11497575</v>
      </c>
      <c r="G12" s="42">
        <v>2339.335443037975</v>
      </c>
      <c r="H12" s="44">
        <f t="shared" si="0"/>
        <v>26902357.594936714</v>
      </c>
      <c r="I12" s="42">
        <f t="shared" si="3"/>
        <v>19.018987341772153</v>
      </c>
      <c r="J12" s="45">
        <f t="shared" si="4"/>
        <v>202091794.70991248</v>
      </c>
      <c r="K12" s="36"/>
      <c r="L12" s="41" t="s">
        <v>298</v>
      </c>
      <c r="M12" s="41" t="str">
        <f>VLOOKUP(N12,'list rate unit'!O:P,2,FALSE)</f>
        <v>HM 400-3R</v>
      </c>
      <c r="N12" s="41" t="str">
        <f t="shared" si="5"/>
        <v>KOMATSU HM 400 - 11</v>
      </c>
      <c r="O12" s="15" t="s">
        <v>56</v>
      </c>
    </row>
    <row r="13" spans="2:15" x14ac:dyDescent="0.3">
      <c r="B13" s="41">
        <v>6</v>
      </c>
      <c r="C13" s="41" t="s">
        <v>208</v>
      </c>
      <c r="D13" s="42">
        <v>241</v>
      </c>
      <c r="E13" s="62">
        <f>IF(O13="K",VLOOKUP(M13,Table2[[#All],[UNIT]:[Column7]],10,FALSE),0)</f>
        <v>1424304.3667884208</v>
      </c>
      <c r="F13" s="43">
        <f t="shared" si="2"/>
        <v>343257352.39600945</v>
      </c>
      <c r="G13" s="42">
        <v>4109</v>
      </c>
      <c r="H13" s="44">
        <f t="shared" si="0"/>
        <v>47253500</v>
      </c>
      <c r="I13" s="42">
        <f t="shared" si="3"/>
        <v>17.049792531120332</v>
      </c>
      <c r="J13" s="45">
        <f t="shared" si="4"/>
        <v>390510852.39600945</v>
      </c>
      <c r="K13" s="36"/>
      <c r="L13" s="41" t="s">
        <v>298</v>
      </c>
      <c r="M13" s="41" t="str">
        <f>VLOOKUP(N13,'list rate unit'!O:P,2,FALSE)</f>
        <v>HM 400-3R</v>
      </c>
      <c r="N13" s="41" t="str">
        <f t="shared" si="5"/>
        <v>KOMATSU HM 400 - 12</v>
      </c>
      <c r="O13" s="15" t="s">
        <v>56</v>
      </c>
    </row>
    <row r="14" spans="2:15" x14ac:dyDescent="0.3">
      <c r="B14" s="41">
        <v>7</v>
      </c>
      <c r="C14" s="41" t="s">
        <v>209</v>
      </c>
      <c r="D14" s="42">
        <v>162</v>
      </c>
      <c r="E14" s="62">
        <f>IF(O14="K",VLOOKUP(M14,Table2[[#All],[UNIT]:[Column7]],10,FALSE),0)</f>
        <v>1424304.3667884208</v>
      </c>
      <c r="F14" s="43">
        <f t="shared" si="2"/>
        <v>230737307.41972417</v>
      </c>
      <c r="G14" s="42">
        <v>2846.3225806451615</v>
      </c>
      <c r="H14" s="44">
        <f t="shared" si="0"/>
        <v>32732709.677419357</v>
      </c>
      <c r="I14" s="42">
        <f t="shared" si="3"/>
        <v>17.56989247311828</v>
      </c>
      <c r="J14" s="45">
        <f t="shared" si="4"/>
        <v>263470017.09714353</v>
      </c>
      <c r="K14" s="36"/>
      <c r="L14" s="41" t="s">
        <v>298</v>
      </c>
      <c r="M14" s="41" t="str">
        <f>VLOOKUP(N14,'list rate unit'!O:P,2,FALSE)</f>
        <v>HM 400-3R</v>
      </c>
      <c r="N14" s="41" t="str">
        <f t="shared" si="5"/>
        <v>KOMATSU HM 400 - 13</v>
      </c>
      <c r="O14" s="15" t="s">
        <v>56</v>
      </c>
    </row>
    <row r="15" spans="2:15" x14ac:dyDescent="0.3">
      <c r="B15" s="41">
        <v>8</v>
      </c>
      <c r="C15" s="41" t="s">
        <v>210</v>
      </c>
      <c r="D15" s="42">
        <v>201</v>
      </c>
      <c r="E15" s="62">
        <f>IF(O15="K",VLOOKUP(M15,Table2[[#All],[UNIT]:[Column7]],10,FALSE),0)</f>
        <v>1424304.3667884208</v>
      </c>
      <c r="F15" s="43">
        <f t="shared" si="2"/>
        <v>286285177.72447258</v>
      </c>
      <c r="G15" s="42">
        <v>4102.1394230769229</v>
      </c>
      <c r="H15" s="44">
        <f t="shared" si="0"/>
        <v>47174603.365384616</v>
      </c>
      <c r="I15" s="42">
        <f t="shared" si="3"/>
        <v>20.408653846153847</v>
      </c>
      <c r="J15" s="45">
        <f t="shared" si="4"/>
        <v>333459781.08985722</v>
      </c>
      <c r="K15" s="36"/>
      <c r="L15" s="41" t="s">
        <v>298</v>
      </c>
      <c r="M15" s="41" t="str">
        <f>VLOOKUP(N15,'list rate unit'!O:P,2,FALSE)</f>
        <v>HM 400-3R</v>
      </c>
      <c r="N15" s="41" t="str">
        <f t="shared" si="5"/>
        <v>KOMATSU HM 400 - 14</v>
      </c>
      <c r="O15" s="15" t="s">
        <v>56</v>
      </c>
    </row>
    <row r="16" spans="2:15" x14ac:dyDescent="0.3">
      <c r="B16" s="41">
        <v>9</v>
      </c>
      <c r="C16" s="41" t="s">
        <v>211</v>
      </c>
      <c r="D16" s="42">
        <v>177</v>
      </c>
      <c r="E16" s="62">
        <f>IF(O16="K",VLOOKUP(M16,Table2[[#All],[UNIT]:[Column7]],10,FALSE),0)</f>
        <v>1424304.3667884208</v>
      </c>
      <c r="F16" s="43">
        <f t="shared" si="2"/>
        <v>252101872.92155048</v>
      </c>
      <c r="G16" s="42">
        <v>3422</v>
      </c>
      <c r="H16" s="44">
        <f t="shared" si="0"/>
        <v>39353000</v>
      </c>
      <c r="I16" s="42">
        <f t="shared" si="3"/>
        <v>19.333333333333332</v>
      </c>
      <c r="J16" s="45">
        <f t="shared" si="4"/>
        <v>291454872.92155051</v>
      </c>
      <c r="K16" s="36"/>
      <c r="L16" s="41" t="s">
        <v>298</v>
      </c>
      <c r="M16" s="41" t="str">
        <f>VLOOKUP(N16,'list rate unit'!O:P,2,FALSE)</f>
        <v>HM 400-3R</v>
      </c>
      <c r="N16" s="41" t="str">
        <f t="shared" si="5"/>
        <v>KOMATSU HM 400 - 15</v>
      </c>
      <c r="O16" s="15" t="s">
        <v>56</v>
      </c>
    </row>
    <row r="17" spans="2:15" x14ac:dyDescent="0.3">
      <c r="B17" s="41">
        <v>10</v>
      </c>
      <c r="C17" s="41" t="s">
        <v>212</v>
      </c>
      <c r="D17" s="42">
        <v>97</v>
      </c>
      <c r="E17" s="62">
        <f>IF(O17="K",VLOOKUP(M17,Table2[[#All],[UNIT]:[Column7]],10,FALSE),0)</f>
        <v>1424304.3667884208</v>
      </c>
      <c r="F17" s="43">
        <f t="shared" si="2"/>
        <v>138157523.57847682</v>
      </c>
      <c r="G17" s="42">
        <v>2019.7555555555557</v>
      </c>
      <c r="H17" s="44">
        <f t="shared" si="0"/>
        <v>23227188.888888892</v>
      </c>
      <c r="I17" s="42">
        <f t="shared" si="3"/>
        <v>20.822222222222223</v>
      </c>
      <c r="J17" s="45">
        <f t="shared" si="4"/>
        <v>161384712.46736571</v>
      </c>
      <c r="K17" s="36"/>
      <c r="L17" s="41" t="s">
        <v>298</v>
      </c>
      <c r="M17" s="41" t="str">
        <f>VLOOKUP(N17,'list rate unit'!O:P,2,FALSE)</f>
        <v>HM 400-3R</v>
      </c>
      <c r="N17" s="41" t="str">
        <f t="shared" si="5"/>
        <v>KOMATSU HM 400 - 16</v>
      </c>
      <c r="O17" s="15" t="s">
        <v>56</v>
      </c>
    </row>
    <row r="18" spans="2:15" x14ac:dyDescent="0.3">
      <c r="B18" s="41">
        <v>11</v>
      </c>
      <c r="C18" s="41" t="s">
        <v>213</v>
      </c>
      <c r="D18" s="42">
        <v>163</v>
      </c>
      <c r="E18" s="62">
        <f>IF(O18="K",VLOOKUP(M18,Table2[[#All],[UNIT]:[Column7]],10,FALSE),0)</f>
        <v>1424304.3667884208</v>
      </c>
      <c r="F18" s="43">
        <f t="shared" ref="F18:F19" si="6">D18*E18</f>
        <v>232161611.78651258</v>
      </c>
      <c r="G18" s="42">
        <v>2907</v>
      </c>
      <c r="H18" s="44">
        <f t="shared" si="0"/>
        <v>33430500</v>
      </c>
      <c r="I18" s="42">
        <f t="shared" ref="I18:I19" si="7">IFERROR(G18/D18,0)</f>
        <v>17.834355828220858</v>
      </c>
      <c r="J18" s="45">
        <f t="shared" ref="J18:J19" si="8">F18+H18</f>
        <v>265592111.78651258</v>
      </c>
      <c r="K18" s="36"/>
      <c r="L18" s="41" t="s">
        <v>298</v>
      </c>
      <c r="M18" s="41" t="str">
        <f>VLOOKUP(N18,'list rate unit'!O:P,2,FALSE)</f>
        <v>HM 400-3R</v>
      </c>
      <c r="N18" s="41" t="str">
        <f t="shared" ref="N18:N19" si="9">C18</f>
        <v>KOMATSU HM 400 - 17</v>
      </c>
      <c r="O18" s="15" t="s">
        <v>56</v>
      </c>
    </row>
    <row r="19" spans="2:15" x14ac:dyDescent="0.3">
      <c r="B19" s="41">
        <v>12</v>
      </c>
      <c r="C19" s="41" t="s">
        <v>214</v>
      </c>
      <c r="D19" s="42">
        <v>238</v>
      </c>
      <c r="E19" s="62">
        <f>IF(O19="K",VLOOKUP(M19,Table2[[#All],[UNIT]:[Column7]],10,FALSE),0)</f>
        <v>1424304.3667884208</v>
      </c>
      <c r="F19" s="43">
        <f t="shared" si="6"/>
        <v>338984439.29564416</v>
      </c>
      <c r="G19" s="42">
        <v>4754.3107569721114</v>
      </c>
      <c r="H19" s="44">
        <f t="shared" si="0"/>
        <v>54674573.705179282</v>
      </c>
      <c r="I19" s="42">
        <f t="shared" si="7"/>
        <v>19.976095617529879</v>
      </c>
      <c r="J19" s="45">
        <f t="shared" si="8"/>
        <v>393659013.00082344</v>
      </c>
      <c r="K19" s="36"/>
      <c r="L19" s="41" t="s">
        <v>298</v>
      </c>
      <c r="M19" s="41" t="str">
        <f>VLOOKUP(N19,'list rate unit'!O:P,2,FALSE)</f>
        <v>HM 400-3R</v>
      </c>
      <c r="N19" s="41" t="str">
        <f t="shared" si="9"/>
        <v>KOMATSU HM 400 - 18</v>
      </c>
      <c r="O19" s="15" t="s">
        <v>56</v>
      </c>
    </row>
    <row r="20" spans="2:15" x14ac:dyDescent="0.3">
      <c r="B20" s="41">
        <v>13</v>
      </c>
      <c r="C20" s="41" t="s">
        <v>215</v>
      </c>
      <c r="D20" s="42">
        <v>182</v>
      </c>
      <c r="E20" s="62">
        <f>IF(O20="K",VLOOKUP(M20,Table2[[#All],[UNIT]:[Column7]],10,FALSE),0)</f>
        <v>1424304.3667884208</v>
      </c>
      <c r="F20" s="43">
        <f t="shared" si="2"/>
        <v>259223394.7554926</v>
      </c>
      <c r="G20" s="42">
        <v>3621.1724137931037</v>
      </c>
      <c r="H20" s="44">
        <f t="shared" si="0"/>
        <v>41643482.758620694</v>
      </c>
      <c r="I20" s="42">
        <f t="shared" si="3"/>
        <v>19.896551724137932</v>
      </c>
      <c r="J20" s="45">
        <f t="shared" si="4"/>
        <v>300866877.51411331</v>
      </c>
      <c r="K20" s="36"/>
      <c r="L20" s="41" t="s">
        <v>298</v>
      </c>
      <c r="M20" s="41" t="str">
        <f>VLOOKUP(N20,'list rate unit'!O:P,2,FALSE)</f>
        <v>HM 400-3R</v>
      </c>
      <c r="N20" s="41" t="str">
        <f t="shared" si="5"/>
        <v>KOMATSU HM 400 - 19</v>
      </c>
      <c r="O20" s="15" t="s">
        <v>56</v>
      </c>
    </row>
    <row r="21" spans="2:15" x14ac:dyDescent="0.3">
      <c r="B21" s="41">
        <v>14</v>
      </c>
      <c r="C21" s="41" t="s">
        <v>216</v>
      </c>
      <c r="D21" s="42">
        <v>156</v>
      </c>
      <c r="E21" s="62">
        <f>IF(O21="K",VLOOKUP(M21,Table2[[#All],[UNIT]:[Column7]],10,FALSE),0)</f>
        <v>1424304.3667884208</v>
      </c>
      <c r="F21" s="43">
        <f t="shared" si="2"/>
        <v>222191481.21899366</v>
      </c>
      <c r="G21" s="42">
        <v>3016</v>
      </c>
      <c r="H21" s="44">
        <f t="shared" si="0"/>
        <v>34684000</v>
      </c>
      <c r="I21" s="42">
        <f t="shared" si="3"/>
        <v>19.333333333333332</v>
      </c>
      <c r="J21" s="45">
        <f t="shared" si="4"/>
        <v>256875481.21899366</v>
      </c>
      <c r="K21" s="36"/>
      <c r="L21" s="41" t="s">
        <v>298</v>
      </c>
      <c r="M21" s="41" t="str">
        <f>VLOOKUP(N21,'list rate unit'!O:P,2,FALSE)</f>
        <v>HM 400-3R</v>
      </c>
      <c r="N21" s="41" t="str">
        <f t="shared" si="5"/>
        <v>KOMATSU HM 400 - 20</v>
      </c>
      <c r="O21" s="15" t="s">
        <v>56</v>
      </c>
    </row>
    <row r="22" spans="2:15" x14ac:dyDescent="0.3">
      <c r="B22" s="41">
        <v>15</v>
      </c>
      <c r="C22" s="41" t="s">
        <v>217</v>
      </c>
      <c r="D22" s="42">
        <v>111</v>
      </c>
      <c r="E22" s="62">
        <f>IF(O22="K",VLOOKUP(M22,Table2[[#All],[UNIT]:[Column7]],10,FALSE),0)</f>
        <v>1424304.3667884208</v>
      </c>
      <c r="F22" s="43">
        <f t="shared" si="2"/>
        <v>158097784.71351472</v>
      </c>
      <c r="G22" s="42">
        <v>1597.5569620253166</v>
      </c>
      <c r="H22" s="44">
        <f t="shared" si="0"/>
        <v>18371905.06329114</v>
      </c>
      <c r="I22" s="42">
        <f t="shared" si="3"/>
        <v>14.39240506329114</v>
      </c>
      <c r="J22" s="45">
        <f t="shared" si="4"/>
        <v>176469689.77680585</v>
      </c>
      <c r="K22" s="36"/>
      <c r="L22" s="41" t="s">
        <v>298</v>
      </c>
      <c r="M22" s="41" t="str">
        <f>VLOOKUP(N22,'list rate unit'!O:P,2,FALSE)</f>
        <v>HM 400-3R</v>
      </c>
      <c r="N22" s="41" t="str">
        <f t="shared" si="5"/>
        <v>KOMATSU HM 400 - 21</v>
      </c>
      <c r="O22" s="15" t="s">
        <v>56</v>
      </c>
    </row>
    <row r="23" spans="2:15" x14ac:dyDescent="0.3">
      <c r="B23" s="41">
        <v>16</v>
      </c>
      <c r="C23" s="41" t="s">
        <v>218</v>
      </c>
      <c r="D23" s="42">
        <v>157</v>
      </c>
      <c r="E23" s="62">
        <f>IF(O23="K",VLOOKUP(M23,Table2[[#All],[UNIT]:[Column7]],10,FALSE),0)</f>
        <v>1424304.3667884208</v>
      </c>
      <c r="F23" s="43">
        <f t="shared" si="2"/>
        <v>223615785.58578208</v>
      </c>
      <c r="G23" s="42">
        <v>3290.5479452054797</v>
      </c>
      <c r="H23" s="44">
        <f t="shared" si="0"/>
        <v>37841301.369863018</v>
      </c>
      <c r="I23" s="42">
        <f t="shared" si="3"/>
        <v>20.958904109589042</v>
      </c>
      <c r="J23" s="45">
        <f t="shared" si="4"/>
        <v>261457086.95564508</v>
      </c>
      <c r="K23" s="36"/>
      <c r="L23" s="41" t="s">
        <v>298</v>
      </c>
      <c r="M23" s="41" t="str">
        <f>VLOOKUP(N23,'list rate unit'!O:P,2,FALSE)</f>
        <v>HM 400-3R</v>
      </c>
      <c r="N23" s="41" t="str">
        <f t="shared" si="5"/>
        <v>KOMATSU HM 400 - 22</v>
      </c>
      <c r="O23" s="15" t="s">
        <v>56</v>
      </c>
    </row>
    <row r="24" spans="2:15" x14ac:dyDescent="0.3">
      <c r="B24" s="41">
        <v>17</v>
      </c>
      <c r="C24" s="41" t="s">
        <v>280</v>
      </c>
      <c r="D24" s="42">
        <v>237</v>
      </c>
      <c r="E24" s="62">
        <f>IF(O24="K",VLOOKUP(M24,Table2[[#All],[UNIT]:[Column7]],10,FALSE),0)</f>
        <v>1424304.3667884208</v>
      </c>
      <c r="F24" s="43">
        <f t="shared" si="2"/>
        <v>337560134.92885572</v>
      </c>
      <c r="G24" s="42">
        <v>4765.6750000000002</v>
      </c>
      <c r="H24" s="44">
        <f t="shared" si="0"/>
        <v>54805262.5</v>
      </c>
      <c r="I24" s="42">
        <f t="shared" si="3"/>
        <v>20.108333333333334</v>
      </c>
      <c r="J24" s="45">
        <f t="shared" si="4"/>
        <v>392365397.42885572</v>
      </c>
      <c r="K24" s="36"/>
      <c r="L24" s="41" t="s">
        <v>298</v>
      </c>
      <c r="M24" s="41" t="str">
        <f>VLOOKUP(N24,'list rate unit'!O:P,2,FALSE)</f>
        <v>HM 400-3R</v>
      </c>
      <c r="N24" s="41" t="str">
        <f t="shared" si="5"/>
        <v>KOMATSU HM 400 - 23</v>
      </c>
      <c r="O24" s="15" t="s">
        <v>56</v>
      </c>
    </row>
    <row r="25" spans="2:15" x14ac:dyDescent="0.3">
      <c r="B25" s="41">
        <v>18</v>
      </c>
      <c r="C25" s="41" t="s">
        <v>281</v>
      </c>
      <c r="D25" s="42">
        <v>247</v>
      </c>
      <c r="E25" s="62">
        <f>IF(O25="K",VLOOKUP(M25,Table2[[#All],[UNIT]:[Column7]],10,FALSE),0)</f>
        <v>1424304.3667884208</v>
      </c>
      <c r="F25" s="43">
        <f t="shared" si="2"/>
        <v>351803178.59673995</v>
      </c>
      <c r="G25" s="42">
        <v>4511</v>
      </c>
      <c r="H25" s="44">
        <f t="shared" si="0"/>
        <v>51876500</v>
      </c>
      <c r="I25" s="42">
        <f t="shared" si="3"/>
        <v>18.263157894736842</v>
      </c>
      <c r="J25" s="45">
        <f t="shared" si="4"/>
        <v>403679678.59673995</v>
      </c>
      <c r="K25" s="36"/>
      <c r="L25" s="41" t="s">
        <v>298</v>
      </c>
      <c r="M25" s="41" t="str">
        <f>VLOOKUP(N25,'list rate unit'!O:P,2,FALSE)</f>
        <v>HM 400-3R</v>
      </c>
      <c r="N25" s="41" t="str">
        <f t="shared" si="5"/>
        <v>KOMATSU HM 400 - 24</v>
      </c>
      <c r="O25" s="15" t="s">
        <v>56</v>
      </c>
    </row>
    <row r="26" spans="2:15" x14ac:dyDescent="0.3">
      <c r="B26" s="41">
        <v>19</v>
      </c>
      <c r="C26" s="41" t="s">
        <v>282</v>
      </c>
      <c r="D26" s="42">
        <v>211</v>
      </c>
      <c r="E26" s="62">
        <f>IF(O26="K",VLOOKUP(M26,Table2[[#All],[UNIT]:[Column7]],10,FALSE),0)</f>
        <v>1424304.3667884208</v>
      </c>
      <c r="F26" s="43">
        <f t="shared" si="2"/>
        <v>300528221.39235681</v>
      </c>
      <c r="G26" s="42">
        <v>3692.5</v>
      </c>
      <c r="H26" s="44">
        <f t="shared" si="0"/>
        <v>42463750</v>
      </c>
      <c r="I26" s="42">
        <f t="shared" si="3"/>
        <v>17.5</v>
      </c>
      <c r="J26" s="45">
        <f t="shared" si="4"/>
        <v>342991971.39235681</v>
      </c>
      <c r="K26" s="36"/>
      <c r="L26" s="41" t="s">
        <v>298</v>
      </c>
      <c r="M26" s="41" t="str">
        <f>VLOOKUP(N26,'list rate unit'!O:P,2,FALSE)</f>
        <v>HM 400-3R</v>
      </c>
      <c r="N26" s="41" t="str">
        <f t="shared" si="5"/>
        <v>KOMATSU HM 400 - 25</v>
      </c>
      <c r="O26" s="15" t="s">
        <v>56</v>
      </c>
    </row>
    <row r="27" spans="2:15" x14ac:dyDescent="0.3">
      <c r="B27" s="41">
        <v>20</v>
      </c>
      <c r="C27" s="41" t="s">
        <v>294</v>
      </c>
      <c r="D27" s="42">
        <v>259</v>
      </c>
      <c r="E27" s="62">
        <f>IF(O27="K",VLOOKUP(M27,Table2[[#All],[UNIT]:[Column7]],10,FALSE),0)</f>
        <v>425000</v>
      </c>
      <c r="F27" s="43">
        <f t="shared" si="2"/>
        <v>110075000</v>
      </c>
      <c r="G27" s="42">
        <v>6106</v>
      </c>
      <c r="H27" s="44">
        <f t="shared" si="0"/>
        <v>70219000</v>
      </c>
      <c r="I27" s="42">
        <f t="shared" si="3"/>
        <v>23.575289575289574</v>
      </c>
      <c r="J27" s="45">
        <f t="shared" si="4"/>
        <v>180294000</v>
      </c>
      <c r="K27" s="36"/>
      <c r="L27" s="41" t="s">
        <v>298</v>
      </c>
      <c r="M27" s="41" t="str">
        <f>VLOOKUP(N27,'list rate unit'!O:P,2,FALSE)</f>
        <v>D 65 P-12</v>
      </c>
      <c r="N27" s="41" t="str">
        <f t="shared" si="5"/>
        <v>KOMATSU DOZER D65 - 10</v>
      </c>
      <c r="O27" s="15" t="s">
        <v>56</v>
      </c>
    </row>
    <row r="28" spans="2:15" x14ac:dyDescent="0.3">
      <c r="B28" s="41">
        <v>21</v>
      </c>
      <c r="C28" s="41" t="s">
        <v>220</v>
      </c>
      <c r="D28" s="42">
        <v>177</v>
      </c>
      <c r="E28" s="62">
        <f>IF(O28="K",VLOOKUP(M28,Table2[[#All],[UNIT]:[Column7]],10,FALSE),0)</f>
        <v>425000</v>
      </c>
      <c r="F28" s="43">
        <f t="shared" ref="F28:F36" si="10">D28*E28</f>
        <v>75225000</v>
      </c>
      <c r="G28" s="42">
        <v>4414</v>
      </c>
      <c r="H28" s="44">
        <f t="shared" si="0"/>
        <v>50761000</v>
      </c>
      <c r="I28" s="42">
        <f t="shared" ref="I28:I36" si="11">IFERROR(G28/D28,0)</f>
        <v>24.937853107344633</v>
      </c>
      <c r="J28" s="45">
        <f t="shared" ref="J28:J36" si="12">F28+H28</f>
        <v>125986000</v>
      </c>
      <c r="K28" s="36"/>
      <c r="L28" s="41" t="s">
        <v>298</v>
      </c>
      <c r="M28" s="41" t="str">
        <f>VLOOKUP(N28,'list rate unit'!O:P,2,FALSE)</f>
        <v>D 65 P-12</v>
      </c>
      <c r="N28" s="41" t="str">
        <f t="shared" ref="N28:N36" si="13">C28</f>
        <v>KOMATSU DOZER D65 - 13</v>
      </c>
      <c r="O28" s="15" t="s">
        <v>56</v>
      </c>
    </row>
    <row r="29" spans="2:15" x14ac:dyDescent="0.3">
      <c r="B29" s="41">
        <v>22</v>
      </c>
      <c r="C29" s="41" t="s">
        <v>221</v>
      </c>
      <c r="D29" s="42">
        <v>307</v>
      </c>
      <c r="E29" s="62">
        <f>IF(O29="K",VLOOKUP(M29,Table2[[#All],[UNIT]:[Column7]],10,FALSE),0)</f>
        <v>425000</v>
      </c>
      <c r="F29" s="43">
        <f t="shared" si="10"/>
        <v>130475000</v>
      </c>
      <c r="G29" s="42">
        <v>6371.0000000000009</v>
      </c>
      <c r="H29" s="44">
        <f t="shared" si="0"/>
        <v>73266500.000000015</v>
      </c>
      <c r="I29" s="42">
        <f t="shared" si="11"/>
        <v>20.752442996742673</v>
      </c>
      <c r="J29" s="45">
        <f t="shared" si="12"/>
        <v>203741500</v>
      </c>
      <c r="K29" s="36"/>
      <c r="L29" s="41" t="s">
        <v>298</v>
      </c>
      <c r="M29" s="41" t="str">
        <f>VLOOKUP(N29,'list rate unit'!O:P,2,FALSE)</f>
        <v>D 65 P-12</v>
      </c>
      <c r="N29" s="41" t="str">
        <f t="shared" si="13"/>
        <v>KOMATSU DOZER D65 - 15</v>
      </c>
      <c r="O29" s="15" t="s">
        <v>56</v>
      </c>
    </row>
    <row r="30" spans="2:15" x14ac:dyDescent="0.3">
      <c r="B30" s="41">
        <v>23</v>
      </c>
      <c r="C30" s="41" t="s">
        <v>222</v>
      </c>
      <c r="D30" s="42">
        <v>304</v>
      </c>
      <c r="E30" s="62">
        <f>IF(O30="K",VLOOKUP(M30,Table2[[#All],[UNIT]:[Column7]],10,FALSE),0)</f>
        <v>425000</v>
      </c>
      <c r="F30" s="43">
        <f t="shared" si="10"/>
        <v>129200000</v>
      </c>
      <c r="G30" s="42">
        <v>6346</v>
      </c>
      <c r="H30" s="44">
        <f t="shared" si="0"/>
        <v>72979000</v>
      </c>
      <c r="I30" s="42">
        <f t="shared" si="11"/>
        <v>20.875</v>
      </c>
      <c r="J30" s="45">
        <f t="shared" si="12"/>
        <v>202179000</v>
      </c>
      <c r="K30" s="36"/>
      <c r="L30" s="41" t="s">
        <v>298</v>
      </c>
      <c r="M30" s="41" t="str">
        <f>VLOOKUP(N30,'list rate unit'!O:P,2,FALSE)</f>
        <v>D 65 P-12</v>
      </c>
      <c r="N30" s="41" t="str">
        <f t="shared" si="13"/>
        <v>KOMATSU DOZER D65 - 16</v>
      </c>
      <c r="O30" s="15" t="s">
        <v>56</v>
      </c>
    </row>
    <row r="31" spans="2:15" x14ac:dyDescent="0.3">
      <c r="B31" s="41">
        <v>24</v>
      </c>
      <c r="C31" s="41" t="s">
        <v>283</v>
      </c>
      <c r="D31" s="42">
        <v>267</v>
      </c>
      <c r="E31" s="62">
        <f>IF(O31="K",VLOOKUP(M31,Table2[[#All],[UNIT]:[Column7]],10,FALSE),0)</f>
        <v>425000</v>
      </c>
      <c r="F31" s="43">
        <f t="shared" si="10"/>
        <v>113475000</v>
      </c>
      <c r="G31" s="42">
        <v>6575</v>
      </c>
      <c r="H31" s="44">
        <f t="shared" si="0"/>
        <v>75612500</v>
      </c>
      <c r="I31" s="42">
        <f t="shared" si="11"/>
        <v>24.625468164794007</v>
      </c>
      <c r="J31" s="45">
        <f t="shared" si="12"/>
        <v>189087500</v>
      </c>
      <c r="K31" s="36"/>
      <c r="L31" s="41" t="s">
        <v>298</v>
      </c>
      <c r="M31" s="41" t="str">
        <f>VLOOKUP(N31,'list rate unit'!O:P,2,FALSE)</f>
        <v>D 65 P-12</v>
      </c>
      <c r="N31" s="41" t="str">
        <f t="shared" si="13"/>
        <v>KOMATSU DOZER D65 - 18</v>
      </c>
      <c r="O31" s="15" t="s">
        <v>56</v>
      </c>
    </row>
    <row r="32" spans="2:15" x14ac:dyDescent="0.3">
      <c r="B32" s="41">
        <v>25</v>
      </c>
      <c r="C32" s="41" t="s">
        <v>359</v>
      </c>
      <c r="D32" s="42">
        <v>83</v>
      </c>
      <c r="E32" s="62">
        <f>IF(O32="K",VLOOKUP(M32,Table2[[#All],[UNIT]:[Column7]],10,FALSE),0)</f>
        <v>425000</v>
      </c>
      <c r="F32" s="43">
        <f t="shared" si="10"/>
        <v>35275000</v>
      </c>
      <c r="G32" s="42">
        <v>1486.936170212766</v>
      </c>
      <c r="H32" s="44">
        <f t="shared" si="0"/>
        <v>17099765.95744681</v>
      </c>
      <c r="I32" s="42">
        <f t="shared" si="11"/>
        <v>17.914893617021278</v>
      </c>
      <c r="J32" s="45">
        <f t="shared" si="12"/>
        <v>52374765.957446814</v>
      </c>
      <c r="K32" s="36"/>
      <c r="L32" s="41" t="s">
        <v>298</v>
      </c>
      <c r="M32" s="41" t="str">
        <f>VLOOKUP(N32,'list rate unit'!O:P,2,FALSE)</f>
        <v>D 85 ESS-2</v>
      </c>
      <c r="N32" s="41" t="str">
        <f t="shared" si="13"/>
        <v>KOMATSU DOZER D85SS - 06</v>
      </c>
      <c r="O32" s="15" t="s">
        <v>56</v>
      </c>
    </row>
    <row r="33" spans="2:15" x14ac:dyDescent="0.3">
      <c r="B33" s="41">
        <v>26</v>
      </c>
      <c r="C33" s="41" t="s">
        <v>223</v>
      </c>
      <c r="D33" s="42">
        <v>166</v>
      </c>
      <c r="E33" s="62">
        <f>IF(O33="K",VLOOKUP(M33,Table2[[#All],[UNIT]:[Column7]],10,FALSE),0)</f>
        <v>425000</v>
      </c>
      <c r="F33" s="43">
        <f t="shared" si="10"/>
        <v>70550000</v>
      </c>
      <c r="G33" s="42">
        <v>2623.7805907172997</v>
      </c>
      <c r="H33" s="44">
        <f t="shared" si="0"/>
        <v>30173476.793248948</v>
      </c>
      <c r="I33" s="42">
        <f t="shared" si="11"/>
        <v>15.805907172995781</v>
      </c>
      <c r="J33" s="45">
        <f t="shared" si="12"/>
        <v>100723476.79324895</v>
      </c>
      <c r="K33" s="36"/>
      <c r="L33" s="41" t="s">
        <v>298</v>
      </c>
      <c r="M33" s="41" t="str">
        <f>VLOOKUP(N33,'list rate unit'!O:P,2,FALSE)</f>
        <v>D 85 ESS-2</v>
      </c>
      <c r="N33" s="41" t="str">
        <f t="shared" si="13"/>
        <v>KOMATSU DOZER D85SS - 14</v>
      </c>
      <c r="O33" s="15" t="s">
        <v>56</v>
      </c>
    </row>
    <row r="34" spans="2:15" x14ac:dyDescent="0.3">
      <c r="B34" s="41">
        <v>27</v>
      </c>
      <c r="C34" s="41" t="s">
        <v>296</v>
      </c>
      <c r="D34" s="42">
        <v>228</v>
      </c>
      <c r="E34" s="62">
        <f>IF(O34="K",VLOOKUP(M34,Table2[[#All],[UNIT]:[Column7]],10,FALSE),0)</f>
        <v>425000</v>
      </c>
      <c r="F34" s="43">
        <f t="shared" si="10"/>
        <v>96900000</v>
      </c>
      <c r="G34" s="42">
        <v>4248.3453237410067</v>
      </c>
      <c r="H34" s="44">
        <f t="shared" si="0"/>
        <v>48855971.223021574</v>
      </c>
      <c r="I34" s="42">
        <f t="shared" si="11"/>
        <v>18.633093525179856</v>
      </c>
      <c r="J34" s="45">
        <f t="shared" si="12"/>
        <v>145755971.22302157</v>
      </c>
      <c r="K34" s="36"/>
      <c r="L34" s="41" t="s">
        <v>298</v>
      </c>
      <c r="M34" s="41" t="str">
        <f>VLOOKUP(N34,'list rate unit'!O:P,2,FALSE)</f>
        <v>D 85 ESS-2</v>
      </c>
      <c r="N34" s="41" t="str">
        <f t="shared" si="13"/>
        <v>KOMATSU DOZER D85SS - 17</v>
      </c>
      <c r="O34" s="15" t="s">
        <v>56</v>
      </c>
    </row>
    <row r="35" spans="2:15" x14ac:dyDescent="0.3">
      <c r="B35" s="41">
        <v>28</v>
      </c>
      <c r="C35" s="41" t="s">
        <v>224</v>
      </c>
      <c r="D35" s="42">
        <v>181</v>
      </c>
      <c r="E35" s="62">
        <f>IF(O35="K",VLOOKUP(M35,Table2[[#All],[UNIT]:[Column7]],10,FALSE),0)</f>
        <v>425000</v>
      </c>
      <c r="F35" s="43">
        <f t="shared" si="10"/>
        <v>76925000</v>
      </c>
      <c r="G35" s="42">
        <v>2990.4979919678713</v>
      </c>
      <c r="H35" s="44">
        <f t="shared" si="0"/>
        <v>34390726.907630518</v>
      </c>
      <c r="I35" s="42">
        <f t="shared" si="11"/>
        <v>16.522088353413654</v>
      </c>
      <c r="J35" s="45">
        <f t="shared" si="12"/>
        <v>111315726.90763052</v>
      </c>
      <c r="K35" s="36"/>
      <c r="L35" s="41" t="s">
        <v>298</v>
      </c>
      <c r="M35" s="41" t="str">
        <f>VLOOKUP(N35,'list rate unit'!O:P,2,FALSE)</f>
        <v>D 85 ESS-2</v>
      </c>
      <c r="N35" s="41" t="str">
        <f t="shared" si="13"/>
        <v>KOMATSU DOZER D85SS - 18</v>
      </c>
      <c r="O35" s="15" t="s">
        <v>56</v>
      </c>
    </row>
    <row r="36" spans="2:15" x14ac:dyDescent="0.3">
      <c r="B36" s="41">
        <v>29</v>
      </c>
      <c r="C36" s="41" t="s">
        <v>284</v>
      </c>
      <c r="D36" s="42">
        <v>158</v>
      </c>
      <c r="E36" s="62">
        <f>IF(O36="K",VLOOKUP(M36,Table2[[#All],[UNIT]:[Column7]],10,FALSE),0)</f>
        <v>425000</v>
      </c>
      <c r="F36" s="43">
        <f t="shared" si="10"/>
        <v>67150000</v>
      </c>
      <c r="G36" s="42">
        <v>3018.5271966527193</v>
      </c>
      <c r="H36" s="44">
        <f t="shared" si="0"/>
        <v>34713062.761506274</v>
      </c>
      <c r="I36" s="42">
        <f t="shared" si="11"/>
        <v>19.10460251046025</v>
      </c>
      <c r="J36" s="45">
        <f t="shared" si="12"/>
        <v>101863062.76150627</v>
      </c>
      <c r="K36" s="36"/>
      <c r="L36" s="41" t="s">
        <v>298</v>
      </c>
      <c r="M36" s="41" t="str">
        <f>VLOOKUP(N36,'list rate unit'!O:P,2,FALSE)</f>
        <v>D 85 ESS-2</v>
      </c>
      <c r="N36" s="41" t="str">
        <f t="shared" si="13"/>
        <v>KOMATSU DOZER D85SS - 20</v>
      </c>
      <c r="O36" s="15" t="s">
        <v>56</v>
      </c>
    </row>
    <row r="37" spans="2:15" x14ac:dyDescent="0.3">
      <c r="D37" s="18"/>
      <c r="F37" s="32"/>
      <c r="G37" s="18"/>
      <c r="H37" s="30"/>
      <c r="I37" s="18"/>
      <c r="J37" s="33"/>
      <c r="K37" s="18"/>
    </row>
    <row r="38" spans="2:15" s="1" customFormat="1" ht="15.75" customHeight="1" x14ac:dyDescent="0.3">
      <c r="B38" s="200" t="s">
        <v>21</v>
      </c>
      <c r="C38" s="200"/>
      <c r="D38" s="46">
        <f>SUM(D8:D37)</f>
        <v>5814</v>
      </c>
      <c r="E38" s="63">
        <f>AVERAGE(E8:E37)</f>
        <v>1021191.9138560797</v>
      </c>
      <c r="F38" s="47">
        <f>SUM(F8:F37)</f>
        <v>5736144703.4291019</v>
      </c>
      <c r="G38" s="46">
        <f>SUM(G8:G37)</f>
        <v>123630.98072627895</v>
      </c>
      <c r="H38" s="47">
        <f>SUM(H8:H37)</f>
        <v>1421756278.3522081</v>
      </c>
      <c r="I38" s="46">
        <f t="shared" si="1"/>
        <v>21.264358570051421</v>
      </c>
      <c r="J38" s="48">
        <f>SUM(J8:J37)</f>
        <v>7157900981.7813101</v>
      </c>
      <c r="K38" s="37"/>
    </row>
    <row r="40" spans="2:15" x14ac:dyDescent="0.3">
      <c r="B40" s="35" t="s">
        <v>34</v>
      </c>
      <c r="C40" s="29">
        <f>'SUMMARY 2'!I28</f>
        <v>14848</v>
      </c>
    </row>
    <row r="41" spans="2:15" x14ac:dyDescent="0.3">
      <c r="B41" s="35" t="s">
        <v>35</v>
      </c>
      <c r="C41" s="29">
        <f>SUMMARY!J13</f>
        <v>11500</v>
      </c>
      <c r="F41" s="30"/>
      <c r="G41" s="18"/>
    </row>
    <row r="43" spans="2:15" x14ac:dyDescent="0.3">
      <c r="F43" s="18"/>
    </row>
  </sheetData>
  <autoFilter ref="B7:O38" xr:uid="{00000000-0009-0000-0000-000003000000}"/>
  <mergeCells count="13">
    <mergeCell ref="B2:C3"/>
    <mergeCell ref="M5:M7"/>
    <mergeCell ref="N5:N7"/>
    <mergeCell ref="I5:I6"/>
    <mergeCell ref="L5:L7"/>
    <mergeCell ref="J5:J7"/>
    <mergeCell ref="B38:C38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8" sqref="H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169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11</v>
      </c>
      <c r="E8" s="62">
        <f>IF(O8="K",VLOOKUP(M8,Table2[[#All],[UNIT]:[Column7]],10,FALSE),0)</f>
        <v>1000000</v>
      </c>
      <c r="F8" s="43">
        <f>D8*E8</f>
        <v>11000000</v>
      </c>
      <c r="G8" s="42">
        <v>343.95983935742976</v>
      </c>
      <c r="H8" s="44">
        <f>G8*$C$32</f>
        <v>3955538.1526104421</v>
      </c>
      <c r="I8" s="42">
        <f t="shared" ref="I8:I24" si="0">IFERROR(G8/D8,0)</f>
        <v>31.269076305220889</v>
      </c>
      <c r="J8" s="45">
        <f>F8+H8</f>
        <v>14955538.152610442</v>
      </c>
      <c r="K8" s="36"/>
      <c r="L8" s="41" t="s">
        <v>298</v>
      </c>
      <c r="M8" s="41" t="s">
        <v>150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188</v>
      </c>
      <c r="D9" s="42">
        <v>10</v>
      </c>
      <c r="E9" s="62">
        <f>IF(O9="K",VLOOKUP(M9,Table2[[#All],[UNIT]:[Column7]],10,FALSE),0)</f>
        <v>1000000</v>
      </c>
      <c r="F9" s="43">
        <f t="shared" ref="F9:F24" si="1">D9*E9</f>
        <v>10000000</v>
      </c>
      <c r="G9" s="42">
        <v>275.6985294117647</v>
      </c>
      <c r="H9" s="44">
        <f>G9*$C$32</f>
        <v>3170533.088235294</v>
      </c>
      <c r="I9" s="42">
        <f t="shared" si="0"/>
        <v>27.569852941176471</v>
      </c>
      <c r="J9" s="45">
        <f t="shared" ref="J9:J24" si="2">F9+H9</f>
        <v>13170533.088235294</v>
      </c>
      <c r="K9" s="36"/>
      <c r="L9" s="41" t="s">
        <v>298</v>
      </c>
      <c r="M9" s="41" t="s">
        <v>150</v>
      </c>
      <c r="N9" s="41" t="str">
        <f t="shared" ref="N9:N24" si="3">C9</f>
        <v>KOMATSU PC 500 - 03</v>
      </c>
      <c r="O9" s="15" t="s">
        <v>56</v>
      </c>
    </row>
    <row r="10" spans="2:15" x14ac:dyDescent="0.3">
      <c r="B10" s="41">
        <v>3</v>
      </c>
      <c r="C10" s="41" t="s">
        <v>278</v>
      </c>
      <c r="D10" s="42">
        <v>38</v>
      </c>
      <c r="E10" s="62">
        <f>IF(O10="K",VLOOKUP(M10,Table2[[#All],[UNIT]:[Column7]],10,FALSE),0)</f>
        <v>1000000</v>
      </c>
      <c r="F10" s="43">
        <f t="shared" ref="F10:F23" si="4">D10*E10</f>
        <v>38000000</v>
      </c>
      <c r="G10" s="42">
        <v>1207.764258555133</v>
      </c>
      <c r="H10" s="44">
        <f>G10*$C$32</f>
        <v>13889288.97338403</v>
      </c>
      <c r="I10" s="42">
        <f t="shared" ref="I10:I23" si="5">IFERROR(G10/D10,0)</f>
        <v>31.783269961977183</v>
      </c>
      <c r="J10" s="45">
        <f t="shared" ref="J10:J23" si="6">F10+H10</f>
        <v>51889288.97338403</v>
      </c>
      <c r="K10" s="36"/>
      <c r="L10" s="41" t="s">
        <v>298</v>
      </c>
      <c r="M10" s="41" t="s">
        <v>150</v>
      </c>
      <c r="N10" s="41" t="str">
        <f t="shared" ref="N10:N23" si="7">C10</f>
        <v>KOMATSU PC 500 - 04</v>
      </c>
      <c r="O10" s="15" t="s">
        <v>56</v>
      </c>
    </row>
    <row r="11" spans="2:15" x14ac:dyDescent="0.3">
      <c r="B11" s="41">
        <v>4</v>
      </c>
      <c r="C11" s="41" t="s">
        <v>279</v>
      </c>
      <c r="D11" s="42">
        <v>243</v>
      </c>
      <c r="E11" s="62">
        <f>IF(O11="K",VLOOKUP(M11,Table2[[#All],[UNIT]:[Column7]],10,FALSE),0)</f>
        <v>1000000</v>
      </c>
      <c r="F11" s="43">
        <f t="shared" si="4"/>
        <v>243000000</v>
      </c>
      <c r="G11" s="42">
        <v>7155</v>
      </c>
      <c r="H11" s="44">
        <f t="shared" ref="H11:H24" si="8">G11*$C$32</f>
        <v>82282500</v>
      </c>
      <c r="I11" s="42">
        <f t="shared" si="5"/>
        <v>29.444444444444443</v>
      </c>
      <c r="J11" s="45">
        <f t="shared" si="6"/>
        <v>325282500</v>
      </c>
      <c r="K11" s="36"/>
      <c r="L11" s="41" t="s">
        <v>298</v>
      </c>
      <c r="M11" s="41" t="s">
        <v>150</v>
      </c>
      <c r="N11" s="41" t="str">
        <f t="shared" si="7"/>
        <v>KOMATSU PC 400 - 04</v>
      </c>
      <c r="O11" s="15" t="s">
        <v>56</v>
      </c>
    </row>
    <row r="12" spans="2:15" x14ac:dyDescent="0.3">
      <c r="B12" s="41">
        <v>5</v>
      </c>
      <c r="C12" s="41" t="s">
        <v>189</v>
      </c>
      <c r="D12" s="42">
        <v>88</v>
      </c>
      <c r="E12" s="62">
        <f>IF(O12="K",VLOOKUP(M12,Table2[[#All],[UNIT]:[Column7]],10,FALSE),0)</f>
        <v>1000000</v>
      </c>
      <c r="F12" s="43">
        <f t="shared" si="4"/>
        <v>88000000</v>
      </c>
      <c r="G12" s="42">
        <v>2595</v>
      </c>
      <c r="H12" s="44">
        <f t="shared" si="8"/>
        <v>29842500</v>
      </c>
      <c r="I12" s="42">
        <f t="shared" si="5"/>
        <v>29.488636363636363</v>
      </c>
      <c r="J12" s="45">
        <f t="shared" si="6"/>
        <v>117842500</v>
      </c>
      <c r="K12" s="36"/>
      <c r="L12" s="41" t="s">
        <v>298</v>
      </c>
      <c r="M12" s="41" t="s">
        <v>150</v>
      </c>
      <c r="N12" s="41" t="str">
        <f t="shared" si="7"/>
        <v>KOMATSU PC 400 - 05</v>
      </c>
      <c r="O12" s="15" t="s">
        <v>56</v>
      </c>
    </row>
    <row r="13" spans="2:15" x14ac:dyDescent="0.3">
      <c r="B13" s="41">
        <v>6</v>
      </c>
      <c r="C13" s="41" t="s">
        <v>302</v>
      </c>
      <c r="D13" s="42">
        <v>10</v>
      </c>
      <c r="E13" s="62">
        <f>IF(O13="K",VLOOKUP(M13,Table2[[#All],[UNIT]:[Column7]],10,FALSE),0)</f>
        <v>1000000</v>
      </c>
      <c r="F13" s="43">
        <f t="shared" si="4"/>
        <v>10000000</v>
      </c>
      <c r="G13" s="42">
        <v>267.11111111111114</v>
      </c>
      <c r="H13" s="44">
        <f t="shared" si="8"/>
        <v>3071777.777777778</v>
      </c>
      <c r="I13" s="42">
        <f t="shared" si="5"/>
        <v>26.711111111111116</v>
      </c>
      <c r="J13" s="45">
        <f t="shared" si="6"/>
        <v>13071777.777777778</v>
      </c>
      <c r="K13" s="36"/>
      <c r="L13" s="41" t="s">
        <v>298</v>
      </c>
      <c r="M13" s="41" t="s">
        <v>150</v>
      </c>
      <c r="N13" s="41" t="str">
        <f t="shared" si="7"/>
        <v>KOMATSU PC 300 - 15</v>
      </c>
      <c r="O13" s="15" t="s">
        <v>56</v>
      </c>
    </row>
    <row r="14" spans="2:15" x14ac:dyDescent="0.3">
      <c r="B14" s="41">
        <v>7</v>
      </c>
      <c r="C14" s="41" t="s">
        <v>192</v>
      </c>
      <c r="D14" s="42">
        <v>10</v>
      </c>
      <c r="E14" s="62">
        <f>IF(O14="K",VLOOKUP(M14,Table2[[#All],[UNIT]:[Column7]],10,FALSE),0)</f>
        <v>1000000</v>
      </c>
      <c r="F14" s="43">
        <f t="shared" si="4"/>
        <v>10000000</v>
      </c>
      <c r="G14" s="42">
        <v>160.84210526315789</v>
      </c>
      <c r="H14" s="44">
        <f t="shared" si="8"/>
        <v>1849684.2105263157</v>
      </c>
      <c r="I14" s="42">
        <f t="shared" si="5"/>
        <v>16.08421052631579</v>
      </c>
      <c r="J14" s="45">
        <f t="shared" si="6"/>
        <v>11849684.210526315</v>
      </c>
      <c r="K14" s="36"/>
      <c r="L14" s="41" t="s">
        <v>298</v>
      </c>
      <c r="M14" s="41" t="s">
        <v>150</v>
      </c>
      <c r="N14" s="41" t="str">
        <f t="shared" si="7"/>
        <v>KOBELCO SK 330 - 11</v>
      </c>
      <c r="O14" s="15" t="s">
        <v>56</v>
      </c>
    </row>
    <row r="15" spans="2:15" x14ac:dyDescent="0.3">
      <c r="B15" s="41">
        <v>8</v>
      </c>
      <c r="C15" s="41" t="s">
        <v>193</v>
      </c>
      <c r="D15" s="42">
        <v>119</v>
      </c>
      <c r="E15" s="62">
        <f>IF(O15="K",VLOOKUP(M15,Table2[[#All],[UNIT]:[Column7]],10,FALSE),0)</f>
        <v>1000000</v>
      </c>
      <c r="F15" s="43">
        <f t="shared" si="4"/>
        <v>119000000</v>
      </c>
      <c r="G15" s="42">
        <v>1377</v>
      </c>
      <c r="H15" s="44">
        <f t="shared" si="8"/>
        <v>15835500</v>
      </c>
      <c r="I15" s="42">
        <f t="shared" si="5"/>
        <v>11.571428571428571</v>
      </c>
      <c r="J15" s="45">
        <f t="shared" si="6"/>
        <v>134835500</v>
      </c>
      <c r="K15" s="36"/>
      <c r="L15" s="41" t="s">
        <v>298</v>
      </c>
      <c r="M15" s="41" t="s">
        <v>150</v>
      </c>
      <c r="N15" s="41" t="str">
        <f t="shared" si="7"/>
        <v>KOMATSU PC 200 - 22</v>
      </c>
      <c r="O15" s="15" t="s">
        <v>56</v>
      </c>
    </row>
    <row r="16" spans="2:15" x14ac:dyDescent="0.3">
      <c r="B16" s="41">
        <v>9</v>
      </c>
      <c r="C16" s="41" t="s">
        <v>207</v>
      </c>
      <c r="D16" s="42">
        <v>35</v>
      </c>
      <c r="E16" s="62">
        <f>IF(O16="K",VLOOKUP(M16,Table2[[#All],[UNIT]:[Column7]],10,FALSE),0)</f>
        <v>1000000</v>
      </c>
      <c r="F16" s="43">
        <f t="shared" si="4"/>
        <v>35000000</v>
      </c>
      <c r="G16" s="42">
        <v>665.66455696202536</v>
      </c>
      <c r="H16" s="44">
        <f t="shared" si="8"/>
        <v>7655142.405063292</v>
      </c>
      <c r="I16" s="42">
        <f t="shared" si="5"/>
        <v>19.018987341772153</v>
      </c>
      <c r="J16" s="45">
        <f t="shared" si="6"/>
        <v>42655142.405063294</v>
      </c>
      <c r="K16" s="36"/>
      <c r="L16" s="41" t="s">
        <v>298</v>
      </c>
      <c r="M16" s="41" t="s">
        <v>150</v>
      </c>
      <c r="N16" s="41" t="str">
        <f t="shared" si="7"/>
        <v>KOMATSU HM 400 - 11</v>
      </c>
      <c r="O16" s="15" t="s">
        <v>56</v>
      </c>
    </row>
    <row r="17" spans="2:15" x14ac:dyDescent="0.3">
      <c r="B17" s="41">
        <v>10</v>
      </c>
      <c r="C17" s="41" t="s">
        <v>209</v>
      </c>
      <c r="D17" s="42">
        <v>24</v>
      </c>
      <c r="E17" s="62">
        <f>IF(O17="K",VLOOKUP(M17,Table2[[#All],[UNIT]:[Column7]],10,FALSE),0)</f>
        <v>1000000</v>
      </c>
      <c r="F17" s="43">
        <f t="shared" si="4"/>
        <v>24000000</v>
      </c>
      <c r="G17" s="42">
        <v>421.67741935483872</v>
      </c>
      <c r="H17" s="44">
        <f t="shared" si="8"/>
        <v>4849290.3225806449</v>
      </c>
      <c r="I17" s="42">
        <f t="shared" si="5"/>
        <v>17.56989247311828</v>
      </c>
      <c r="J17" s="45">
        <f t="shared" si="6"/>
        <v>28849290.322580643</v>
      </c>
      <c r="K17" s="36"/>
      <c r="L17" s="41" t="s">
        <v>298</v>
      </c>
      <c r="M17" s="41" t="s">
        <v>150</v>
      </c>
      <c r="N17" s="41" t="str">
        <f t="shared" si="7"/>
        <v>KOMATSU HM 400 - 13</v>
      </c>
      <c r="O17" s="15" t="s">
        <v>56</v>
      </c>
    </row>
    <row r="18" spans="2:15" x14ac:dyDescent="0.3">
      <c r="B18" s="41">
        <v>11</v>
      </c>
      <c r="C18" s="41" t="s">
        <v>210</v>
      </c>
      <c r="D18" s="42">
        <v>7</v>
      </c>
      <c r="E18" s="62">
        <f>IF(O18="K",VLOOKUP(M18,Table2[[#All],[UNIT]:[Column7]],10,FALSE),0)</f>
        <v>1000000</v>
      </c>
      <c r="F18" s="43">
        <f t="shared" si="4"/>
        <v>7000000</v>
      </c>
      <c r="G18" s="42">
        <v>142.86057692307693</v>
      </c>
      <c r="H18" s="44">
        <f t="shared" si="8"/>
        <v>1642896.6346153847</v>
      </c>
      <c r="I18" s="42">
        <f t="shared" si="5"/>
        <v>20.408653846153847</v>
      </c>
      <c r="J18" s="45">
        <f t="shared" si="6"/>
        <v>8642896.634615384</v>
      </c>
      <c r="K18" s="36"/>
      <c r="L18" s="41" t="s">
        <v>298</v>
      </c>
      <c r="M18" s="41" t="s">
        <v>150</v>
      </c>
      <c r="N18" s="41" t="str">
        <f t="shared" si="7"/>
        <v>KOMATSU HM 400 - 14</v>
      </c>
      <c r="O18" s="15" t="s">
        <v>56</v>
      </c>
    </row>
    <row r="19" spans="2:15" x14ac:dyDescent="0.3">
      <c r="B19" s="41">
        <v>12</v>
      </c>
      <c r="C19" s="41" t="s">
        <v>211</v>
      </c>
      <c r="D19" s="42">
        <v>33</v>
      </c>
      <c r="E19" s="62">
        <f>IF(O19="K",VLOOKUP(M19,Table2[[#All],[UNIT]:[Column7]],10,FALSE),0)</f>
        <v>1000000</v>
      </c>
      <c r="F19" s="43">
        <f t="shared" si="4"/>
        <v>33000000</v>
      </c>
      <c r="G19" s="42">
        <v>638</v>
      </c>
      <c r="H19" s="44">
        <f t="shared" si="8"/>
        <v>7337000</v>
      </c>
      <c r="I19" s="42">
        <f t="shared" si="5"/>
        <v>19.333333333333332</v>
      </c>
      <c r="J19" s="45">
        <f t="shared" si="6"/>
        <v>40337000</v>
      </c>
      <c r="K19" s="36"/>
      <c r="L19" s="41" t="s">
        <v>298</v>
      </c>
      <c r="M19" s="41" t="s">
        <v>150</v>
      </c>
      <c r="N19" s="41" t="str">
        <f t="shared" si="7"/>
        <v>KOMATSU HM 400 - 15</v>
      </c>
      <c r="O19" s="15" t="s">
        <v>56</v>
      </c>
    </row>
    <row r="20" spans="2:15" x14ac:dyDescent="0.3">
      <c r="B20" s="41">
        <v>13</v>
      </c>
      <c r="C20" s="41" t="s">
        <v>212</v>
      </c>
      <c r="D20" s="42">
        <v>38</v>
      </c>
      <c r="E20" s="62">
        <f>IF(O20="K",VLOOKUP(M20,Table2[[#All],[UNIT]:[Column7]],10,FALSE),0)</f>
        <v>1000000</v>
      </c>
      <c r="F20" s="43">
        <f t="shared" si="4"/>
        <v>38000000</v>
      </c>
      <c r="G20" s="42">
        <v>791.24444444444453</v>
      </c>
      <c r="H20" s="44">
        <f t="shared" si="8"/>
        <v>9099311.1111111119</v>
      </c>
      <c r="I20" s="42">
        <f t="shared" si="5"/>
        <v>20.822222222222223</v>
      </c>
      <c r="J20" s="45">
        <f t="shared" si="6"/>
        <v>47099311.111111112</v>
      </c>
      <c r="K20" s="36"/>
      <c r="L20" s="41" t="s">
        <v>298</v>
      </c>
      <c r="M20" s="41" t="s">
        <v>150</v>
      </c>
      <c r="N20" s="41" t="str">
        <f t="shared" si="7"/>
        <v>KOMATSU HM 400 - 16</v>
      </c>
      <c r="O20" s="15" t="s">
        <v>56</v>
      </c>
    </row>
    <row r="21" spans="2:15" x14ac:dyDescent="0.3">
      <c r="B21" s="41">
        <v>14</v>
      </c>
      <c r="C21" s="41" t="s">
        <v>214</v>
      </c>
      <c r="D21" s="42">
        <v>13</v>
      </c>
      <c r="E21" s="62">
        <f>IF(O21="K",VLOOKUP(M21,Table2[[#All],[UNIT]:[Column7]],10,FALSE),0)</f>
        <v>1000000</v>
      </c>
      <c r="F21" s="43">
        <f t="shared" si="4"/>
        <v>13000000</v>
      </c>
      <c r="G21" s="42">
        <v>259.68924302788844</v>
      </c>
      <c r="H21" s="44">
        <f t="shared" si="8"/>
        <v>2986426.2948207171</v>
      </c>
      <c r="I21" s="42">
        <f t="shared" si="5"/>
        <v>19.976095617529879</v>
      </c>
      <c r="J21" s="45">
        <f t="shared" si="6"/>
        <v>15986426.294820717</v>
      </c>
      <c r="K21" s="36"/>
      <c r="L21" s="41" t="s">
        <v>298</v>
      </c>
      <c r="M21" s="41" t="s">
        <v>150</v>
      </c>
      <c r="N21" s="41" t="str">
        <f t="shared" si="7"/>
        <v>KOMATSU HM 400 - 18</v>
      </c>
      <c r="O21" s="15" t="s">
        <v>56</v>
      </c>
    </row>
    <row r="22" spans="2:15" x14ac:dyDescent="0.3">
      <c r="B22" s="41">
        <v>15</v>
      </c>
      <c r="C22" s="41" t="s">
        <v>215</v>
      </c>
      <c r="D22" s="42">
        <v>21</v>
      </c>
      <c r="E22" s="62">
        <f>IF(O22="K",VLOOKUP(M22,Table2[[#All],[UNIT]:[Column7]],10,FALSE),0)</f>
        <v>1000000</v>
      </c>
      <c r="F22" s="43">
        <f t="shared" si="4"/>
        <v>21000000</v>
      </c>
      <c r="G22" s="42">
        <v>417.82758620689657</v>
      </c>
      <c r="H22" s="44">
        <f t="shared" si="8"/>
        <v>4805017.2413793104</v>
      </c>
      <c r="I22" s="42">
        <f t="shared" si="5"/>
        <v>19.896551724137932</v>
      </c>
      <c r="J22" s="45">
        <f t="shared" si="6"/>
        <v>25805017.241379309</v>
      </c>
      <c r="K22" s="36"/>
      <c r="L22" s="41" t="s">
        <v>298</v>
      </c>
      <c r="M22" s="41" t="s">
        <v>150</v>
      </c>
      <c r="N22" s="41" t="str">
        <f t="shared" si="7"/>
        <v>KOMATSU HM 400 - 19</v>
      </c>
      <c r="O22" s="15" t="s">
        <v>56</v>
      </c>
    </row>
    <row r="23" spans="2:15" x14ac:dyDescent="0.3">
      <c r="B23" s="41">
        <v>16</v>
      </c>
      <c r="C23" s="41" t="s">
        <v>216</v>
      </c>
      <c r="D23" s="42">
        <v>27</v>
      </c>
      <c r="E23" s="62">
        <f>IF(O23="K",VLOOKUP(M23,Table2[[#All],[UNIT]:[Column7]],10,FALSE),0)</f>
        <v>1000000</v>
      </c>
      <c r="F23" s="43">
        <f t="shared" si="4"/>
        <v>27000000</v>
      </c>
      <c r="G23" s="42">
        <v>522</v>
      </c>
      <c r="H23" s="44">
        <f t="shared" si="8"/>
        <v>6003000</v>
      </c>
      <c r="I23" s="42">
        <f t="shared" si="5"/>
        <v>19.333333333333332</v>
      </c>
      <c r="J23" s="45">
        <f t="shared" si="6"/>
        <v>33003000</v>
      </c>
      <c r="K23" s="36"/>
      <c r="L23" s="41" t="s">
        <v>298</v>
      </c>
      <c r="M23" s="41" t="s">
        <v>150</v>
      </c>
      <c r="N23" s="41" t="str">
        <f t="shared" si="7"/>
        <v>KOMATSU HM 400 - 20</v>
      </c>
      <c r="O23" s="15" t="s">
        <v>56</v>
      </c>
    </row>
    <row r="24" spans="2:15" x14ac:dyDescent="0.3">
      <c r="B24" s="41">
        <v>17</v>
      </c>
      <c r="C24" s="41" t="s">
        <v>217</v>
      </c>
      <c r="D24" s="42">
        <v>126</v>
      </c>
      <c r="E24" s="62">
        <f>IF(O24="K",VLOOKUP(M24,Table2[[#All],[UNIT]:[Column7]],10,FALSE),0)</f>
        <v>1000000</v>
      </c>
      <c r="F24" s="43">
        <f t="shared" si="1"/>
        <v>126000000</v>
      </c>
      <c r="G24" s="42">
        <v>1813.4430379746836</v>
      </c>
      <c r="H24" s="44">
        <f t="shared" si="8"/>
        <v>20854594.93670886</v>
      </c>
      <c r="I24" s="42">
        <f t="shared" si="0"/>
        <v>14.39240506329114</v>
      </c>
      <c r="J24" s="45">
        <f t="shared" si="2"/>
        <v>146854594.93670887</v>
      </c>
      <c r="K24" s="36"/>
      <c r="L24" s="41" t="s">
        <v>298</v>
      </c>
      <c r="M24" s="41" t="s">
        <v>150</v>
      </c>
      <c r="N24" s="41" t="str">
        <f t="shared" si="3"/>
        <v>KOMATSU HM 400 - 21</v>
      </c>
      <c r="O24" s="15" t="s">
        <v>56</v>
      </c>
    </row>
    <row r="25" spans="2:15" x14ac:dyDescent="0.3">
      <c r="B25" s="41">
        <v>18</v>
      </c>
      <c r="C25" s="41" t="s">
        <v>218</v>
      </c>
      <c r="D25" s="42">
        <v>62</v>
      </c>
      <c r="E25" s="62">
        <f>IF(O25="K",VLOOKUP(M25,Table2[[#All],[UNIT]:[Column7]],10,FALSE),0)</f>
        <v>1000000</v>
      </c>
      <c r="F25" s="43">
        <f t="shared" ref="F25:F27" si="9">D25*E25</f>
        <v>62000000</v>
      </c>
      <c r="G25" s="42">
        <v>1299.4520547945206</v>
      </c>
      <c r="H25" s="44">
        <f t="shared" ref="H25:H27" si="10">G25*$C$32</f>
        <v>14943698.630136987</v>
      </c>
      <c r="I25" s="42">
        <f t="shared" ref="I25:I27" si="11">IFERROR(G25/D25,0)</f>
        <v>20.958904109589042</v>
      </c>
      <c r="J25" s="45">
        <f t="shared" ref="J25:J27" si="12">F25+H25</f>
        <v>76943698.630136982</v>
      </c>
      <c r="K25" s="36"/>
      <c r="L25" s="41" t="s">
        <v>298</v>
      </c>
      <c r="M25" s="41" t="s">
        <v>150</v>
      </c>
      <c r="N25" s="41" t="str">
        <f t="shared" ref="N25:N27" si="13">C25</f>
        <v>KOMATSU HM 400 - 22</v>
      </c>
      <c r="O25" s="15" t="s">
        <v>56</v>
      </c>
    </row>
    <row r="26" spans="2:15" x14ac:dyDescent="0.3">
      <c r="B26" s="41">
        <v>19</v>
      </c>
      <c r="C26" s="41" t="s">
        <v>280</v>
      </c>
      <c r="D26" s="42">
        <v>3</v>
      </c>
      <c r="E26" s="62">
        <f>IF(O26="K",VLOOKUP(M26,Table2[[#All],[UNIT]:[Column7]],10,FALSE),0)</f>
        <v>1000000</v>
      </c>
      <c r="F26" s="43">
        <f t="shared" si="9"/>
        <v>3000000</v>
      </c>
      <c r="G26" s="42">
        <v>60.325000000000003</v>
      </c>
      <c r="H26" s="44">
        <f t="shared" si="10"/>
        <v>693737.5</v>
      </c>
      <c r="I26" s="42">
        <f t="shared" si="11"/>
        <v>20.108333333333334</v>
      </c>
      <c r="J26" s="45">
        <f t="shared" si="12"/>
        <v>3693737.5</v>
      </c>
      <c r="K26" s="36"/>
      <c r="L26" s="41" t="s">
        <v>298</v>
      </c>
      <c r="M26" s="41" t="s">
        <v>150</v>
      </c>
      <c r="N26" s="41" t="str">
        <f t="shared" si="13"/>
        <v>KOMATSU HM 400 - 23</v>
      </c>
      <c r="O26" s="15" t="s">
        <v>56</v>
      </c>
    </row>
    <row r="27" spans="2:15" x14ac:dyDescent="0.3">
      <c r="B27" s="41">
        <v>20</v>
      </c>
      <c r="C27" s="41" t="s">
        <v>282</v>
      </c>
      <c r="D27" s="42">
        <v>15</v>
      </c>
      <c r="E27" s="62">
        <f>IF(O27="K",VLOOKUP(M27,Table2[[#All],[UNIT]:[Column7]],10,FALSE),0)</f>
        <v>1000000</v>
      </c>
      <c r="F27" s="43">
        <f t="shared" si="9"/>
        <v>15000000</v>
      </c>
      <c r="G27" s="42">
        <v>262.5</v>
      </c>
      <c r="H27" s="44">
        <f t="shared" si="10"/>
        <v>3018750</v>
      </c>
      <c r="I27" s="42">
        <f t="shared" si="11"/>
        <v>17.5</v>
      </c>
      <c r="J27" s="45">
        <f t="shared" si="12"/>
        <v>18018750</v>
      </c>
      <c r="K27" s="36"/>
      <c r="L27" s="41" t="s">
        <v>298</v>
      </c>
      <c r="M27" s="41" t="s">
        <v>150</v>
      </c>
      <c r="N27" s="41" t="str">
        <f t="shared" si="13"/>
        <v>KOMATSU HM 400 - 25</v>
      </c>
      <c r="O27" s="15" t="s">
        <v>56</v>
      </c>
    </row>
    <row r="28" spans="2:15" x14ac:dyDescent="0.3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3">
      <c r="B29" s="200" t="s">
        <v>21</v>
      </c>
      <c r="C29" s="200"/>
      <c r="D29" s="46">
        <f>SUM(D8:D24)</f>
        <v>853</v>
      </c>
      <c r="E29" s="63">
        <f>AVERAGE(E8:E24)</f>
        <v>1000000</v>
      </c>
      <c r="F29" s="47">
        <f>SUM(F8:F24)</f>
        <v>853000000</v>
      </c>
      <c r="G29" s="46">
        <f>SUM(G8:G24)</f>
        <v>19054.782708592451</v>
      </c>
      <c r="H29" s="47">
        <f>SUM(H8:H24)</f>
        <v>219130001.14881322</v>
      </c>
      <c r="I29" s="46">
        <f t="shared" ref="I29" si="14">IFERROR(G29/D29,0)</f>
        <v>22.338549482523391</v>
      </c>
      <c r="J29" s="48">
        <f>SUM(J8:J24)</f>
        <v>1072130001.1488132</v>
      </c>
      <c r="K29" s="37"/>
    </row>
    <row r="31" spans="2:15" x14ac:dyDescent="0.3">
      <c r="B31" s="35" t="s">
        <v>34</v>
      </c>
      <c r="C31" s="29">
        <f>'SUMMARY 2'!I28</f>
        <v>14848</v>
      </c>
    </row>
    <row r="32" spans="2:15" x14ac:dyDescent="0.3">
      <c r="B32" s="35" t="s">
        <v>35</v>
      </c>
      <c r="C32" s="29">
        <f>'SUMMARY 2'!I13</f>
        <v>11500</v>
      </c>
      <c r="F32" s="30"/>
      <c r="G32" s="18"/>
    </row>
    <row r="34" spans="6:6" x14ac:dyDescent="0.3">
      <c r="F34" s="18"/>
    </row>
  </sheetData>
  <autoFilter ref="B7:O24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9:C29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29" sqref="F2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329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326</v>
      </c>
      <c r="D8" s="42"/>
      <c r="E8" s="62">
        <f>IF(O8="K",VLOOKUP(M8,Table2[[#All],[UNIT]:[Column7]],10,FALSE),0)</f>
        <v>220000</v>
      </c>
      <c r="F8" s="43">
        <f>D8*E8</f>
        <v>0</v>
      </c>
      <c r="G8" s="42"/>
      <c r="H8" s="44">
        <f>G8*$C$14</f>
        <v>0</v>
      </c>
      <c r="I8" s="42">
        <f t="shared" ref="I8:I9" si="0">IFERROR(G8/D8,0)</f>
        <v>0</v>
      </c>
      <c r="J8" s="45">
        <f>F8+H8</f>
        <v>0</v>
      </c>
      <c r="K8" s="36"/>
      <c r="L8" s="41" t="s">
        <v>298</v>
      </c>
      <c r="M8" s="41" t="str">
        <f>VLOOKUP(N8,'list rate unit'!O:P,2,FALSE)</f>
        <v>SV 525 D</v>
      </c>
      <c r="N8" s="41" t="str">
        <f>C8</f>
        <v>SAKAI - 03</v>
      </c>
      <c r="O8" s="15" t="s">
        <v>56</v>
      </c>
    </row>
    <row r="9" spans="2:15" x14ac:dyDescent="0.3">
      <c r="B9" s="41">
        <v>2</v>
      </c>
      <c r="C9" s="41" t="s">
        <v>226</v>
      </c>
      <c r="D9" s="42"/>
      <c r="E9" s="62">
        <f>IF(O9="K",VLOOKUP(M9,Table2[[#All],[UNIT]:[Column7]],10,FALSE),0)</f>
        <v>220000</v>
      </c>
      <c r="F9" s="43">
        <f t="shared" ref="F9" si="1">D9*E9</f>
        <v>0</v>
      </c>
      <c r="G9" s="42"/>
      <c r="H9" s="44">
        <f>G9*$C$14</f>
        <v>0</v>
      </c>
      <c r="I9" s="42">
        <f t="shared" si="0"/>
        <v>0</v>
      </c>
      <c r="J9" s="45">
        <f t="shared" ref="J9" si="2">F9+H9</f>
        <v>0</v>
      </c>
      <c r="K9" s="36"/>
      <c r="L9" s="41" t="s">
        <v>298</v>
      </c>
      <c r="M9" s="41" t="str">
        <f>VLOOKUP(N9,'list rate unit'!O:P,2,FALSE)</f>
        <v>SV 525 D</v>
      </c>
      <c r="N9" s="41" t="str">
        <f t="shared" ref="N9" si="3">C9</f>
        <v>SAKAI - 07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00" t="s">
        <v>21</v>
      </c>
      <c r="C11" s="200"/>
      <c r="D11" s="46">
        <f>SUM(D8:D9)</f>
        <v>0</v>
      </c>
      <c r="E11" s="63">
        <f>AVERAGE(E8:E9)</f>
        <v>220000</v>
      </c>
      <c r="F11" s="47">
        <f>SUM(F8:F9)</f>
        <v>0</v>
      </c>
      <c r="G11" s="46">
        <f>SUM(G8:G9)</f>
        <v>0</v>
      </c>
      <c r="H11" s="47">
        <f>SUM(H8:H9)</f>
        <v>0</v>
      </c>
      <c r="I11" s="46">
        <f t="shared" ref="I11" si="4">IFERROR(G11/D11,0)</f>
        <v>0</v>
      </c>
      <c r="J11" s="48">
        <f>SUM(J8:J9)</f>
        <v>0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1:C11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9"/>
  <sheetViews>
    <sheetView zoomScaleNormal="100" workbookViewId="0">
      <pane xSplit="3" ySplit="7" topLeftCell="D11" activePane="bottomRight" state="frozenSplit"/>
      <selection activeCell="B47" sqref="B47"/>
      <selection pane="topRight" activeCell="B47" sqref="B47"/>
      <selection pane="bottomLeft" activeCell="B47" sqref="B47"/>
      <selection pane="bottomRight" activeCell="H29" sqref="H2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170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401</v>
      </c>
      <c r="D8" s="42">
        <v>286</v>
      </c>
      <c r="E8" s="62">
        <f>IF(O8="K",VLOOKUP(M8,Table2[[#All],[UNIT]:[Column7]],10,FALSE),0)</f>
        <v>400000</v>
      </c>
      <c r="F8" s="43">
        <f>D8*E8</f>
        <v>114400000</v>
      </c>
      <c r="G8" s="42">
        <v>7628</v>
      </c>
      <c r="H8" s="44">
        <f t="shared" ref="H8:H27" si="0">G8*$C$37</f>
        <v>87722000</v>
      </c>
      <c r="I8" s="42">
        <f t="shared" ref="I8:I27" si="1">IFERROR(G8/D8,0)</f>
        <v>26.67132867132867</v>
      </c>
      <c r="J8" s="45">
        <f>F8+H8</f>
        <v>202122000</v>
      </c>
      <c r="K8" s="36"/>
      <c r="L8" s="41" t="s">
        <v>298</v>
      </c>
      <c r="M8" s="41" t="str">
        <f>VLOOKUP(N8,'list rate unit'!O:P,2,FALSE)</f>
        <v>PC 300 SE-8</v>
      </c>
      <c r="N8" s="41" t="str">
        <f>C8</f>
        <v>KOMATSU PC 300 - 07</v>
      </c>
      <c r="O8" s="15" t="s">
        <v>56</v>
      </c>
    </row>
    <row r="9" spans="2:15" x14ac:dyDescent="0.3">
      <c r="B9" s="41">
        <v>2</v>
      </c>
      <c r="C9" s="41" t="s">
        <v>342</v>
      </c>
      <c r="D9" s="42">
        <v>144</v>
      </c>
      <c r="E9" s="62">
        <f>IF(O9="K",VLOOKUP(M9,Table2[[#All],[UNIT]:[Column7]],10,FALSE),0)</f>
        <v>400000</v>
      </c>
      <c r="F9" s="43">
        <f t="shared" ref="F9:F27" si="2">D9*E9</f>
        <v>57600000</v>
      </c>
      <c r="G9" s="42">
        <v>4006</v>
      </c>
      <c r="H9" s="44">
        <f t="shared" si="0"/>
        <v>46069000</v>
      </c>
      <c r="I9" s="42">
        <f t="shared" si="1"/>
        <v>27.819444444444443</v>
      </c>
      <c r="J9" s="45">
        <f t="shared" ref="J9:J27" si="3">F9+H9</f>
        <v>103669000</v>
      </c>
      <c r="K9" s="36"/>
      <c r="L9" s="41" t="s">
        <v>298</v>
      </c>
      <c r="M9" s="41" t="str">
        <f>VLOOKUP(N9,'list rate unit'!O:P,2,FALSE)</f>
        <v>PC 300 SE-8</v>
      </c>
      <c r="N9" s="41" t="str">
        <f t="shared" ref="N9:N27" si="4">C9</f>
        <v>KOMATSU PC 300 - 11</v>
      </c>
      <c r="O9" s="15" t="s">
        <v>56</v>
      </c>
    </row>
    <row r="10" spans="2:15" x14ac:dyDescent="0.3">
      <c r="B10" s="41">
        <v>3</v>
      </c>
      <c r="C10" s="41" t="s">
        <v>288</v>
      </c>
      <c r="D10" s="42">
        <v>17</v>
      </c>
      <c r="E10" s="62">
        <f>IF(O10="K",VLOOKUP(M10,Table2[[#All],[UNIT]:[Column7]],10,FALSE),0)</f>
        <v>400000</v>
      </c>
      <c r="F10" s="43">
        <f t="shared" si="2"/>
        <v>6800000</v>
      </c>
      <c r="G10" s="42">
        <v>947</v>
      </c>
      <c r="H10" s="44">
        <f t="shared" si="0"/>
        <v>10890500</v>
      </c>
      <c r="I10" s="42">
        <f t="shared" si="1"/>
        <v>55.705882352941174</v>
      </c>
      <c r="J10" s="45">
        <f t="shared" si="3"/>
        <v>17690500</v>
      </c>
      <c r="K10" s="36"/>
      <c r="L10" s="41" t="s">
        <v>298</v>
      </c>
      <c r="M10" s="41" t="str">
        <f>VLOOKUP(N10,'list rate unit'!O:P,2,FALSE)</f>
        <v>PC 300 SE-8</v>
      </c>
      <c r="N10" s="41" t="str">
        <f t="shared" si="4"/>
        <v>KOMATSU PC 300 - 14</v>
      </c>
      <c r="O10" s="15" t="s">
        <v>56</v>
      </c>
    </row>
    <row r="11" spans="2:15" x14ac:dyDescent="0.3">
      <c r="B11" s="41">
        <v>4</v>
      </c>
      <c r="C11" s="41" t="s">
        <v>302</v>
      </c>
      <c r="D11" s="42">
        <v>305</v>
      </c>
      <c r="E11" s="62">
        <f>IF(O11="K",VLOOKUP(M11,Table2[[#All],[UNIT]:[Column7]],10,FALSE),0)</f>
        <v>400000</v>
      </c>
      <c r="F11" s="43">
        <f t="shared" si="2"/>
        <v>122000000</v>
      </c>
      <c r="G11" s="42">
        <v>8146.8888888888896</v>
      </c>
      <c r="H11" s="44">
        <f t="shared" si="0"/>
        <v>93689222.222222224</v>
      </c>
      <c r="I11" s="42">
        <f t="shared" si="1"/>
        <v>26.711111111111112</v>
      </c>
      <c r="J11" s="45">
        <f t="shared" si="3"/>
        <v>215689222.22222221</v>
      </c>
      <c r="K11" s="36"/>
      <c r="L11" s="41" t="s">
        <v>298</v>
      </c>
      <c r="M11" s="41" t="str">
        <f>VLOOKUP(N11,'list rate unit'!O:P,2,FALSE)</f>
        <v>PC 300 SE-8</v>
      </c>
      <c r="N11" s="41" t="str">
        <f t="shared" si="4"/>
        <v>KOMATSU PC 300 - 15</v>
      </c>
      <c r="O11" s="15" t="s">
        <v>56</v>
      </c>
    </row>
    <row r="12" spans="2:15" x14ac:dyDescent="0.3">
      <c r="B12" s="41">
        <v>5</v>
      </c>
      <c r="C12" s="41" t="s">
        <v>191</v>
      </c>
      <c r="D12" s="42">
        <v>224</v>
      </c>
      <c r="E12" s="62">
        <f>IF(O12="K",VLOOKUP(M12,Table2[[#All],[UNIT]:[Column7]],10,FALSE),0)</f>
        <v>400000</v>
      </c>
      <c r="F12" s="43">
        <f t="shared" si="2"/>
        <v>89600000</v>
      </c>
      <c r="G12" s="42">
        <v>4496</v>
      </c>
      <c r="H12" s="44">
        <f t="shared" si="0"/>
        <v>51704000</v>
      </c>
      <c r="I12" s="42">
        <f t="shared" si="1"/>
        <v>20.071428571428573</v>
      </c>
      <c r="J12" s="45">
        <f t="shared" si="3"/>
        <v>141304000</v>
      </c>
      <c r="K12" s="36"/>
      <c r="L12" s="41" t="s">
        <v>298</v>
      </c>
      <c r="M12" s="41" t="str">
        <f>VLOOKUP(N12,'list rate unit'!O:P,2,FALSE)</f>
        <v>SK 330-8</v>
      </c>
      <c r="N12" s="41" t="str">
        <f t="shared" si="4"/>
        <v>KOBELCO SK 330 - 10</v>
      </c>
      <c r="O12" s="15" t="s">
        <v>56</v>
      </c>
    </row>
    <row r="13" spans="2:15" x14ac:dyDescent="0.3">
      <c r="B13" s="41">
        <v>6</v>
      </c>
      <c r="C13" s="41" t="s">
        <v>192</v>
      </c>
      <c r="D13" s="42">
        <v>275</v>
      </c>
      <c r="E13" s="62">
        <f>IF(O13="K",VLOOKUP(M13,Table2[[#All],[UNIT]:[Column7]],10,FALSE),0)</f>
        <v>400000</v>
      </c>
      <c r="F13" s="43">
        <f t="shared" si="2"/>
        <v>110000000</v>
      </c>
      <c r="G13" s="42">
        <v>4423.1578947368425</v>
      </c>
      <c r="H13" s="44">
        <f t="shared" si="0"/>
        <v>50866315.78947369</v>
      </c>
      <c r="I13" s="42">
        <f t="shared" si="1"/>
        <v>16.08421052631579</v>
      </c>
      <c r="J13" s="45">
        <f t="shared" si="3"/>
        <v>160866315.78947368</v>
      </c>
      <c r="K13" s="36"/>
      <c r="L13" s="41" t="s">
        <v>298</v>
      </c>
      <c r="M13" s="41" t="str">
        <f>VLOOKUP(N13,'list rate unit'!O:P,2,FALSE)</f>
        <v>SK 330-8</v>
      </c>
      <c r="N13" s="41" t="str">
        <f t="shared" si="4"/>
        <v>KOBELCO SK 330 - 11</v>
      </c>
      <c r="O13" s="15" t="s">
        <v>56</v>
      </c>
    </row>
    <row r="14" spans="2:15" x14ac:dyDescent="0.3">
      <c r="B14" s="41">
        <v>7</v>
      </c>
      <c r="C14" s="41" t="s">
        <v>402</v>
      </c>
      <c r="D14" s="42">
        <v>281</v>
      </c>
      <c r="E14" s="62">
        <f>IF(O14="K",VLOOKUP(M14,Table2[[#All],[UNIT]:[Column7]],10,FALSE),0)</f>
        <v>400000</v>
      </c>
      <c r="F14" s="43">
        <f t="shared" si="2"/>
        <v>112400000</v>
      </c>
      <c r="G14" s="42">
        <v>4999</v>
      </c>
      <c r="H14" s="44">
        <f t="shared" si="0"/>
        <v>57488500</v>
      </c>
      <c r="I14" s="42">
        <f t="shared" si="1"/>
        <v>17.790035587188612</v>
      </c>
      <c r="J14" s="45">
        <f t="shared" si="3"/>
        <v>169888500</v>
      </c>
      <c r="K14" s="36"/>
      <c r="L14" s="41" t="s">
        <v>298</v>
      </c>
      <c r="M14" s="41" t="str">
        <f>VLOOKUP(N14,'list rate unit'!O:P,2,FALSE)</f>
        <v>SK 330-8</v>
      </c>
      <c r="N14" s="41" t="str">
        <f t="shared" si="4"/>
        <v>KOBELCO SK 330 - 12</v>
      </c>
      <c r="O14" s="15" t="s">
        <v>56</v>
      </c>
    </row>
    <row r="15" spans="2:15" x14ac:dyDescent="0.3">
      <c r="B15" s="41">
        <v>8</v>
      </c>
      <c r="C15" s="41" t="s">
        <v>305</v>
      </c>
      <c r="D15" s="42">
        <v>277</v>
      </c>
      <c r="E15" s="62">
        <f>IF(O15="K",VLOOKUP(M15,Table2[[#All],[UNIT]:[Column7]],10,FALSE),0)</f>
        <v>275000</v>
      </c>
      <c r="F15" s="43">
        <f t="shared" si="2"/>
        <v>76175000</v>
      </c>
      <c r="G15" s="42">
        <v>4846</v>
      </c>
      <c r="H15" s="44">
        <f t="shared" si="0"/>
        <v>55729000</v>
      </c>
      <c r="I15" s="42">
        <f t="shared" si="1"/>
        <v>17.494584837545126</v>
      </c>
      <c r="J15" s="45">
        <f t="shared" si="3"/>
        <v>131904000</v>
      </c>
      <c r="K15" s="36"/>
      <c r="L15" s="41" t="s">
        <v>298</v>
      </c>
      <c r="M15" s="41" t="str">
        <f>VLOOKUP(N15,'list rate unit'!O:P,2,FALSE)</f>
        <v>PC 200-8 MO</v>
      </c>
      <c r="N15" s="41" t="str">
        <f t="shared" si="4"/>
        <v>KOMATSU PC 200 - 12</v>
      </c>
      <c r="O15" s="15" t="s">
        <v>56</v>
      </c>
    </row>
    <row r="16" spans="2:15" x14ac:dyDescent="0.3">
      <c r="B16" s="41">
        <v>9</v>
      </c>
      <c r="C16" s="41" t="s">
        <v>306</v>
      </c>
      <c r="D16" s="42">
        <v>287</v>
      </c>
      <c r="E16" s="62">
        <f>IF(O16="K",VLOOKUP(M16,Table2[[#All],[UNIT]:[Column7]],10,FALSE),0)</f>
        <v>275000</v>
      </c>
      <c r="F16" s="43">
        <f t="shared" si="2"/>
        <v>78925000</v>
      </c>
      <c r="G16" s="42">
        <v>4668</v>
      </c>
      <c r="H16" s="44">
        <f t="shared" si="0"/>
        <v>53682000</v>
      </c>
      <c r="I16" s="42">
        <f t="shared" si="1"/>
        <v>16.264808362369337</v>
      </c>
      <c r="J16" s="45">
        <f t="shared" si="3"/>
        <v>132607000</v>
      </c>
      <c r="K16" s="36"/>
      <c r="L16" s="41" t="s">
        <v>298</v>
      </c>
      <c r="M16" s="41" t="str">
        <f>VLOOKUP(N16,'list rate unit'!O:P,2,FALSE)</f>
        <v>PC 200-8 MO</v>
      </c>
      <c r="N16" s="41" t="str">
        <f t="shared" si="4"/>
        <v>KOMATSU PC 200 - 14</v>
      </c>
      <c r="O16" s="15" t="s">
        <v>56</v>
      </c>
    </row>
    <row r="17" spans="2:15" x14ac:dyDescent="0.3">
      <c r="B17" s="41">
        <v>10</v>
      </c>
      <c r="C17" s="41" t="s">
        <v>308</v>
      </c>
      <c r="D17" s="42">
        <v>266</v>
      </c>
      <c r="E17" s="62">
        <f>IF(O17="K",VLOOKUP(M17,Table2[[#All],[UNIT]:[Column7]],10,FALSE),0)</f>
        <v>275000</v>
      </c>
      <c r="F17" s="43">
        <f t="shared" si="2"/>
        <v>73150000</v>
      </c>
      <c r="G17" s="42">
        <v>3753</v>
      </c>
      <c r="H17" s="44">
        <f t="shared" si="0"/>
        <v>43159500</v>
      </c>
      <c r="I17" s="42">
        <f t="shared" si="1"/>
        <v>14.109022556390977</v>
      </c>
      <c r="J17" s="45">
        <f t="shared" si="3"/>
        <v>116309500</v>
      </c>
      <c r="K17" s="36"/>
      <c r="L17" s="41" t="s">
        <v>298</v>
      </c>
      <c r="M17" s="41" t="str">
        <f>VLOOKUP(N17,'list rate unit'!O:P,2,FALSE)</f>
        <v>PC 200-8 MO</v>
      </c>
      <c r="N17" s="41" t="str">
        <f t="shared" si="4"/>
        <v>KOMATSU PC 200 - 16</v>
      </c>
      <c r="O17" s="15" t="s">
        <v>56</v>
      </c>
    </row>
    <row r="18" spans="2:15" x14ac:dyDescent="0.3">
      <c r="B18" s="41">
        <v>11</v>
      </c>
      <c r="C18" s="41" t="s">
        <v>408</v>
      </c>
      <c r="D18" s="42">
        <v>154</v>
      </c>
      <c r="E18" s="62">
        <f>IF(O18="K",VLOOKUP(M18,Table2[[#All],[UNIT]:[Column7]],10,FALSE),0)</f>
        <v>275000</v>
      </c>
      <c r="F18" s="43">
        <f t="shared" si="2"/>
        <v>42350000</v>
      </c>
      <c r="G18" s="42">
        <v>2037</v>
      </c>
      <c r="H18" s="44">
        <f t="shared" si="0"/>
        <v>23425500</v>
      </c>
      <c r="I18" s="42">
        <f t="shared" si="1"/>
        <v>13.227272727272727</v>
      </c>
      <c r="J18" s="45">
        <f t="shared" si="3"/>
        <v>65775500</v>
      </c>
      <c r="K18" s="36"/>
      <c r="L18" s="41" t="s">
        <v>298</v>
      </c>
      <c r="M18" s="41" t="str">
        <f>VLOOKUP(N18,'list rate unit'!O:P,2,FALSE)</f>
        <v>PC 200-8 MO</v>
      </c>
      <c r="N18" s="41" t="str">
        <f t="shared" si="4"/>
        <v>KOMATSU PC 200 - 21</v>
      </c>
      <c r="O18" s="15" t="s">
        <v>56</v>
      </c>
    </row>
    <row r="19" spans="2:15" x14ac:dyDescent="0.3">
      <c r="B19" s="41">
        <v>12</v>
      </c>
      <c r="C19" s="41" t="s">
        <v>196</v>
      </c>
      <c r="D19" s="42">
        <v>66</v>
      </c>
      <c r="E19" s="62">
        <f>IF(O19="K",VLOOKUP(M19,Table2[[#All],[UNIT]:[Column7]],10,FALSE),0)</f>
        <v>275000</v>
      </c>
      <c r="F19" s="43">
        <f t="shared" si="2"/>
        <v>18150000</v>
      </c>
      <c r="G19" s="42">
        <v>194</v>
      </c>
      <c r="H19" s="44">
        <f t="shared" si="0"/>
        <v>2231000</v>
      </c>
      <c r="I19" s="42">
        <f t="shared" si="1"/>
        <v>2.9393939393939394</v>
      </c>
      <c r="J19" s="45">
        <f t="shared" si="3"/>
        <v>20381000</v>
      </c>
      <c r="K19" s="36"/>
      <c r="L19" s="41" t="s">
        <v>298</v>
      </c>
      <c r="M19" s="41" t="str">
        <f>VLOOKUP(N19,'list rate unit'!O:P,2,FALSE)</f>
        <v>SK 200-8 SX</v>
      </c>
      <c r="N19" s="41" t="str">
        <f t="shared" si="4"/>
        <v>KOBELCO SK 200 - 07</v>
      </c>
      <c r="O19" s="15" t="s">
        <v>56</v>
      </c>
    </row>
    <row r="20" spans="2:15" x14ac:dyDescent="0.3">
      <c r="B20" s="41">
        <v>13</v>
      </c>
      <c r="C20" s="41" t="s">
        <v>289</v>
      </c>
      <c r="D20" s="42">
        <v>105</v>
      </c>
      <c r="E20" s="62">
        <f>IF(O20="K",VLOOKUP(M20,Table2[[#All],[UNIT]:[Column7]],10,FALSE),0)</f>
        <v>275000</v>
      </c>
      <c r="F20" s="43">
        <f t="shared" si="2"/>
        <v>28875000</v>
      </c>
      <c r="G20" s="42">
        <v>1418</v>
      </c>
      <c r="H20" s="44">
        <f t="shared" si="0"/>
        <v>16307000</v>
      </c>
      <c r="I20" s="42">
        <f t="shared" si="1"/>
        <v>13.504761904761905</v>
      </c>
      <c r="J20" s="45">
        <f t="shared" si="3"/>
        <v>45182000</v>
      </c>
      <c r="K20" s="36"/>
      <c r="L20" s="41" t="s">
        <v>298</v>
      </c>
      <c r="M20" s="41" t="str">
        <f>VLOOKUP(N20,'list rate unit'!O:P,2,FALSE)</f>
        <v>SK 200-8 SX</v>
      </c>
      <c r="N20" s="41" t="str">
        <f t="shared" si="4"/>
        <v>KOBELCO SK 200 - 08</v>
      </c>
      <c r="O20" s="15" t="s">
        <v>56</v>
      </c>
    </row>
    <row r="21" spans="2:15" x14ac:dyDescent="0.3">
      <c r="B21" s="41">
        <v>14</v>
      </c>
      <c r="C21" s="41" t="s">
        <v>197</v>
      </c>
      <c r="D21" s="42">
        <v>234</v>
      </c>
      <c r="E21" s="62">
        <f>IF(O21="K",VLOOKUP(M21,Table2[[#All],[UNIT]:[Column7]],10,FALSE),0)</f>
        <v>275000</v>
      </c>
      <c r="F21" s="43">
        <f t="shared" si="2"/>
        <v>64350000</v>
      </c>
      <c r="G21" s="42">
        <v>3757.0000000000005</v>
      </c>
      <c r="H21" s="44">
        <f t="shared" si="0"/>
        <v>43205500.000000007</v>
      </c>
      <c r="I21" s="42">
        <f t="shared" si="1"/>
        <v>16.055555555555557</v>
      </c>
      <c r="J21" s="45">
        <f t="shared" si="3"/>
        <v>107555500</v>
      </c>
      <c r="K21" s="36"/>
      <c r="L21" s="41" t="s">
        <v>298</v>
      </c>
      <c r="M21" s="41" t="str">
        <f>VLOOKUP(N21,'list rate unit'!O:P,2,FALSE)</f>
        <v>SK 200-8 SX</v>
      </c>
      <c r="N21" s="41" t="str">
        <f t="shared" si="4"/>
        <v>KOBELCO SK 200 - 10</v>
      </c>
      <c r="O21" s="15" t="s">
        <v>56</v>
      </c>
    </row>
    <row r="22" spans="2:15" x14ac:dyDescent="0.3">
      <c r="B22" s="41">
        <v>15</v>
      </c>
      <c r="C22" s="41" t="s">
        <v>198</v>
      </c>
      <c r="D22" s="42">
        <v>231</v>
      </c>
      <c r="E22" s="62">
        <f>IF(O22="K",VLOOKUP(M22,Table2[[#All],[UNIT]:[Column7]],10,FALSE),0)</f>
        <v>275000</v>
      </c>
      <c r="F22" s="43">
        <f t="shared" si="2"/>
        <v>63525000</v>
      </c>
      <c r="G22" s="42">
        <v>3242</v>
      </c>
      <c r="H22" s="44">
        <f t="shared" si="0"/>
        <v>37283000</v>
      </c>
      <c r="I22" s="42">
        <f t="shared" si="1"/>
        <v>14.034632034632034</v>
      </c>
      <c r="J22" s="45">
        <f t="shared" si="3"/>
        <v>100808000</v>
      </c>
      <c r="K22" s="36"/>
      <c r="L22" s="41" t="s">
        <v>298</v>
      </c>
      <c r="M22" s="41" t="str">
        <f>VLOOKUP(N22,'list rate unit'!O:P,2,FALSE)</f>
        <v>SK 200-8 SX</v>
      </c>
      <c r="N22" s="41" t="str">
        <f t="shared" si="4"/>
        <v>KOBELCO SK 200 - 11</v>
      </c>
      <c r="O22" s="15" t="s">
        <v>56</v>
      </c>
    </row>
    <row r="23" spans="2:15" x14ac:dyDescent="0.3">
      <c r="B23" s="41">
        <v>16</v>
      </c>
      <c r="C23" s="41" t="s">
        <v>199</v>
      </c>
      <c r="D23" s="42">
        <v>206</v>
      </c>
      <c r="E23" s="62">
        <f>IF(O23="K",VLOOKUP(M23,Table2[[#All],[UNIT]:[Column7]],10,FALSE),0)</f>
        <v>275000</v>
      </c>
      <c r="F23" s="43">
        <f t="shared" si="2"/>
        <v>56650000</v>
      </c>
      <c r="G23" s="42">
        <v>2785</v>
      </c>
      <c r="H23" s="44">
        <f t="shared" si="0"/>
        <v>32027500</v>
      </c>
      <c r="I23" s="42">
        <f t="shared" si="1"/>
        <v>13.519417475728156</v>
      </c>
      <c r="J23" s="45">
        <f t="shared" si="3"/>
        <v>88677500</v>
      </c>
      <c r="K23" s="36"/>
      <c r="L23" s="41" t="s">
        <v>298</v>
      </c>
      <c r="M23" s="41" t="str">
        <f>VLOOKUP(N23,'list rate unit'!O:P,2,FALSE)</f>
        <v>SK 200-8 SX</v>
      </c>
      <c r="N23" s="41" t="str">
        <f t="shared" si="4"/>
        <v>KOBELCO SK 200 - 13</v>
      </c>
      <c r="O23" s="15" t="s">
        <v>56</v>
      </c>
    </row>
    <row r="24" spans="2:15" x14ac:dyDescent="0.3">
      <c r="B24" s="41">
        <v>17</v>
      </c>
      <c r="C24" s="41" t="s">
        <v>200</v>
      </c>
      <c r="D24" s="42">
        <v>264</v>
      </c>
      <c r="E24" s="62">
        <f>IF(O24="K",VLOOKUP(M24,Table2[[#All],[UNIT]:[Column7]],10,FALSE),0)</f>
        <v>275000</v>
      </c>
      <c r="F24" s="43">
        <f t="shared" si="2"/>
        <v>72600000</v>
      </c>
      <c r="G24" s="42">
        <v>3346</v>
      </c>
      <c r="H24" s="44">
        <f t="shared" si="0"/>
        <v>38479000</v>
      </c>
      <c r="I24" s="42">
        <f t="shared" si="1"/>
        <v>12.674242424242424</v>
      </c>
      <c r="J24" s="45">
        <f t="shared" si="3"/>
        <v>111079000</v>
      </c>
      <c r="K24" s="36"/>
      <c r="L24" s="41" t="s">
        <v>298</v>
      </c>
      <c r="M24" s="41" t="str">
        <f>VLOOKUP(N24,'list rate unit'!O:P,2,FALSE)</f>
        <v>SK 200-8 SX</v>
      </c>
      <c r="N24" s="41" t="str">
        <f t="shared" si="4"/>
        <v>KOBELCO SK 200 - 15</v>
      </c>
      <c r="O24" s="15" t="s">
        <v>56</v>
      </c>
    </row>
    <row r="25" spans="2:15" x14ac:dyDescent="0.3">
      <c r="B25" s="41">
        <v>18</v>
      </c>
      <c r="C25" s="41" t="s">
        <v>201</v>
      </c>
      <c r="D25" s="42">
        <v>305</v>
      </c>
      <c r="E25" s="62">
        <f>IF(O25="K",VLOOKUP(M25,Table2[[#All],[UNIT]:[Column7]],10,FALSE),0)</f>
        <v>275000</v>
      </c>
      <c r="F25" s="43">
        <f t="shared" ref="F25:F26" si="5">D25*E25</f>
        <v>83875000</v>
      </c>
      <c r="G25" s="42">
        <v>3728.0000000000005</v>
      </c>
      <c r="H25" s="44">
        <f t="shared" si="0"/>
        <v>42872000.000000007</v>
      </c>
      <c r="I25" s="42">
        <f t="shared" ref="I25:I26" si="6">IFERROR(G25/D25,0)</f>
        <v>12.222950819672132</v>
      </c>
      <c r="J25" s="45">
        <f t="shared" ref="J25:J26" si="7">F25+H25</f>
        <v>126747000</v>
      </c>
      <c r="K25" s="36"/>
      <c r="L25" s="41" t="s">
        <v>298</v>
      </c>
      <c r="M25" s="41" t="str">
        <f>VLOOKUP(N25,'list rate unit'!O:P,2,FALSE)</f>
        <v>SK 200-8 SX</v>
      </c>
      <c r="N25" s="41" t="str">
        <f t="shared" ref="N25:N26" si="8">C25</f>
        <v>KOBELCO SK 200 - 16</v>
      </c>
      <c r="O25" s="15" t="s">
        <v>56</v>
      </c>
    </row>
    <row r="26" spans="2:15" x14ac:dyDescent="0.3">
      <c r="B26" s="41">
        <v>19</v>
      </c>
      <c r="C26" s="41" t="s">
        <v>202</v>
      </c>
      <c r="D26" s="42">
        <v>264</v>
      </c>
      <c r="E26" s="62">
        <f>IF(O26="K",VLOOKUP(M26,Table2[[#All],[UNIT]:[Column7]],10,FALSE),0)</f>
        <v>275000</v>
      </c>
      <c r="F26" s="43">
        <f t="shared" si="5"/>
        <v>72600000</v>
      </c>
      <c r="G26" s="42">
        <v>3425</v>
      </c>
      <c r="H26" s="44">
        <f t="shared" si="0"/>
        <v>39387500</v>
      </c>
      <c r="I26" s="42">
        <f t="shared" si="6"/>
        <v>12.973484848484848</v>
      </c>
      <c r="J26" s="45">
        <f t="shared" si="7"/>
        <v>111987500</v>
      </c>
      <c r="K26" s="36"/>
      <c r="L26" s="41" t="s">
        <v>298</v>
      </c>
      <c r="M26" s="41" t="str">
        <f>VLOOKUP(N26,'list rate unit'!O:P,2,FALSE)</f>
        <v>SK 200-8 SX</v>
      </c>
      <c r="N26" s="41" t="str">
        <f t="shared" si="8"/>
        <v>KOBELCO SK 200 - 18</v>
      </c>
      <c r="O26" s="15" t="s">
        <v>56</v>
      </c>
    </row>
    <row r="27" spans="2:15" x14ac:dyDescent="0.3">
      <c r="B27" s="41">
        <v>20</v>
      </c>
      <c r="C27" s="41" t="s">
        <v>204</v>
      </c>
      <c r="D27" s="42">
        <v>83</v>
      </c>
      <c r="E27" s="62">
        <f>IF(O27="K",VLOOKUP(M27,Table2[[#All],[UNIT]:[Column7]],10,FALSE),0)</f>
        <v>275000</v>
      </c>
      <c r="F27" s="43">
        <f t="shared" si="2"/>
        <v>22825000</v>
      </c>
      <c r="G27" s="42">
        <v>405</v>
      </c>
      <c r="H27" s="44">
        <f t="shared" si="0"/>
        <v>4657500</v>
      </c>
      <c r="I27" s="42">
        <f t="shared" si="1"/>
        <v>4.8795180722891569</v>
      </c>
      <c r="J27" s="45">
        <f t="shared" si="3"/>
        <v>27482500</v>
      </c>
      <c r="K27" s="36"/>
      <c r="L27" s="41" t="s">
        <v>298</v>
      </c>
      <c r="M27" s="41" t="str">
        <f>VLOOKUP(N27,'list rate unit'!O:P,2,FALSE)</f>
        <v>SK 200-8 SX</v>
      </c>
      <c r="N27" s="41" t="str">
        <f t="shared" si="4"/>
        <v>KOBELCO SK 200 - 20</v>
      </c>
      <c r="O27" s="15" t="s">
        <v>56</v>
      </c>
    </row>
    <row r="28" spans="2:15" x14ac:dyDescent="0.3">
      <c r="B28" s="41">
        <v>21</v>
      </c>
      <c r="C28" s="41" t="s">
        <v>359</v>
      </c>
      <c r="D28" s="42">
        <v>105</v>
      </c>
      <c r="E28" s="62">
        <f>IF(O28="K",VLOOKUP(M28,Table2[[#All],[UNIT]:[Column7]],10,FALSE),0)</f>
        <v>425000</v>
      </c>
      <c r="F28" s="43">
        <f t="shared" ref="F28:F32" si="9">D28*E28</f>
        <v>44625000</v>
      </c>
      <c r="G28" s="42">
        <v>1881.0638297872342</v>
      </c>
      <c r="H28" s="44">
        <f t="shared" ref="H28:H32" si="10">G28*$C$37</f>
        <v>21632234.042553194</v>
      </c>
      <c r="I28" s="42">
        <f t="shared" ref="I28:I32" si="11">IFERROR(G28/D28,0)</f>
        <v>17.914893617021278</v>
      </c>
      <c r="J28" s="45">
        <f t="shared" ref="J28:J32" si="12">F28+H28</f>
        <v>66257234.042553194</v>
      </c>
      <c r="K28" s="36"/>
      <c r="L28" s="41" t="s">
        <v>298</v>
      </c>
      <c r="M28" s="41" t="str">
        <f>VLOOKUP(N28,'list rate unit'!O:P,2,FALSE)</f>
        <v>D 85 ESS-2</v>
      </c>
      <c r="N28" s="41" t="str">
        <f t="shared" ref="N28:N32" si="13">C28</f>
        <v>KOMATSU DOZER D85SS - 06</v>
      </c>
      <c r="O28" s="15" t="s">
        <v>56</v>
      </c>
    </row>
    <row r="29" spans="2:15" x14ac:dyDescent="0.3">
      <c r="B29" s="41">
        <v>22</v>
      </c>
      <c r="C29" s="41" t="s">
        <v>223</v>
      </c>
      <c r="D29" s="42">
        <v>71</v>
      </c>
      <c r="E29" s="62">
        <f>IF(O29="K",VLOOKUP(M29,Table2[[#All],[UNIT]:[Column7]],10,FALSE),0)</f>
        <v>425000</v>
      </c>
      <c r="F29" s="43">
        <f t="shared" si="9"/>
        <v>30175000</v>
      </c>
      <c r="G29" s="42">
        <v>1122.2194092827003</v>
      </c>
      <c r="H29" s="44">
        <f t="shared" si="10"/>
        <v>12905523.206751054</v>
      </c>
      <c r="I29" s="42">
        <f t="shared" si="11"/>
        <v>15.805907172995779</v>
      </c>
      <c r="J29" s="45">
        <f t="shared" si="12"/>
        <v>43080523.206751056</v>
      </c>
      <c r="K29" s="36"/>
      <c r="L29" s="41" t="s">
        <v>298</v>
      </c>
      <c r="M29" s="41" t="str">
        <f>VLOOKUP(N29,'list rate unit'!O:P,2,FALSE)</f>
        <v>D 85 ESS-2</v>
      </c>
      <c r="N29" s="41" t="str">
        <f t="shared" si="13"/>
        <v>KOMATSU DOZER D85SS - 14</v>
      </c>
      <c r="O29" s="15" t="s">
        <v>56</v>
      </c>
    </row>
    <row r="30" spans="2:15" x14ac:dyDescent="0.3">
      <c r="B30" s="41">
        <v>23</v>
      </c>
      <c r="C30" s="41" t="s">
        <v>296</v>
      </c>
      <c r="D30" s="42">
        <v>50</v>
      </c>
      <c r="E30" s="62">
        <f>IF(O30="K",VLOOKUP(M30,Table2[[#All],[UNIT]:[Column7]],10,FALSE),0)</f>
        <v>425000</v>
      </c>
      <c r="F30" s="43">
        <f t="shared" si="9"/>
        <v>21250000</v>
      </c>
      <c r="G30" s="42">
        <v>931.65467625899282</v>
      </c>
      <c r="H30" s="44">
        <f t="shared" si="10"/>
        <v>10714028.776978418</v>
      </c>
      <c r="I30" s="42">
        <f t="shared" si="11"/>
        <v>18.633093525179856</v>
      </c>
      <c r="J30" s="45">
        <f t="shared" si="12"/>
        <v>31964028.776978418</v>
      </c>
      <c r="K30" s="36"/>
      <c r="L30" s="41" t="s">
        <v>298</v>
      </c>
      <c r="M30" s="41" t="str">
        <f>VLOOKUP(N30,'list rate unit'!O:P,2,FALSE)</f>
        <v>D 85 ESS-2</v>
      </c>
      <c r="N30" s="41" t="str">
        <f t="shared" si="13"/>
        <v>KOMATSU DOZER D85SS - 17</v>
      </c>
      <c r="O30" s="15" t="s">
        <v>56</v>
      </c>
    </row>
    <row r="31" spans="2:15" x14ac:dyDescent="0.3">
      <c r="B31" s="41">
        <v>24</v>
      </c>
      <c r="C31" s="41" t="s">
        <v>224</v>
      </c>
      <c r="D31" s="42">
        <v>68</v>
      </c>
      <c r="E31" s="62">
        <f>IF(O31="K",VLOOKUP(M31,Table2[[#All],[UNIT]:[Column7]],10,FALSE),0)</f>
        <v>425000</v>
      </c>
      <c r="F31" s="43">
        <f t="shared" si="9"/>
        <v>28900000</v>
      </c>
      <c r="G31" s="42">
        <v>1123.5020080321285</v>
      </c>
      <c r="H31" s="44">
        <f t="shared" si="10"/>
        <v>12920273.092369478</v>
      </c>
      <c r="I31" s="42">
        <f t="shared" si="11"/>
        <v>16.522088353413654</v>
      </c>
      <c r="J31" s="45">
        <f t="shared" si="12"/>
        <v>41820273.092369482</v>
      </c>
      <c r="K31" s="36"/>
      <c r="L31" s="41" t="s">
        <v>298</v>
      </c>
      <c r="M31" s="41" t="str">
        <f>VLOOKUP(N31,'list rate unit'!O:P,2,FALSE)</f>
        <v>D 85 ESS-2</v>
      </c>
      <c r="N31" s="41" t="str">
        <f t="shared" si="13"/>
        <v>KOMATSU DOZER D85SS - 18</v>
      </c>
      <c r="O31" s="15" t="s">
        <v>56</v>
      </c>
    </row>
    <row r="32" spans="2:15" x14ac:dyDescent="0.3">
      <c r="B32" s="41">
        <v>25</v>
      </c>
      <c r="C32" s="41" t="s">
        <v>284</v>
      </c>
      <c r="D32" s="42">
        <v>81</v>
      </c>
      <c r="E32" s="62">
        <f>IF(O32="K",VLOOKUP(M32,Table2[[#All],[UNIT]:[Column7]],10,FALSE),0)</f>
        <v>425000</v>
      </c>
      <c r="F32" s="43">
        <f t="shared" si="9"/>
        <v>34425000</v>
      </c>
      <c r="G32" s="42">
        <v>1547.4728033472802</v>
      </c>
      <c r="H32" s="44">
        <f t="shared" si="10"/>
        <v>17795937.238493722</v>
      </c>
      <c r="I32" s="42">
        <f t="shared" si="11"/>
        <v>19.10460251046025</v>
      </c>
      <c r="J32" s="45">
        <f t="shared" si="12"/>
        <v>52220937.238493726</v>
      </c>
      <c r="K32" s="36"/>
      <c r="L32" s="41" t="s">
        <v>298</v>
      </c>
      <c r="M32" s="41" t="str">
        <f>VLOOKUP(N32,'list rate unit'!O:P,2,FALSE)</f>
        <v>D 85 ESS-2</v>
      </c>
      <c r="N32" s="41" t="str">
        <f t="shared" si="13"/>
        <v>KOMATSU DOZER D85SS - 20</v>
      </c>
      <c r="O32" s="15" t="s">
        <v>56</v>
      </c>
    </row>
    <row r="33" spans="2:11" x14ac:dyDescent="0.3">
      <c r="D33" s="18"/>
      <c r="F33" s="32"/>
      <c r="G33" s="18"/>
      <c r="H33" s="30"/>
      <c r="I33" s="18"/>
      <c r="J33" s="33"/>
      <c r="K33" s="18"/>
    </row>
    <row r="34" spans="2:11" s="1" customFormat="1" ht="15.75" customHeight="1" x14ac:dyDescent="0.3">
      <c r="B34" s="200" t="s">
        <v>21</v>
      </c>
      <c r="C34" s="200"/>
      <c r="D34" s="46">
        <f>SUM(D8:D27)</f>
        <v>4274</v>
      </c>
      <c r="E34" s="63">
        <f>AVERAGE(E8:E27)</f>
        <v>318750</v>
      </c>
      <c r="F34" s="47">
        <f>SUM(F8:F27)</f>
        <v>1366850000</v>
      </c>
      <c r="G34" s="46">
        <f>SUM(G8:G27)</f>
        <v>72250.04678362573</v>
      </c>
      <c r="H34" s="47">
        <f>SUM(H8:H27)</f>
        <v>830875538.01169586</v>
      </c>
      <c r="I34" s="46">
        <f t="shared" ref="I34" si="14">IFERROR(G34/D34,0)</f>
        <v>16.904550019566152</v>
      </c>
      <c r="J34" s="48">
        <f>SUM(J8:J27)</f>
        <v>2197725538.0116959</v>
      </c>
      <c r="K34" s="37"/>
    </row>
    <row r="36" spans="2:11" x14ac:dyDescent="0.3">
      <c r="B36" s="35" t="s">
        <v>34</v>
      </c>
      <c r="C36" s="29">
        <f>'SUMMARY 2'!I28</f>
        <v>14848</v>
      </c>
    </row>
    <row r="37" spans="2:11" x14ac:dyDescent="0.3">
      <c r="B37" s="35" t="s">
        <v>35</v>
      </c>
      <c r="C37" s="29">
        <f>'SUMMARY 2'!I13</f>
        <v>11500</v>
      </c>
      <c r="F37" s="30"/>
      <c r="G37" s="18"/>
    </row>
    <row r="39" spans="2:11" x14ac:dyDescent="0.3">
      <c r="F39" s="18"/>
    </row>
  </sheetData>
  <autoFilter ref="B7:O27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34:C34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0"/>
  <sheetViews>
    <sheetView workbookViewId="0">
      <pane xSplit="3" ySplit="7" topLeftCell="D53" activePane="bottomRight" state="frozenSplit"/>
      <selection pane="topRight" activeCell="C1" sqref="C1"/>
      <selection pane="bottomLeft" activeCell="A8" sqref="A8"/>
      <selection pane="bottomRight" activeCell="J18" sqref="J1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204" t="s">
        <v>84</v>
      </c>
      <c r="C2" s="204"/>
    </row>
    <row r="3" spans="2:17" x14ac:dyDescent="0.3">
      <c r="B3" s="204"/>
      <c r="C3" s="204"/>
    </row>
    <row r="4" spans="2:17" x14ac:dyDescent="0.3">
      <c r="D4" s="30"/>
      <c r="E4" s="30"/>
    </row>
    <row r="5" spans="2:17" ht="15" customHeight="1" x14ac:dyDescent="0.3">
      <c r="B5" s="201" t="s">
        <v>1</v>
      </c>
      <c r="C5" s="201" t="s">
        <v>88</v>
      </c>
      <c r="D5" s="202" t="s">
        <v>39</v>
      </c>
      <c r="E5" s="202"/>
      <c r="F5" s="203" t="s">
        <v>52</v>
      </c>
      <c r="G5" s="203"/>
      <c r="H5" s="203" t="s">
        <v>37</v>
      </c>
      <c r="I5" s="203"/>
      <c r="J5" s="201" t="s">
        <v>90</v>
      </c>
      <c r="K5" s="201"/>
      <c r="L5" s="201"/>
      <c r="M5" s="205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3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5"/>
      <c r="N6" s="31"/>
      <c r="O6" s="201"/>
      <c r="P6" s="201"/>
      <c r="Q6" s="201"/>
    </row>
    <row r="7" spans="2:17" ht="15" customHeight="1" x14ac:dyDescent="0.3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5"/>
      <c r="N7" s="31"/>
      <c r="O7" s="201"/>
      <c r="P7" s="201"/>
      <c r="Q7" s="201"/>
    </row>
    <row r="8" spans="2:17" x14ac:dyDescent="0.3">
      <c r="B8" s="41">
        <v>1</v>
      </c>
      <c r="C8" s="41" t="s">
        <v>227</v>
      </c>
      <c r="D8" s="42">
        <v>1981.3000000000004</v>
      </c>
      <c r="E8" s="42">
        <v>42</v>
      </c>
      <c r="F8" s="49">
        <f>VLOOKUP(P8,'list rate unit'!$B$3:$K$40,10,FALSE)</f>
        <v>500000</v>
      </c>
      <c r="G8" s="44">
        <f>IF(D8=0,0,F8*$C$83)</f>
        <v>105000000</v>
      </c>
      <c r="H8" s="42">
        <v>2006</v>
      </c>
      <c r="I8" s="44">
        <f>H8*$C$82</f>
        <v>23069000</v>
      </c>
      <c r="J8" s="42">
        <f>IFERROR(H8/D8,0)</f>
        <v>1.0124665623580476</v>
      </c>
      <c r="K8" s="42">
        <f t="shared" ref="K8:K12" si="0">IFERROR(D8/E8,0)</f>
        <v>47.173809523809531</v>
      </c>
      <c r="L8" s="42">
        <f>H8/E8</f>
        <v>47.761904761904759</v>
      </c>
      <c r="M8" s="45">
        <f>G8+I8</f>
        <v>128069000</v>
      </c>
      <c r="N8" s="18">
        <f>D8*'SUMMARY 2'!$I$29*'SUMMARY 2'!$I$28</f>
        <v>308892595.20000005</v>
      </c>
      <c r="O8" s="41" t="s">
        <v>310</v>
      </c>
      <c r="P8" s="41" t="s">
        <v>151</v>
      </c>
      <c r="Q8" s="41" t="str">
        <f t="shared" ref="Q8:Q22" si="1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1348.2</v>
      </c>
      <c r="E9" s="42">
        <v>29</v>
      </c>
      <c r="F9" s="49">
        <f>VLOOKUP(P9,'list rate unit'!$B$3:$K$40,10,FALSE)</f>
        <v>500000</v>
      </c>
      <c r="G9" s="44">
        <f>IF(D9=0,0,F9*$C$83)</f>
        <v>105000000</v>
      </c>
      <c r="H9" s="42">
        <v>1135</v>
      </c>
      <c r="I9" s="44">
        <f>H9*$C$82</f>
        <v>13052500</v>
      </c>
      <c r="J9" s="42">
        <f t="shared" ref="J9:J12" si="2">IFERROR(H9/D9,0)</f>
        <v>0.84186322504079514</v>
      </c>
      <c r="K9" s="42">
        <f t="shared" si="0"/>
        <v>46.489655172413798</v>
      </c>
      <c r="L9" s="42">
        <f t="shared" ref="L9:L12" si="3">H9/E9</f>
        <v>39.137931034482762</v>
      </c>
      <c r="M9" s="45">
        <f t="shared" ref="M9:M12" si="4">G9+I9</f>
        <v>118052500</v>
      </c>
      <c r="N9" s="18">
        <f>D9*'SUMMARY 2'!$I$29*'SUMMARY 2'!$I$28</f>
        <v>210189772.80000001</v>
      </c>
      <c r="O9" s="41" t="s">
        <v>310</v>
      </c>
      <c r="P9" s="41" t="s">
        <v>151</v>
      </c>
      <c r="Q9" s="41" t="str">
        <f t="shared" si="1"/>
        <v xml:space="preserve"> DT HINO G 311</v>
      </c>
    </row>
    <row r="10" spans="2:17" x14ac:dyDescent="0.3">
      <c r="B10" s="41">
        <v>3</v>
      </c>
      <c r="C10" s="41" t="s">
        <v>229</v>
      </c>
      <c r="D10" s="42">
        <v>2096.0100000000002</v>
      </c>
      <c r="E10" s="42">
        <v>44</v>
      </c>
      <c r="F10" s="49">
        <f>VLOOKUP(P10,'list rate unit'!$B$3:$K$40,10,FALSE)</f>
        <v>500000</v>
      </c>
      <c r="G10" s="44">
        <f>IF(D10=0,0,F10*$C$83)</f>
        <v>105000000</v>
      </c>
      <c r="H10" s="42">
        <v>2214</v>
      </c>
      <c r="I10" s="44">
        <f>H10*$C$82</f>
        <v>25461000</v>
      </c>
      <c r="J10" s="42">
        <f t="shared" si="2"/>
        <v>1.0562926703593971</v>
      </c>
      <c r="K10" s="42">
        <f t="shared" si="0"/>
        <v>47.636590909090913</v>
      </c>
      <c r="L10" s="42">
        <f t="shared" si="3"/>
        <v>50.31818181818182</v>
      </c>
      <c r="M10" s="45">
        <f t="shared" si="4"/>
        <v>130461000</v>
      </c>
      <c r="N10" s="18">
        <f>D10*'SUMMARY 2'!$I$29*'SUMMARY 2'!$I$28</f>
        <v>326776343.04000002</v>
      </c>
      <c r="O10" s="41" t="s">
        <v>310</v>
      </c>
      <c r="P10" s="41" t="s">
        <v>151</v>
      </c>
      <c r="Q10" s="41" t="str">
        <f t="shared" si="1"/>
        <v xml:space="preserve"> DT HINO G 314</v>
      </c>
    </row>
    <row r="11" spans="2:17" x14ac:dyDescent="0.3">
      <c r="B11" s="41">
        <v>4</v>
      </c>
      <c r="C11" s="41" t="s">
        <v>230</v>
      </c>
      <c r="D11" s="42">
        <v>1192.0900000000001</v>
      </c>
      <c r="E11" s="42">
        <v>25</v>
      </c>
      <c r="F11" s="49">
        <f>VLOOKUP(P11,'list rate unit'!$B$3:$K$40,10,FALSE)</f>
        <v>500000</v>
      </c>
      <c r="G11" s="44">
        <f>IF(D11=0,0,F11*$C$83)</f>
        <v>105000000</v>
      </c>
      <c r="H11" s="42">
        <v>1130</v>
      </c>
      <c r="I11" s="44">
        <f>H11*$C$82</f>
        <v>12995000</v>
      </c>
      <c r="J11" s="42">
        <f t="shared" si="2"/>
        <v>0.94791500641730064</v>
      </c>
      <c r="K11" s="42">
        <f t="shared" si="0"/>
        <v>47.683600000000006</v>
      </c>
      <c r="L11" s="42">
        <f t="shared" si="3"/>
        <v>45.2</v>
      </c>
      <c r="M11" s="45">
        <f t="shared" si="4"/>
        <v>117995000</v>
      </c>
      <c r="N11" s="18">
        <f>D11*'SUMMARY 2'!$I$29*'SUMMARY 2'!$I$28</f>
        <v>185851599.36000001</v>
      </c>
      <c r="O11" s="41" t="s">
        <v>310</v>
      </c>
      <c r="P11" s="41" t="s">
        <v>151</v>
      </c>
      <c r="Q11" s="41" t="str">
        <f t="shared" si="1"/>
        <v xml:space="preserve"> DT HINO G 315</v>
      </c>
    </row>
    <row r="12" spans="2:17" x14ac:dyDescent="0.3">
      <c r="B12" s="41">
        <v>5</v>
      </c>
      <c r="C12" s="41" t="s">
        <v>409</v>
      </c>
      <c r="D12" s="42">
        <v>1896.1999999999996</v>
      </c>
      <c r="E12" s="42">
        <v>41</v>
      </c>
      <c r="F12" s="49">
        <f>VLOOKUP(P12,'list rate unit'!$B$3:$K$40,10,FALSE)</f>
        <v>500000</v>
      </c>
      <c r="G12" s="44">
        <f>IF(D12=0,0,F12*$C$83)</f>
        <v>105000000</v>
      </c>
      <c r="H12" s="42">
        <v>1350</v>
      </c>
      <c r="I12" s="44">
        <f>H12*$C$82</f>
        <v>15525000</v>
      </c>
      <c r="J12" s="42">
        <f t="shared" si="2"/>
        <v>0.71195021622191768</v>
      </c>
      <c r="K12" s="42">
        <f t="shared" si="0"/>
        <v>46.248780487804865</v>
      </c>
      <c r="L12" s="42">
        <f t="shared" si="3"/>
        <v>32.926829268292686</v>
      </c>
      <c r="M12" s="45">
        <f t="shared" si="4"/>
        <v>120525000</v>
      </c>
      <c r="N12" s="18">
        <f>D12*'SUMMARY 2'!$I$29*'SUMMARY 2'!$I$28</f>
        <v>295625164.79999995</v>
      </c>
      <c r="O12" s="41" t="s">
        <v>310</v>
      </c>
      <c r="P12" s="41" t="s">
        <v>151</v>
      </c>
      <c r="Q12" s="41" t="str">
        <f t="shared" si="1"/>
        <v xml:space="preserve"> DT HINO G 316</v>
      </c>
    </row>
    <row r="13" spans="2:17" x14ac:dyDescent="0.3">
      <c r="B13" s="41">
        <v>6</v>
      </c>
      <c r="C13" s="41" t="s">
        <v>231</v>
      </c>
      <c r="D13" s="42">
        <v>1484.9800000000002</v>
      </c>
      <c r="E13" s="42">
        <v>33</v>
      </c>
      <c r="F13" s="49">
        <f>VLOOKUP(P13,'list rate unit'!$B$3:$K$40,10,FALSE)</f>
        <v>500000</v>
      </c>
      <c r="G13" s="44">
        <f>IF(D13=0,0,F13*$C$83)</f>
        <v>105000000</v>
      </c>
      <c r="H13" s="42">
        <v>903</v>
      </c>
      <c r="I13" s="44">
        <f>H13*$C$82</f>
        <v>10384500</v>
      </c>
      <c r="J13" s="42">
        <f t="shared" ref="J13:J22" si="5">IFERROR(H13/D13,0)</f>
        <v>0.60808899783162051</v>
      </c>
      <c r="K13" s="42">
        <f t="shared" ref="K13:K22" si="6">IFERROR(D13/E13,0)</f>
        <v>44.999393939393947</v>
      </c>
      <c r="L13" s="42">
        <f t="shared" ref="L13:L22" si="7">H13/E13</f>
        <v>27.363636363636363</v>
      </c>
      <c r="M13" s="45">
        <f t="shared" ref="M13:M22" si="8">G13+I13</f>
        <v>115384500</v>
      </c>
      <c r="N13" s="18">
        <f>D13*'SUMMARY 2'!$I$29*'SUMMARY 2'!$I$28</f>
        <v>231514321.92000005</v>
      </c>
      <c r="O13" s="41" t="s">
        <v>310</v>
      </c>
      <c r="P13" s="41" t="s">
        <v>151</v>
      </c>
      <c r="Q13" s="41" t="str">
        <f t="shared" si="1"/>
        <v xml:space="preserve"> DT HINO G 317</v>
      </c>
    </row>
    <row r="14" spans="2:17" x14ac:dyDescent="0.3">
      <c r="B14" s="41">
        <v>7</v>
      </c>
      <c r="C14" s="41" t="s">
        <v>232</v>
      </c>
      <c r="D14" s="42">
        <v>2219.4500000000003</v>
      </c>
      <c r="E14" s="42">
        <v>48</v>
      </c>
      <c r="F14" s="49">
        <f>VLOOKUP(P14,'list rate unit'!$B$3:$K$40,10,FALSE)</f>
        <v>500000</v>
      </c>
      <c r="G14" s="44">
        <f>IF(D14=0,0,F14*$C$83)</f>
        <v>105000000</v>
      </c>
      <c r="H14" s="42">
        <v>1758</v>
      </c>
      <c r="I14" s="44">
        <f>H14*$C$82</f>
        <v>20217000</v>
      </c>
      <c r="J14" s="42">
        <f t="shared" si="5"/>
        <v>0.79208812994210265</v>
      </c>
      <c r="K14" s="42">
        <f t="shared" si="6"/>
        <v>46.23854166666667</v>
      </c>
      <c r="L14" s="42">
        <f t="shared" si="7"/>
        <v>36.625</v>
      </c>
      <c r="M14" s="45">
        <f t="shared" si="8"/>
        <v>125217000</v>
      </c>
      <c r="N14" s="18">
        <f>D14*'SUMMARY 2'!$I$29*'SUMMARY 2'!$I$28</f>
        <v>346021132.80000001</v>
      </c>
      <c r="O14" s="41" t="s">
        <v>310</v>
      </c>
      <c r="P14" s="41" t="s">
        <v>151</v>
      </c>
      <c r="Q14" s="41" t="str">
        <f t="shared" si="1"/>
        <v xml:space="preserve"> DT HINO G 318</v>
      </c>
    </row>
    <row r="15" spans="2:17" x14ac:dyDescent="0.3">
      <c r="B15" s="41">
        <v>8</v>
      </c>
      <c r="C15" s="41" t="s">
        <v>233</v>
      </c>
      <c r="D15" s="42">
        <v>2227.1200000000003</v>
      </c>
      <c r="E15" s="42">
        <v>48</v>
      </c>
      <c r="F15" s="49">
        <f>VLOOKUP(P15,'list rate unit'!$B$3:$K$40,10,FALSE)</f>
        <v>500000</v>
      </c>
      <c r="G15" s="44">
        <f>IF(D15=0,0,F15*$C$83)</f>
        <v>105000000</v>
      </c>
      <c r="H15" s="42">
        <v>2268</v>
      </c>
      <c r="I15" s="44">
        <f>H15*$C$82</f>
        <v>26082000</v>
      </c>
      <c r="J15" s="42">
        <f t="shared" si="5"/>
        <v>1.0183555443801859</v>
      </c>
      <c r="K15" s="42">
        <f t="shared" si="6"/>
        <v>46.398333333333341</v>
      </c>
      <c r="L15" s="42">
        <f t="shared" si="7"/>
        <v>47.25</v>
      </c>
      <c r="M15" s="45">
        <f t="shared" si="8"/>
        <v>131082000</v>
      </c>
      <c r="N15" s="18">
        <f>D15*'SUMMARY 2'!$I$29*'SUMMARY 2'!$I$28</f>
        <v>347216916.48000002</v>
      </c>
      <c r="O15" s="41" t="s">
        <v>310</v>
      </c>
      <c r="P15" s="41" t="s">
        <v>151</v>
      </c>
      <c r="Q15" s="41" t="str">
        <f t="shared" si="1"/>
        <v xml:space="preserve"> DT HINO G 321</v>
      </c>
    </row>
    <row r="16" spans="2:17" x14ac:dyDescent="0.3">
      <c r="B16" s="41">
        <v>9</v>
      </c>
      <c r="C16" s="41" t="s">
        <v>234</v>
      </c>
      <c r="D16" s="42">
        <v>2078.54</v>
      </c>
      <c r="E16" s="42">
        <v>45</v>
      </c>
      <c r="F16" s="49">
        <f>VLOOKUP(P16,'list rate unit'!$B$3:$K$40,10,FALSE)</f>
        <v>500000</v>
      </c>
      <c r="G16" s="44">
        <f>IF(D16=0,0,F16*$C$83)</f>
        <v>105000000</v>
      </c>
      <c r="H16" s="42">
        <v>2232</v>
      </c>
      <c r="I16" s="44">
        <f>H16*$C$82</f>
        <v>25668000</v>
      </c>
      <c r="J16" s="42">
        <f t="shared" si="5"/>
        <v>1.0738306696046263</v>
      </c>
      <c r="K16" s="42">
        <f t="shared" si="6"/>
        <v>46.189777777777778</v>
      </c>
      <c r="L16" s="42">
        <f t="shared" si="7"/>
        <v>49.6</v>
      </c>
      <c r="M16" s="45">
        <f t="shared" si="8"/>
        <v>130668000</v>
      </c>
      <c r="N16" s="18">
        <f>D16*'SUMMARY 2'!$I$29*'SUMMARY 2'!$I$28</f>
        <v>324052700.15999997</v>
      </c>
      <c r="O16" s="41" t="s">
        <v>310</v>
      </c>
      <c r="P16" s="41" t="s">
        <v>151</v>
      </c>
      <c r="Q16" s="41" t="str">
        <f t="shared" si="1"/>
        <v xml:space="preserve"> DT HINO G 323</v>
      </c>
    </row>
    <row r="17" spans="2:17" x14ac:dyDescent="0.3">
      <c r="B17" s="41">
        <v>10</v>
      </c>
      <c r="C17" s="41" t="s">
        <v>235</v>
      </c>
      <c r="D17" s="42">
        <v>949.05</v>
      </c>
      <c r="E17" s="42">
        <v>19</v>
      </c>
      <c r="F17" s="49">
        <f>VLOOKUP(P17,'list rate unit'!$B$3:$K$40,10,FALSE)</f>
        <v>500000</v>
      </c>
      <c r="G17" s="44">
        <f>IF(D17=0,0,F17*$C$83)</f>
        <v>105000000</v>
      </c>
      <c r="H17" s="42">
        <v>1035</v>
      </c>
      <c r="I17" s="44">
        <f>H17*$C$82</f>
        <v>11902500</v>
      </c>
      <c r="J17" s="42">
        <f t="shared" si="5"/>
        <v>1.0905642484589853</v>
      </c>
      <c r="K17" s="42">
        <f t="shared" si="6"/>
        <v>49.949999999999996</v>
      </c>
      <c r="L17" s="42">
        <f t="shared" si="7"/>
        <v>54.473684210526315</v>
      </c>
      <c r="M17" s="45">
        <f t="shared" si="8"/>
        <v>116902500</v>
      </c>
      <c r="N17" s="18">
        <f>D17*'SUMMARY 2'!$I$29*'SUMMARY 2'!$I$28</f>
        <v>147960691.19999999</v>
      </c>
      <c r="O17" s="41" t="s">
        <v>310</v>
      </c>
      <c r="P17" s="41" t="s">
        <v>151</v>
      </c>
      <c r="Q17" s="41" t="str">
        <f t="shared" si="1"/>
        <v xml:space="preserve"> DT HINO G 324</v>
      </c>
    </row>
    <row r="18" spans="2:17" x14ac:dyDescent="0.3">
      <c r="B18" s="41">
        <v>11</v>
      </c>
      <c r="C18" s="41" t="s">
        <v>236</v>
      </c>
      <c r="D18" s="42">
        <v>1350.3600000000001</v>
      </c>
      <c r="E18" s="42">
        <v>28</v>
      </c>
      <c r="F18" s="49">
        <f>VLOOKUP(P18,'list rate unit'!$B$3:$K$40,10,FALSE)</f>
        <v>500000</v>
      </c>
      <c r="G18" s="44">
        <f>IF(D18=0,0,F18*$C$83)</f>
        <v>105000000</v>
      </c>
      <c r="H18" s="42">
        <v>1236</v>
      </c>
      <c r="I18" s="44">
        <f>H18*$C$82</f>
        <v>14214000</v>
      </c>
      <c r="J18" s="42">
        <f t="shared" si="5"/>
        <v>0.91531147249622313</v>
      </c>
      <c r="K18" s="42">
        <f t="shared" si="6"/>
        <v>48.227142857142859</v>
      </c>
      <c r="L18" s="42">
        <f t="shared" si="7"/>
        <v>44.142857142857146</v>
      </c>
      <c r="M18" s="45">
        <f t="shared" si="8"/>
        <v>119214000</v>
      </c>
      <c r="N18" s="18">
        <f>D18*'SUMMARY 2'!$I$29*'SUMMARY 2'!$I$28</f>
        <v>210526525.44</v>
      </c>
      <c r="O18" s="41" t="s">
        <v>310</v>
      </c>
      <c r="P18" s="41" t="s">
        <v>151</v>
      </c>
      <c r="Q18" s="41" t="str">
        <f t="shared" si="1"/>
        <v xml:space="preserve"> DT HINO G 325</v>
      </c>
    </row>
    <row r="19" spans="2:17" x14ac:dyDescent="0.3">
      <c r="B19" s="41">
        <v>12</v>
      </c>
      <c r="C19" s="41" t="s">
        <v>237</v>
      </c>
      <c r="D19" s="42">
        <v>1175.23</v>
      </c>
      <c r="E19" s="42">
        <v>25</v>
      </c>
      <c r="F19" s="49">
        <f>VLOOKUP(P19,'list rate unit'!$B$3:$K$40,10,FALSE)</f>
        <v>500000</v>
      </c>
      <c r="G19" s="44">
        <f>IF(D19=0,0,F19*$C$83)</f>
        <v>105000000</v>
      </c>
      <c r="H19" s="42">
        <v>1356</v>
      </c>
      <c r="I19" s="44">
        <f>H19*$C$82</f>
        <v>15594000</v>
      </c>
      <c r="J19" s="42">
        <f t="shared" si="5"/>
        <v>1.153816699709844</v>
      </c>
      <c r="K19" s="42">
        <f t="shared" si="6"/>
        <v>47.0092</v>
      </c>
      <c r="L19" s="42">
        <f t="shared" si="7"/>
        <v>54.24</v>
      </c>
      <c r="M19" s="45">
        <f t="shared" si="8"/>
        <v>120594000</v>
      </c>
      <c r="N19" s="18">
        <f>D19*'SUMMARY 2'!$I$29*'SUMMARY 2'!$I$28</f>
        <v>183223057.92000002</v>
      </c>
      <c r="O19" s="41" t="s">
        <v>310</v>
      </c>
      <c r="P19" s="41" t="s">
        <v>151</v>
      </c>
      <c r="Q19" s="41" t="str">
        <f t="shared" si="1"/>
        <v xml:space="preserve"> DT HINO G 326</v>
      </c>
    </row>
    <row r="20" spans="2:17" x14ac:dyDescent="0.3">
      <c r="B20" s="41">
        <v>13</v>
      </c>
      <c r="C20" s="41" t="s">
        <v>238</v>
      </c>
      <c r="D20" s="42">
        <v>2110.25</v>
      </c>
      <c r="E20" s="42">
        <v>45</v>
      </c>
      <c r="F20" s="49">
        <f>VLOOKUP(P20,'list rate unit'!$B$3:$K$40,10,FALSE)</f>
        <v>500000</v>
      </c>
      <c r="G20" s="44">
        <f>IF(D20=0,0,F20*$C$83)</f>
        <v>105000000</v>
      </c>
      <c r="H20" s="42">
        <v>1761</v>
      </c>
      <c r="I20" s="44">
        <f>H20*$C$82</f>
        <v>20251500</v>
      </c>
      <c r="J20" s="42">
        <f t="shared" si="5"/>
        <v>0.83449828219405287</v>
      </c>
      <c r="K20" s="42">
        <f t="shared" si="6"/>
        <v>46.894444444444446</v>
      </c>
      <c r="L20" s="42">
        <f t="shared" si="7"/>
        <v>39.133333333333333</v>
      </c>
      <c r="M20" s="45">
        <f t="shared" si="8"/>
        <v>125251500</v>
      </c>
      <c r="N20" s="18">
        <f>D20*'SUMMARY 2'!$I$29*'SUMMARY 2'!$I$28</f>
        <v>328996416</v>
      </c>
      <c r="O20" s="41" t="s">
        <v>310</v>
      </c>
      <c r="P20" s="41" t="s">
        <v>151</v>
      </c>
      <c r="Q20" s="41" t="str">
        <f t="shared" si="1"/>
        <v xml:space="preserve"> DT HINO G 329</v>
      </c>
    </row>
    <row r="21" spans="2:17" x14ac:dyDescent="0.3">
      <c r="B21" s="41">
        <v>14</v>
      </c>
      <c r="C21" s="41" t="s">
        <v>239</v>
      </c>
      <c r="D21" s="42">
        <v>860.93000000000006</v>
      </c>
      <c r="E21" s="42">
        <v>18</v>
      </c>
      <c r="F21" s="49">
        <f>VLOOKUP(P21,'list rate unit'!$B$3:$K$40,10,FALSE)</f>
        <v>500000</v>
      </c>
      <c r="G21" s="44">
        <f>IF(D21=0,0,F21*$C$83)</f>
        <v>105000000</v>
      </c>
      <c r="H21" s="42">
        <v>925</v>
      </c>
      <c r="I21" s="44">
        <f>H21*$C$82</f>
        <v>10637500</v>
      </c>
      <c r="J21" s="42">
        <f t="shared" si="5"/>
        <v>1.0744195230738851</v>
      </c>
      <c r="K21" s="42">
        <f t="shared" si="6"/>
        <v>47.829444444444448</v>
      </c>
      <c r="L21" s="42">
        <f t="shared" si="7"/>
        <v>51.388888888888886</v>
      </c>
      <c r="M21" s="45">
        <f t="shared" si="8"/>
        <v>115637500</v>
      </c>
      <c r="N21" s="18">
        <f>D21*'SUMMARY 2'!$I$29*'SUMMARY 2'!$I$28</f>
        <v>134222430.72000003</v>
      </c>
      <c r="O21" s="41" t="s">
        <v>310</v>
      </c>
      <c r="P21" s="41" t="s">
        <v>151</v>
      </c>
      <c r="Q21" s="41" t="str">
        <f t="shared" si="1"/>
        <v xml:space="preserve"> DT HINO G 331</v>
      </c>
    </row>
    <row r="22" spans="2:17" x14ac:dyDescent="0.3">
      <c r="B22" s="41">
        <v>15</v>
      </c>
      <c r="C22" s="41" t="s">
        <v>240</v>
      </c>
      <c r="D22" s="42">
        <v>704.72</v>
      </c>
      <c r="E22" s="42">
        <v>15</v>
      </c>
      <c r="F22" s="49">
        <f>VLOOKUP(P22,'list rate unit'!$B$3:$K$40,10,FALSE)</f>
        <v>500000</v>
      </c>
      <c r="G22" s="44">
        <f>IF(D22=0,0,F22*$C$83)</f>
        <v>105000000</v>
      </c>
      <c r="H22" s="42">
        <v>926</v>
      </c>
      <c r="I22" s="44">
        <f>H22*$C$82</f>
        <v>10649000</v>
      </c>
      <c r="J22" s="42">
        <f t="shared" si="5"/>
        <v>1.3139970484731525</v>
      </c>
      <c r="K22" s="42">
        <f t="shared" si="6"/>
        <v>46.981333333333332</v>
      </c>
      <c r="L22" s="42">
        <f t="shared" si="7"/>
        <v>61.733333333333334</v>
      </c>
      <c r="M22" s="45">
        <f t="shared" si="8"/>
        <v>115649000</v>
      </c>
      <c r="N22" s="18">
        <f>D22*'SUMMARY 2'!$I$29*'SUMMARY 2'!$I$28</f>
        <v>109868666.88000001</v>
      </c>
      <c r="O22" s="41" t="s">
        <v>310</v>
      </c>
      <c r="P22" s="41" t="s">
        <v>151</v>
      </c>
      <c r="Q22" s="41" t="str">
        <f t="shared" si="1"/>
        <v xml:space="preserve"> DT HINO G 332</v>
      </c>
    </row>
    <row r="23" spans="2:17" x14ac:dyDescent="0.3">
      <c r="B23" s="41">
        <v>16</v>
      </c>
      <c r="C23" s="41" t="s">
        <v>241</v>
      </c>
      <c r="D23" s="42">
        <v>1455.83</v>
      </c>
      <c r="E23" s="42">
        <v>30</v>
      </c>
      <c r="F23" s="49">
        <f>VLOOKUP(P23,'list rate unit'!$B$3:$K$40,10,FALSE)</f>
        <v>500000</v>
      </c>
      <c r="G23" s="44">
        <f>IF(D23=0,0,F23*$C$83)</f>
        <v>105000000</v>
      </c>
      <c r="H23" s="42">
        <v>1493</v>
      </c>
      <c r="I23" s="44">
        <f>H23*$C$82</f>
        <v>17169500</v>
      </c>
      <c r="J23" s="42">
        <f t="shared" ref="J23:J76" si="9">IFERROR(H23/D23,0)</f>
        <v>1.0255318272050995</v>
      </c>
      <c r="K23" s="42">
        <f t="shared" ref="K23:K76" si="10">IFERROR(D23/E23,0)</f>
        <v>48.527666666666661</v>
      </c>
      <c r="L23" s="42">
        <f t="shared" ref="L23:L76" si="11">H23/E23</f>
        <v>49.766666666666666</v>
      </c>
      <c r="M23" s="45">
        <f t="shared" ref="M23:M76" si="12">G23+I23</f>
        <v>122169500</v>
      </c>
      <c r="N23" s="18">
        <f>D23*'SUMMARY 2'!$I$29*'SUMMARY 2'!$I$28</f>
        <v>226969720.31999999</v>
      </c>
      <c r="O23" s="41" t="s">
        <v>310</v>
      </c>
      <c r="P23" s="41" t="s">
        <v>151</v>
      </c>
      <c r="Q23" s="41" t="str">
        <f t="shared" ref="Q23:Q76" si="13">C23</f>
        <v xml:space="preserve"> DT HINO G 333</v>
      </c>
    </row>
    <row r="24" spans="2:17" x14ac:dyDescent="0.3">
      <c r="B24" s="41">
        <v>17</v>
      </c>
      <c r="C24" s="41" t="s">
        <v>242</v>
      </c>
      <c r="D24" s="42">
        <v>786.06999999999994</v>
      </c>
      <c r="E24" s="42">
        <v>17</v>
      </c>
      <c r="F24" s="49">
        <f>VLOOKUP(P24,'list rate unit'!$B$3:$K$40,10,FALSE)</f>
        <v>500000</v>
      </c>
      <c r="G24" s="44">
        <f>IF(D24=0,0,F24*$C$83)</f>
        <v>105000000</v>
      </c>
      <c r="H24" s="42">
        <v>921</v>
      </c>
      <c r="I24" s="44">
        <f>H24*$C$82</f>
        <v>10591500</v>
      </c>
      <c r="J24" s="42">
        <f t="shared" si="9"/>
        <v>1.1716513796481229</v>
      </c>
      <c r="K24" s="42">
        <f t="shared" si="10"/>
        <v>46.239411764705878</v>
      </c>
      <c r="L24" s="42">
        <f t="shared" si="11"/>
        <v>54.176470588235297</v>
      </c>
      <c r="M24" s="45">
        <f t="shared" si="12"/>
        <v>115591500</v>
      </c>
      <c r="N24" s="18">
        <f>D24*'SUMMARY 2'!$I$29*'SUMMARY 2'!$I$28</f>
        <v>122551457.27999999</v>
      </c>
      <c r="O24" s="41" t="s">
        <v>310</v>
      </c>
      <c r="P24" s="41" t="s">
        <v>151</v>
      </c>
      <c r="Q24" s="41" t="str">
        <f t="shared" si="13"/>
        <v xml:space="preserve"> DT HINO G 334</v>
      </c>
    </row>
    <row r="25" spans="2:17" x14ac:dyDescent="0.3">
      <c r="B25" s="41">
        <v>18</v>
      </c>
      <c r="C25" s="41" t="s">
        <v>243</v>
      </c>
      <c r="D25" s="42">
        <v>522.27</v>
      </c>
      <c r="E25" s="42">
        <v>11</v>
      </c>
      <c r="F25" s="49">
        <f>VLOOKUP(P25,'list rate unit'!$B$3:$K$40,10,FALSE)</f>
        <v>500000</v>
      </c>
      <c r="G25" s="44">
        <f>IF(D25=0,0,F25*$C$83)</f>
        <v>105000000</v>
      </c>
      <c r="H25" s="42">
        <v>596</v>
      </c>
      <c r="I25" s="44">
        <f>H25*$C$82</f>
        <v>6854000</v>
      </c>
      <c r="J25" s="42">
        <f t="shared" si="9"/>
        <v>1.1411721906293679</v>
      </c>
      <c r="K25" s="42">
        <f t="shared" si="10"/>
        <v>47.479090909090907</v>
      </c>
      <c r="L25" s="42">
        <f t="shared" si="11"/>
        <v>54.18181818181818</v>
      </c>
      <c r="M25" s="45">
        <f t="shared" si="12"/>
        <v>111854000</v>
      </c>
      <c r="N25" s="18">
        <f>D25*'SUMMARY 2'!$I$29*'SUMMARY 2'!$I$28</f>
        <v>81423982.079999998</v>
      </c>
      <c r="O25" s="41" t="s">
        <v>310</v>
      </c>
      <c r="P25" s="41" t="s">
        <v>151</v>
      </c>
      <c r="Q25" s="41" t="str">
        <f t="shared" si="13"/>
        <v xml:space="preserve"> DT HINO G 335</v>
      </c>
    </row>
    <row r="26" spans="2:17" x14ac:dyDescent="0.3">
      <c r="B26" s="41">
        <v>19</v>
      </c>
      <c r="C26" s="41" t="s">
        <v>244</v>
      </c>
      <c r="D26" s="42">
        <v>2452.6699999999996</v>
      </c>
      <c r="E26" s="42">
        <v>53</v>
      </c>
      <c r="F26" s="49">
        <f>VLOOKUP(P26,'list rate unit'!$B$3:$K$40,10,FALSE)</f>
        <v>500000</v>
      </c>
      <c r="G26" s="44">
        <f>IF(D26=0,0,F26*$C$83)</f>
        <v>105000000</v>
      </c>
      <c r="H26" s="42">
        <v>1975</v>
      </c>
      <c r="I26" s="44">
        <f>H26*$C$82</f>
        <v>22712500</v>
      </c>
      <c r="J26" s="42">
        <f t="shared" si="9"/>
        <v>0.80524489637823282</v>
      </c>
      <c r="K26" s="42">
        <f t="shared" si="10"/>
        <v>46.276792452830179</v>
      </c>
      <c r="L26" s="42">
        <f t="shared" si="11"/>
        <v>37.264150943396224</v>
      </c>
      <c r="M26" s="45">
        <f t="shared" si="12"/>
        <v>127712500</v>
      </c>
      <c r="N26" s="18">
        <f>D26*'SUMMARY 2'!$I$29*'SUMMARY 2'!$I$28</f>
        <v>382381063.67999995</v>
      </c>
      <c r="O26" s="41" t="s">
        <v>310</v>
      </c>
      <c r="P26" s="41" t="s">
        <v>151</v>
      </c>
      <c r="Q26" s="41" t="str">
        <f t="shared" si="13"/>
        <v xml:space="preserve"> DT HINO G 336</v>
      </c>
    </row>
    <row r="27" spans="2:17" x14ac:dyDescent="0.3">
      <c r="B27" s="41">
        <v>20</v>
      </c>
      <c r="C27" s="41" t="s">
        <v>245</v>
      </c>
      <c r="D27" s="42">
        <v>929.83999999999992</v>
      </c>
      <c r="E27" s="42">
        <v>19</v>
      </c>
      <c r="F27" s="49">
        <f>VLOOKUP(P27,'list rate unit'!$B$3:$K$40,10,FALSE)</f>
        <v>500000</v>
      </c>
      <c r="G27" s="44">
        <f>IF(D27=0,0,F27*$C$83)</f>
        <v>105000000</v>
      </c>
      <c r="H27" s="42">
        <v>969</v>
      </c>
      <c r="I27" s="44">
        <f>H27*$C$82</f>
        <v>11143500</v>
      </c>
      <c r="J27" s="42">
        <f t="shared" si="9"/>
        <v>1.0421147724339672</v>
      </c>
      <c r="K27" s="42">
        <f t="shared" si="10"/>
        <v>48.938947368421047</v>
      </c>
      <c r="L27" s="42">
        <f t="shared" si="11"/>
        <v>51</v>
      </c>
      <c r="M27" s="45">
        <f t="shared" si="12"/>
        <v>116143500</v>
      </c>
      <c r="N27" s="18">
        <f>D27*'SUMMARY 2'!$I$29*'SUMMARY 2'!$I$28</f>
        <v>144965775.35999998</v>
      </c>
      <c r="O27" s="41" t="s">
        <v>310</v>
      </c>
      <c r="P27" s="41" t="s">
        <v>151</v>
      </c>
      <c r="Q27" s="41" t="str">
        <f t="shared" si="13"/>
        <v xml:space="preserve"> DT HINO G 337</v>
      </c>
    </row>
    <row r="28" spans="2:17" x14ac:dyDescent="0.3">
      <c r="B28" s="41">
        <v>21</v>
      </c>
      <c r="C28" s="41" t="s">
        <v>246</v>
      </c>
      <c r="D28" s="42">
        <v>2926.6800000000003</v>
      </c>
      <c r="E28" s="42">
        <v>63</v>
      </c>
      <c r="F28" s="49">
        <f>VLOOKUP(P28,'list rate unit'!$B$3:$K$40,10,FALSE)</f>
        <v>500000</v>
      </c>
      <c r="G28" s="44">
        <f>IF(D28=0,0,F28*$C$83)</f>
        <v>105000000</v>
      </c>
      <c r="H28" s="42">
        <v>2435</v>
      </c>
      <c r="I28" s="44">
        <f>H28*$C$82</f>
        <v>28002500</v>
      </c>
      <c r="J28" s="42">
        <f t="shared" si="9"/>
        <v>0.83200076537236722</v>
      </c>
      <c r="K28" s="42">
        <f t="shared" si="10"/>
        <v>46.455238095238101</v>
      </c>
      <c r="L28" s="42">
        <f t="shared" si="11"/>
        <v>38.650793650793652</v>
      </c>
      <c r="M28" s="45">
        <f t="shared" si="12"/>
        <v>133002500</v>
      </c>
      <c r="N28" s="18">
        <f>D28*'SUMMARY 2'!$I$29*'SUMMARY 2'!$I$28</f>
        <v>456281118.72000003</v>
      </c>
      <c r="O28" s="41" t="s">
        <v>310</v>
      </c>
      <c r="P28" s="41" t="s">
        <v>151</v>
      </c>
      <c r="Q28" s="41" t="str">
        <f t="shared" si="13"/>
        <v xml:space="preserve"> DT HINO G 339</v>
      </c>
    </row>
    <row r="29" spans="2:17" x14ac:dyDescent="0.3">
      <c r="B29" s="41">
        <v>22</v>
      </c>
      <c r="C29" s="41" t="s">
        <v>247</v>
      </c>
      <c r="D29" s="42">
        <v>476.68000000000006</v>
      </c>
      <c r="E29" s="42">
        <v>10</v>
      </c>
      <c r="F29" s="49">
        <f>VLOOKUP(P29,'list rate unit'!$B$3:$K$40,10,FALSE)</f>
        <v>500000</v>
      </c>
      <c r="G29" s="44">
        <f>IF(D29=0,0,F29*$C$83)</f>
        <v>105000000</v>
      </c>
      <c r="H29" s="42">
        <v>640</v>
      </c>
      <c r="I29" s="44">
        <f>H29*$C$82</f>
        <v>7360000</v>
      </c>
      <c r="J29" s="42">
        <f t="shared" si="9"/>
        <v>1.3426197868591088</v>
      </c>
      <c r="K29" s="42">
        <f t="shared" si="10"/>
        <v>47.668000000000006</v>
      </c>
      <c r="L29" s="42">
        <f t="shared" si="11"/>
        <v>64</v>
      </c>
      <c r="M29" s="45">
        <f t="shared" si="12"/>
        <v>112360000</v>
      </c>
      <c r="N29" s="18">
        <f>D29*'SUMMARY 2'!$I$29*'SUMMARY 2'!$I$28</f>
        <v>74316318.719999999</v>
      </c>
      <c r="O29" s="41" t="s">
        <v>310</v>
      </c>
      <c r="P29" s="41" t="s">
        <v>151</v>
      </c>
      <c r="Q29" s="41" t="str">
        <f t="shared" si="13"/>
        <v xml:space="preserve"> DT HINO G 340</v>
      </c>
    </row>
    <row r="30" spans="2:17" x14ac:dyDescent="0.3">
      <c r="B30" s="41">
        <v>23</v>
      </c>
      <c r="C30" s="41" t="s">
        <v>248</v>
      </c>
      <c r="D30" s="42">
        <v>1635.11</v>
      </c>
      <c r="E30" s="42">
        <v>35</v>
      </c>
      <c r="F30" s="49">
        <f>VLOOKUP(P30,'list rate unit'!$B$3:$K$40,10,FALSE)</f>
        <v>500000</v>
      </c>
      <c r="G30" s="44">
        <f>IF(D30=0,0,F30*$C$83)</f>
        <v>105000000</v>
      </c>
      <c r="H30" s="42">
        <v>1798</v>
      </c>
      <c r="I30" s="44">
        <f>H30*$C$82</f>
        <v>20677000</v>
      </c>
      <c r="J30" s="42">
        <f t="shared" si="9"/>
        <v>1.0996202090379241</v>
      </c>
      <c r="K30" s="42">
        <f t="shared" si="10"/>
        <v>46.71742857142857</v>
      </c>
      <c r="L30" s="42">
        <f t="shared" si="11"/>
        <v>51.371428571428574</v>
      </c>
      <c r="M30" s="45">
        <f t="shared" si="12"/>
        <v>125677000</v>
      </c>
      <c r="N30" s="18">
        <f>D30*'SUMMARY 2'!$I$29*'SUMMARY 2'!$I$28</f>
        <v>254920189.44</v>
      </c>
      <c r="O30" s="41" t="s">
        <v>310</v>
      </c>
      <c r="P30" s="41" t="s">
        <v>151</v>
      </c>
      <c r="Q30" s="41" t="str">
        <f t="shared" si="13"/>
        <v xml:space="preserve"> DT HINO G 341</v>
      </c>
    </row>
    <row r="31" spans="2:17" x14ac:dyDescent="0.3">
      <c r="B31" s="41">
        <v>24</v>
      </c>
      <c r="C31" s="41" t="s">
        <v>249</v>
      </c>
      <c r="D31" s="42">
        <v>1706.48</v>
      </c>
      <c r="E31" s="42">
        <v>36</v>
      </c>
      <c r="F31" s="49">
        <f>VLOOKUP(P31,'list rate unit'!$B$3:$K$40,10,FALSE)</f>
        <v>500000</v>
      </c>
      <c r="G31" s="44">
        <f>IF(D31=0,0,F31*$C$83)</f>
        <v>105000000</v>
      </c>
      <c r="H31" s="42">
        <v>1811</v>
      </c>
      <c r="I31" s="44">
        <f>H31*$C$82</f>
        <v>20826500</v>
      </c>
      <c r="J31" s="42">
        <f t="shared" si="9"/>
        <v>1.0612488865969716</v>
      </c>
      <c r="K31" s="42">
        <f t="shared" si="10"/>
        <v>47.402222222222221</v>
      </c>
      <c r="L31" s="42">
        <f t="shared" si="11"/>
        <v>50.305555555555557</v>
      </c>
      <c r="M31" s="45">
        <f t="shared" si="12"/>
        <v>125826500</v>
      </c>
      <c r="N31" s="18">
        <f>D31*'SUMMARY 2'!$I$29*'SUMMARY 2'!$I$28</f>
        <v>266047057.92000002</v>
      </c>
      <c r="O31" s="41" t="s">
        <v>310</v>
      </c>
      <c r="P31" s="41" t="s">
        <v>151</v>
      </c>
      <c r="Q31" s="41" t="str">
        <f t="shared" si="13"/>
        <v xml:space="preserve"> DT HINO G 343</v>
      </c>
    </row>
    <row r="32" spans="2:17" x14ac:dyDescent="0.3">
      <c r="B32" s="41">
        <v>25</v>
      </c>
      <c r="C32" s="41" t="s">
        <v>250</v>
      </c>
      <c r="D32" s="42">
        <v>3275.6200000000003</v>
      </c>
      <c r="E32" s="42">
        <v>70</v>
      </c>
      <c r="F32" s="49">
        <f>VLOOKUP(P32,'list rate unit'!$B$3:$K$40,10,FALSE)</f>
        <v>500000</v>
      </c>
      <c r="G32" s="44">
        <f>IF(D32=0,0,F32*$C$83)</f>
        <v>105000000</v>
      </c>
      <c r="H32" s="42">
        <v>2719</v>
      </c>
      <c r="I32" s="44">
        <f>H32*$C$82</f>
        <v>31268500</v>
      </c>
      <c r="J32" s="42">
        <f t="shared" si="9"/>
        <v>0.8300718642577587</v>
      </c>
      <c r="K32" s="42">
        <f t="shared" si="10"/>
        <v>46.79457142857143</v>
      </c>
      <c r="L32" s="42">
        <f t="shared" si="11"/>
        <v>38.842857142857142</v>
      </c>
      <c r="M32" s="45">
        <f t="shared" si="12"/>
        <v>136268500</v>
      </c>
      <c r="N32" s="18">
        <f>D32*'SUMMARY 2'!$I$29*'SUMMARY 2'!$I$28</f>
        <v>510682260.48000002</v>
      </c>
      <c r="O32" s="41" t="s">
        <v>310</v>
      </c>
      <c r="P32" s="41" t="s">
        <v>151</v>
      </c>
      <c r="Q32" s="41" t="str">
        <f t="shared" si="13"/>
        <v xml:space="preserve"> DT HINO G 344</v>
      </c>
    </row>
    <row r="33" spans="2:17" x14ac:dyDescent="0.3">
      <c r="B33" s="41">
        <v>26</v>
      </c>
      <c r="C33" s="41" t="s">
        <v>251</v>
      </c>
      <c r="D33" s="42">
        <v>2292.56</v>
      </c>
      <c r="E33" s="42">
        <v>48</v>
      </c>
      <c r="F33" s="49">
        <f>VLOOKUP(P33,'list rate unit'!$B$3:$K$40,10,FALSE)</f>
        <v>500000</v>
      </c>
      <c r="G33" s="44">
        <f>IF(D33=0,0,F33*$C$83)</f>
        <v>105000000</v>
      </c>
      <c r="H33" s="42">
        <v>2198</v>
      </c>
      <c r="I33" s="44">
        <f>H33*$C$82</f>
        <v>25277000</v>
      </c>
      <c r="J33" s="42">
        <f t="shared" si="9"/>
        <v>0.95875353316816136</v>
      </c>
      <c r="K33" s="42">
        <f t="shared" si="10"/>
        <v>47.761666666666663</v>
      </c>
      <c r="L33" s="42">
        <f t="shared" si="11"/>
        <v>45.791666666666664</v>
      </c>
      <c r="M33" s="45">
        <f t="shared" si="12"/>
        <v>130277000</v>
      </c>
      <c r="N33" s="18">
        <f>D33*'SUMMARY 2'!$I$29*'SUMMARY 2'!$I$28</f>
        <v>357419274.24000001</v>
      </c>
      <c r="O33" s="41" t="s">
        <v>310</v>
      </c>
      <c r="P33" s="41" t="s">
        <v>151</v>
      </c>
      <c r="Q33" s="41" t="str">
        <f t="shared" si="13"/>
        <v xml:space="preserve"> DT HINO G 346</v>
      </c>
    </row>
    <row r="34" spans="2:17" x14ac:dyDescent="0.3">
      <c r="B34" s="41">
        <v>27</v>
      </c>
      <c r="C34" s="41" t="s">
        <v>252</v>
      </c>
      <c r="D34" s="42">
        <v>1867.08</v>
      </c>
      <c r="E34" s="42">
        <v>39</v>
      </c>
      <c r="F34" s="49">
        <f>VLOOKUP(P34,'list rate unit'!$B$3:$K$40,10,FALSE)</f>
        <v>500000</v>
      </c>
      <c r="G34" s="44">
        <f>IF(D34=0,0,F34*$C$83)</f>
        <v>105000000</v>
      </c>
      <c r="H34" s="42">
        <v>2115</v>
      </c>
      <c r="I34" s="44">
        <f>H34*$C$82</f>
        <v>24322500</v>
      </c>
      <c r="J34" s="42">
        <f t="shared" si="9"/>
        <v>1.1327848833472589</v>
      </c>
      <c r="K34" s="42">
        <f t="shared" si="10"/>
        <v>47.873846153846152</v>
      </c>
      <c r="L34" s="42">
        <f t="shared" si="11"/>
        <v>54.230769230769234</v>
      </c>
      <c r="M34" s="45">
        <f t="shared" si="12"/>
        <v>129322500</v>
      </c>
      <c r="N34" s="18">
        <f>D34*'SUMMARY 2'!$I$29*'SUMMARY 2'!$I$28</f>
        <v>291085240.31999999</v>
      </c>
      <c r="O34" s="41" t="s">
        <v>310</v>
      </c>
      <c r="P34" s="41" t="s">
        <v>151</v>
      </c>
      <c r="Q34" s="41" t="str">
        <f t="shared" si="13"/>
        <v xml:space="preserve"> DT HINO G 347</v>
      </c>
    </row>
    <row r="35" spans="2:17" x14ac:dyDescent="0.3">
      <c r="B35" s="41">
        <v>28</v>
      </c>
      <c r="C35" s="41" t="s">
        <v>253</v>
      </c>
      <c r="D35" s="42">
        <v>2119.5700000000002</v>
      </c>
      <c r="E35" s="42">
        <v>44</v>
      </c>
      <c r="F35" s="49">
        <f>VLOOKUP(P35,'list rate unit'!$B$3:$K$40,10,FALSE)</f>
        <v>500000</v>
      </c>
      <c r="G35" s="44">
        <f>IF(D35=0,0,F35*$C$83)</f>
        <v>105000000</v>
      </c>
      <c r="H35" s="42">
        <v>2104</v>
      </c>
      <c r="I35" s="44">
        <f>H35*$C$82</f>
        <v>24196000</v>
      </c>
      <c r="J35" s="42">
        <f t="shared" si="9"/>
        <v>0.99265417042135895</v>
      </c>
      <c r="K35" s="42">
        <f t="shared" si="10"/>
        <v>48.172045454545461</v>
      </c>
      <c r="L35" s="42">
        <f t="shared" si="11"/>
        <v>47.81818181818182</v>
      </c>
      <c r="M35" s="45">
        <f t="shared" si="12"/>
        <v>129196000</v>
      </c>
      <c r="N35" s="18">
        <f>D35*'SUMMARY 2'!$I$29*'SUMMARY 2'!$I$28</f>
        <v>330449441.28000003</v>
      </c>
      <c r="O35" s="41" t="s">
        <v>310</v>
      </c>
      <c r="P35" s="41" t="s">
        <v>151</v>
      </c>
      <c r="Q35" s="41" t="str">
        <f t="shared" si="13"/>
        <v xml:space="preserve"> DT HINO G 348</v>
      </c>
    </row>
    <row r="36" spans="2:17" x14ac:dyDescent="0.3">
      <c r="B36" s="41">
        <v>29</v>
      </c>
      <c r="C36" s="41" t="s">
        <v>254</v>
      </c>
      <c r="D36" s="42">
        <v>1542.28</v>
      </c>
      <c r="E36" s="42">
        <v>34</v>
      </c>
      <c r="F36" s="49">
        <f>VLOOKUP(P36,'list rate unit'!$B$3:$K$40,10,FALSE)</f>
        <v>500000</v>
      </c>
      <c r="G36" s="44">
        <f>IF(D36=0,0,F36*$C$83)</f>
        <v>105000000</v>
      </c>
      <c r="H36" s="42">
        <v>1226</v>
      </c>
      <c r="I36" s="44">
        <f>H36*$C$82</f>
        <v>14099000</v>
      </c>
      <c r="J36" s="42">
        <f t="shared" si="9"/>
        <v>0.79492699120782218</v>
      </c>
      <c r="K36" s="42">
        <f t="shared" si="10"/>
        <v>45.361176470588234</v>
      </c>
      <c r="L36" s="42">
        <f t="shared" si="11"/>
        <v>36.058823529411768</v>
      </c>
      <c r="M36" s="45">
        <f t="shared" si="12"/>
        <v>119099000</v>
      </c>
      <c r="N36" s="18">
        <f>D36*'SUMMARY 2'!$I$29*'SUMMARY 2'!$I$28</f>
        <v>240447621.12</v>
      </c>
      <c r="O36" s="41" t="s">
        <v>310</v>
      </c>
      <c r="P36" s="41" t="s">
        <v>151</v>
      </c>
      <c r="Q36" s="41" t="str">
        <f t="shared" si="13"/>
        <v xml:space="preserve"> DT HINO G 349</v>
      </c>
    </row>
    <row r="37" spans="2:17" x14ac:dyDescent="0.3">
      <c r="B37" s="41">
        <v>30</v>
      </c>
      <c r="C37" s="41" t="s">
        <v>255</v>
      </c>
      <c r="D37" s="42">
        <v>1968.5800000000002</v>
      </c>
      <c r="E37" s="42">
        <v>41</v>
      </c>
      <c r="F37" s="49">
        <f>VLOOKUP(P37,'list rate unit'!$B$3:$K$40,10,FALSE)</f>
        <v>500000</v>
      </c>
      <c r="G37" s="44">
        <f>IF(D37=0,0,F37*$C$83)</f>
        <v>105000000</v>
      </c>
      <c r="H37" s="42">
        <v>2045</v>
      </c>
      <c r="I37" s="44">
        <f>H37*$C$82</f>
        <v>23517500</v>
      </c>
      <c r="J37" s="42">
        <f t="shared" si="9"/>
        <v>1.0388198600006096</v>
      </c>
      <c r="K37" s="42">
        <f t="shared" si="10"/>
        <v>48.014146341463416</v>
      </c>
      <c r="L37" s="42">
        <f t="shared" si="11"/>
        <v>49.878048780487802</v>
      </c>
      <c r="M37" s="45">
        <f t="shared" si="12"/>
        <v>128517500</v>
      </c>
      <c r="N37" s="18">
        <f>D37*'SUMMARY 2'!$I$29*'SUMMARY 2'!$I$28</f>
        <v>306909496.31999999</v>
      </c>
      <c r="O37" s="41" t="s">
        <v>310</v>
      </c>
      <c r="P37" s="41" t="s">
        <v>151</v>
      </c>
      <c r="Q37" s="41" t="str">
        <f t="shared" si="13"/>
        <v xml:space="preserve"> DT HINO G 350</v>
      </c>
    </row>
    <row r="38" spans="2:17" x14ac:dyDescent="0.3">
      <c r="B38" s="41">
        <v>31</v>
      </c>
      <c r="C38" s="41" t="s">
        <v>256</v>
      </c>
      <c r="D38" s="42">
        <v>3538.5</v>
      </c>
      <c r="E38" s="42">
        <v>76</v>
      </c>
      <c r="F38" s="49">
        <f>VLOOKUP(P38,'list rate unit'!$B$3:$K$40,10,FALSE)</f>
        <v>500000</v>
      </c>
      <c r="G38" s="44">
        <f>IF(D38=0,0,F38*$C$83)</f>
        <v>105000000</v>
      </c>
      <c r="H38" s="42">
        <v>2975</v>
      </c>
      <c r="I38" s="44">
        <f>H38*$C$82</f>
        <v>34212500</v>
      </c>
      <c r="J38" s="42">
        <f t="shared" si="9"/>
        <v>0.84075173095944611</v>
      </c>
      <c r="K38" s="42">
        <f t="shared" si="10"/>
        <v>46.559210526315788</v>
      </c>
      <c r="L38" s="42">
        <f t="shared" si="11"/>
        <v>39.14473684210526</v>
      </c>
      <c r="M38" s="45">
        <f t="shared" si="12"/>
        <v>139212500</v>
      </c>
      <c r="N38" s="18">
        <f>D38*'SUMMARY 2'!$I$29*'SUMMARY 2'!$I$28</f>
        <v>551666304</v>
      </c>
      <c r="O38" s="41" t="s">
        <v>310</v>
      </c>
      <c r="P38" s="41" t="s">
        <v>151</v>
      </c>
      <c r="Q38" s="41" t="str">
        <f t="shared" si="13"/>
        <v xml:space="preserve"> DT HINO G 351</v>
      </c>
    </row>
    <row r="39" spans="2:17" x14ac:dyDescent="0.3">
      <c r="B39" s="41">
        <v>32</v>
      </c>
      <c r="C39" s="41" t="s">
        <v>257</v>
      </c>
      <c r="D39" s="42">
        <v>2219.9</v>
      </c>
      <c r="E39" s="42">
        <v>48</v>
      </c>
      <c r="F39" s="49">
        <f>VLOOKUP(P39,'list rate unit'!$B$3:$K$40,10,FALSE)</f>
        <v>500000</v>
      </c>
      <c r="G39" s="44">
        <f>IF(D39=0,0,F39*$C$83)</f>
        <v>105000000</v>
      </c>
      <c r="H39" s="42">
        <v>1914</v>
      </c>
      <c r="I39" s="44">
        <f>H39*$C$82</f>
        <v>22011000</v>
      </c>
      <c r="J39" s="42">
        <f t="shared" si="9"/>
        <v>0.86220100004504707</v>
      </c>
      <c r="K39" s="42">
        <f t="shared" si="10"/>
        <v>46.247916666666669</v>
      </c>
      <c r="L39" s="42">
        <f t="shared" si="11"/>
        <v>39.875</v>
      </c>
      <c r="M39" s="45">
        <f t="shared" si="12"/>
        <v>127011000</v>
      </c>
      <c r="N39" s="18">
        <f>D39*'SUMMARY 2'!$I$29*'SUMMARY 2'!$I$28</f>
        <v>346091289.60000002</v>
      </c>
      <c r="O39" s="41" t="s">
        <v>310</v>
      </c>
      <c r="P39" s="41" t="s">
        <v>151</v>
      </c>
      <c r="Q39" s="41" t="str">
        <f t="shared" si="13"/>
        <v xml:space="preserve"> DT HINO G 352</v>
      </c>
    </row>
    <row r="40" spans="2:17" x14ac:dyDescent="0.3">
      <c r="B40" s="41">
        <v>33</v>
      </c>
      <c r="C40" s="41" t="s">
        <v>258</v>
      </c>
      <c r="D40" s="42">
        <v>3774.99</v>
      </c>
      <c r="E40" s="42">
        <v>81</v>
      </c>
      <c r="F40" s="49">
        <f>VLOOKUP(P40,'list rate unit'!$B$3:$K$40,10,FALSE)</f>
        <v>500000</v>
      </c>
      <c r="G40" s="44">
        <f>IF(D40=0,0,F40*$C$83)</f>
        <v>105000000</v>
      </c>
      <c r="H40" s="42">
        <v>3369</v>
      </c>
      <c r="I40" s="44">
        <f>H40*$C$82</f>
        <v>38743500</v>
      </c>
      <c r="J40" s="42">
        <f t="shared" si="9"/>
        <v>0.89245269523892778</v>
      </c>
      <c r="K40" s="42">
        <f t="shared" si="10"/>
        <v>46.604814814814809</v>
      </c>
      <c r="L40" s="42">
        <f t="shared" si="11"/>
        <v>41.592592592592595</v>
      </c>
      <c r="M40" s="45">
        <f t="shared" si="12"/>
        <v>143743500</v>
      </c>
      <c r="N40" s="18">
        <f>D40*'SUMMARY 2'!$I$29*'SUMMARY 2'!$I$28</f>
        <v>588536040.95999992</v>
      </c>
      <c r="O40" s="41" t="s">
        <v>310</v>
      </c>
      <c r="P40" s="41" t="s">
        <v>151</v>
      </c>
      <c r="Q40" s="41" t="str">
        <f t="shared" si="13"/>
        <v xml:space="preserve"> DT HINO G 353</v>
      </c>
    </row>
    <row r="41" spans="2:17" x14ac:dyDescent="0.3">
      <c r="B41" s="41">
        <v>34</v>
      </c>
      <c r="C41" s="41" t="s">
        <v>259</v>
      </c>
      <c r="D41" s="42">
        <v>3968.84</v>
      </c>
      <c r="E41" s="42">
        <v>85</v>
      </c>
      <c r="F41" s="49">
        <f>VLOOKUP(P41,'list rate unit'!$B$3:$K$40,10,FALSE)</f>
        <v>500000</v>
      </c>
      <c r="G41" s="44">
        <f>IF(D41=0,0,F41*$C$83)</f>
        <v>105000000</v>
      </c>
      <c r="H41" s="42">
        <v>3455</v>
      </c>
      <c r="I41" s="44">
        <f>H41*$C$82</f>
        <v>39732500</v>
      </c>
      <c r="J41" s="42">
        <f t="shared" si="9"/>
        <v>0.87053143991695303</v>
      </c>
      <c r="K41" s="42">
        <f t="shared" si="10"/>
        <v>46.692235294117651</v>
      </c>
      <c r="L41" s="42">
        <f t="shared" si="11"/>
        <v>40.647058823529413</v>
      </c>
      <c r="M41" s="45">
        <f t="shared" si="12"/>
        <v>144732500</v>
      </c>
      <c r="N41" s="18">
        <f>D41*'SUMMARY 2'!$I$29*'SUMMARY 2'!$I$28</f>
        <v>618758031.36000001</v>
      </c>
      <c r="O41" s="41" t="s">
        <v>310</v>
      </c>
      <c r="P41" s="41" t="s">
        <v>151</v>
      </c>
      <c r="Q41" s="41" t="str">
        <f t="shared" si="13"/>
        <v xml:space="preserve"> DT HINO G 354</v>
      </c>
    </row>
    <row r="42" spans="2:17" x14ac:dyDescent="0.3">
      <c r="B42" s="41">
        <v>35</v>
      </c>
      <c r="C42" s="41" t="s">
        <v>260</v>
      </c>
      <c r="D42" s="42">
        <v>3216.26</v>
      </c>
      <c r="E42" s="42">
        <v>70</v>
      </c>
      <c r="F42" s="49">
        <f>VLOOKUP(P42,'list rate unit'!$B$3:$K$40,10,FALSE)</f>
        <v>500000</v>
      </c>
      <c r="G42" s="44">
        <f>IF(D42=0,0,F42*$C$83)</f>
        <v>105000000</v>
      </c>
      <c r="H42" s="42">
        <v>2757</v>
      </c>
      <c r="I42" s="44">
        <f>H42*$C$82</f>
        <v>31705500</v>
      </c>
      <c r="J42" s="42">
        <f t="shared" si="9"/>
        <v>0.85720681785676522</v>
      </c>
      <c r="K42" s="42">
        <f t="shared" si="10"/>
        <v>45.946571428571431</v>
      </c>
      <c r="L42" s="42">
        <f t="shared" si="11"/>
        <v>39.385714285714286</v>
      </c>
      <c r="M42" s="45">
        <f t="shared" si="12"/>
        <v>136705500</v>
      </c>
      <c r="N42" s="18">
        <f>D42*'SUMMARY 2'!$I$29*'SUMMARY 2'!$I$28</f>
        <v>501427799.04000002</v>
      </c>
      <c r="O42" s="41" t="s">
        <v>310</v>
      </c>
      <c r="P42" s="41" t="s">
        <v>151</v>
      </c>
      <c r="Q42" s="41" t="str">
        <f t="shared" si="13"/>
        <v xml:space="preserve"> DT HINO G 355</v>
      </c>
    </row>
    <row r="43" spans="2:17" x14ac:dyDescent="0.3">
      <c r="B43" s="41">
        <v>36</v>
      </c>
      <c r="C43" s="41" t="s">
        <v>261</v>
      </c>
      <c r="D43" s="42">
        <v>3076.6599999999994</v>
      </c>
      <c r="E43" s="42">
        <v>66</v>
      </c>
      <c r="F43" s="49">
        <f>VLOOKUP(P43,'list rate unit'!$B$3:$K$40,10,FALSE)</f>
        <v>500000</v>
      </c>
      <c r="G43" s="44">
        <f>IF(D43=0,0,F43*$C$83)</f>
        <v>105000000</v>
      </c>
      <c r="H43" s="42">
        <v>2463</v>
      </c>
      <c r="I43" s="44">
        <f>H43*$C$82</f>
        <v>28324500</v>
      </c>
      <c r="J43" s="42">
        <f t="shared" si="9"/>
        <v>0.8005434464646729</v>
      </c>
      <c r="K43" s="42">
        <f t="shared" si="10"/>
        <v>46.6160606060606</v>
      </c>
      <c r="L43" s="42">
        <f t="shared" si="11"/>
        <v>37.31818181818182</v>
      </c>
      <c r="M43" s="45">
        <f t="shared" si="12"/>
        <v>133324500</v>
      </c>
      <c r="N43" s="18">
        <f>D43*'SUMMARY 2'!$I$29*'SUMMARY 2'!$I$28</f>
        <v>479663600.63999987</v>
      </c>
      <c r="O43" s="41" t="s">
        <v>310</v>
      </c>
      <c r="P43" s="41" t="s">
        <v>151</v>
      </c>
      <c r="Q43" s="41" t="str">
        <f t="shared" si="13"/>
        <v xml:space="preserve"> DT HINO G 357</v>
      </c>
    </row>
    <row r="44" spans="2:17" x14ac:dyDescent="0.3">
      <c r="B44" s="41">
        <v>37</v>
      </c>
      <c r="C44" s="41" t="s">
        <v>262</v>
      </c>
      <c r="D44" s="42">
        <v>2210.9300000000003</v>
      </c>
      <c r="E44" s="42">
        <v>48</v>
      </c>
      <c r="F44" s="49">
        <f>VLOOKUP(P44,'list rate unit'!$B$3:$K$40,10,FALSE)</f>
        <v>500000</v>
      </c>
      <c r="G44" s="44">
        <f>IF(D44=0,0,F44*$C$83)</f>
        <v>105000000</v>
      </c>
      <c r="H44" s="42">
        <v>2324</v>
      </c>
      <c r="I44" s="44">
        <f>H44*$C$82</f>
        <v>26726000</v>
      </c>
      <c r="J44" s="42">
        <f t="shared" ref="J44:J64" si="14">IFERROR(H44/D44,0)</f>
        <v>1.0511413748965366</v>
      </c>
      <c r="K44" s="42">
        <f t="shared" ref="K44:K64" si="15">IFERROR(D44/E44,0)</f>
        <v>46.061041666666675</v>
      </c>
      <c r="L44" s="42">
        <f t="shared" ref="L44:L64" si="16">H44/E44</f>
        <v>48.416666666666664</v>
      </c>
      <c r="M44" s="45">
        <f t="shared" ref="M44:M64" si="17">G44+I44</f>
        <v>131726000</v>
      </c>
      <c r="N44" s="18">
        <f>D44*'SUMMARY 2'!$I$29*'SUMMARY 2'!$I$28</f>
        <v>344692830.72000003</v>
      </c>
      <c r="O44" s="41" t="s">
        <v>310</v>
      </c>
      <c r="P44" s="41" t="s">
        <v>151</v>
      </c>
      <c r="Q44" s="41" t="str">
        <f t="shared" ref="Q44:Q64" si="18">C44</f>
        <v xml:space="preserve"> DT HINO G 358</v>
      </c>
    </row>
    <row r="45" spans="2:17" x14ac:dyDescent="0.3">
      <c r="B45" s="41">
        <v>38</v>
      </c>
      <c r="C45" s="41" t="s">
        <v>263</v>
      </c>
      <c r="D45" s="42">
        <v>4435.57</v>
      </c>
      <c r="E45" s="42">
        <v>93</v>
      </c>
      <c r="F45" s="49">
        <f>VLOOKUP(P45,'list rate unit'!$B$3:$K$40,10,FALSE)</f>
        <v>500000</v>
      </c>
      <c r="G45" s="44">
        <f>IF(D45=0,0,F45*$C$83)</f>
        <v>105000000</v>
      </c>
      <c r="H45" s="42">
        <v>4253</v>
      </c>
      <c r="I45" s="44">
        <f>H45*$C$82</f>
        <v>48909500</v>
      </c>
      <c r="J45" s="42">
        <f t="shared" si="14"/>
        <v>0.95883956289721506</v>
      </c>
      <c r="K45" s="42">
        <f t="shared" si="15"/>
        <v>47.694301075268811</v>
      </c>
      <c r="L45" s="42">
        <f t="shared" si="16"/>
        <v>45.731182795698928</v>
      </c>
      <c r="M45" s="45">
        <f t="shared" si="17"/>
        <v>153909500</v>
      </c>
      <c r="N45" s="18">
        <f>D45*'SUMMARY 2'!$I$29*'SUMMARY 2'!$I$28</f>
        <v>691523105.27999997</v>
      </c>
      <c r="O45" s="41" t="s">
        <v>310</v>
      </c>
      <c r="P45" s="41" t="s">
        <v>151</v>
      </c>
      <c r="Q45" s="41" t="str">
        <f t="shared" si="18"/>
        <v xml:space="preserve"> DT HINO G 359</v>
      </c>
    </row>
    <row r="46" spans="2:17" x14ac:dyDescent="0.3">
      <c r="B46" s="41">
        <v>39</v>
      </c>
      <c r="C46" s="41" t="s">
        <v>264</v>
      </c>
      <c r="D46" s="42">
        <v>3165.4399999999996</v>
      </c>
      <c r="E46" s="42">
        <v>67</v>
      </c>
      <c r="F46" s="49">
        <f>VLOOKUP(P46,'list rate unit'!$B$3:$K$40,10,FALSE)</f>
        <v>500000</v>
      </c>
      <c r="G46" s="44">
        <f>IF(D46=0,0,F46*$C$83)</f>
        <v>105000000</v>
      </c>
      <c r="H46" s="42">
        <v>3165</v>
      </c>
      <c r="I46" s="44">
        <f>H46*$C$82</f>
        <v>36397500</v>
      </c>
      <c r="J46" s="42">
        <f t="shared" si="14"/>
        <v>0.9998609987868986</v>
      </c>
      <c r="K46" s="42">
        <f t="shared" si="15"/>
        <v>47.245373134328354</v>
      </c>
      <c r="L46" s="42">
        <f t="shared" si="16"/>
        <v>47.238805970149251</v>
      </c>
      <c r="M46" s="45">
        <f t="shared" si="17"/>
        <v>141397500</v>
      </c>
      <c r="N46" s="18">
        <f>D46*'SUMMARY 2'!$I$29*'SUMMARY 2'!$I$28</f>
        <v>493504757.75999993</v>
      </c>
      <c r="O46" s="41" t="s">
        <v>310</v>
      </c>
      <c r="P46" s="41" t="s">
        <v>151</v>
      </c>
      <c r="Q46" s="41" t="str">
        <f t="shared" si="18"/>
        <v xml:space="preserve"> DT HINO G 360</v>
      </c>
    </row>
    <row r="47" spans="2:17" x14ac:dyDescent="0.3">
      <c r="B47" s="41">
        <v>40</v>
      </c>
      <c r="C47" s="41" t="s">
        <v>265</v>
      </c>
      <c r="D47" s="42">
        <v>3961.9</v>
      </c>
      <c r="E47" s="42">
        <v>85</v>
      </c>
      <c r="F47" s="49">
        <f>VLOOKUP(P47,'list rate unit'!$B$3:$K$40,10,FALSE)</f>
        <v>500000</v>
      </c>
      <c r="G47" s="44">
        <f>IF(D47=0,0,F47*$C$83)</f>
        <v>105000000</v>
      </c>
      <c r="H47" s="42">
        <v>3943</v>
      </c>
      <c r="I47" s="44">
        <f>H47*$C$82</f>
        <v>45344500</v>
      </c>
      <c r="J47" s="42">
        <f t="shared" si="14"/>
        <v>0.99522956157399223</v>
      </c>
      <c r="K47" s="42">
        <f t="shared" si="15"/>
        <v>46.610588235294117</v>
      </c>
      <c r="L47" s="42">
        <f t="shared" si="16"/>
        <v>46.388235294117649</v>
      </c>
      <c r="M47" s="45">
        <f t="shared" si="17"/>
        <v>150344500</v>
      </c>
      <c r="N47" s="18">
        <f>D47*'SUMMARY 2'!$I$29*'SUMMARY 2'!$I$28</f>
        <v>617676057.60000002</v>
      </c>
      <c r="O47" s="41" t="s">
        <v>310</v>
      </c>
      <c r="P47" s="41" t="s">
        <v>151</v>
      </c>
      <c r="Q47" s="41" t="str">
        <f t="shared" si="18"/>
        <v xml:space="preserve"> DT HINO G 361</v>
      </c>
    </row>
    <row r="48" spans="2:17" x14ac:dyDescent="0.3">
      <c r="B48" s="41">
        <v>41</v>
      </c>
      <c r="C48" s="41" t="s">
        <v>266</v>
      </c>
      <c r="D48" s="42">
        <v>2167.6200000000003</v>
      </c>
      <c r="E48" s="42">
        <v>48</v>
      </c>
      <c r="F48" s="49">
        <f>VLOOKUP(P48,'list rate unit'!$B$3:$K$40,10,FALSE)</f>
        <v>500000</v>
      </c>
      <c r="G48" s="44">
        <f>IF(D48=0,0,F48*$C$83)</f>
        <v>105000000</v>
      </c>
      <c r="H48" s="42">
        <v>2104</v>
      </c>
      <c r="I48" s="44">
        <f>H48*$C$82</f>
        <v>24196000</v>
      </c>
      <c r="J48" s="42">
        <f t="shared" si="14"/>
        <v>0.97064983714857755</v>
      </c>
      <c r="K48" s="42">
        <f t="shared" si="15"/>
        <v>45.158750000000005</v>
      </c>
      <c r="L48" s="42">
        <f t="shared" si="16"/>
        <v>43.833333333333336</v>
      </c>
      <c r="M48" s="45">
        <f t="shared" si="17"/>
        <v>129196000</v>
      </c>
      <c r="N48" s="18">
        <f>D48*'SUMMARY 2'!$I$29*'SUMMARY 2'!$I$28</f>
        <v>337940628.48000002</v>
      </c>
      <c r="O48" s="41" t="s">
        <v>310</v>
      </c>
      <c r="P48" s="41" t="s">
        <v>151</v>
      </c>
      <c r="Q48" s="41" t="str">
        <f t="shared" si="18"/>
        <v xml:space="preserve"> DT HINO G 362</v>
      </c>
    </row>
    <row r="49" spans="2:17" x14ac:dyDescent="0.3">
      <c r="B49" s="41">
        <v>42</v>
      </c>
      <c r="C49" s="41" t="s">
        <v>267</v>
      </c>
      <c r="D49" s="42">
        <v>3663.1299999999997</v>
      </c>
      <c r="E49" s="42">
        <v>78</v>
      </c>
      <c r="F49" s="49">
        <f>VLOOKUP(P49,'list rate unit'!$B$3:$K$40,10,FALSE)</f>
        <v>500000</v>
      </c>
      <c r="G49" s="44">
        <f>IF(D49=0,0,F49*$C$83)</f>
        <v>105000000</v>
      </c>
      <c r="H49" s="42">
        <v>3366</v>
      </c>
      <c r="I49" s="44">
        <f>H49*$C$82</f>
        <v>38709000</v>
      </c>
      <c r="J49" s="42">
        <f t="shared" si="14"/>
        <v>0.91888630761125056</v>
      </c>
      <c r="K49" s="42">
        <f t="shared" si="15"/>
        <v>46.963205128205125</v>
      </c>
      <c r="L49" s="42">
        <f t="shared" si="16"/>
        <v>43.153846153846153</v>
      </c>
      <c r="M49" s="45">
        <f t="shared" si="17"/>
        <v>143709000</v>
      </c>
      <c r="N49" s="18">
        <f>D49*'SUMMARY 2'!$I$29*'SUMMARY 2'!$I$28</f>
        <v>571096619.51999998</v>
      </c>
      <c r="O49" s="41" t="s">
        <v>310</v>
      </c>
      <c r="P49" s="41" t="s">
        <v>151</v>
      </c>
      <c r="Q49" s="41" t="str">
        <f t="shared" si="18"/>
        <v xml:space="preserve"> DT HINO G 363</v>
      </c>
    </row>
    <row r="50" spans="2:17" x14ac:dyDescent="0.3">
      <c r="B50" s="41">
        <v>43</v>
      </c>
      <c r="C50" s="41" t="s">
        <v>378</v>
      </c>
      <c r="D50" s="42">
        <v>2062.88</v>
      </c>
      <c r="E50" s="42">
        <v>43</v>
      </c>
      <c r="F50" s="49">
        <f>VLOOKUP(P50,'list rate unit'!$B$3:$K$40,10,FALSE)</f>
        <v>500000</v>
      </c>
      <c r="G50" s="44">
        <f>IF(D50=0,0,F50*$C$83)</f>
        <v>105000000</v>
      </c>
      <c r="H50" s="42">
        <v>1964</v>
      </c>
      <c r="I50" s="44">
        <f>H50*$C$82</f>
        <v>22586000</v>
      </c>
      <c r="J50" s="42">
        <f t="shared" si="14"/>
        <v>0.95206701310788799</v>
      </c>
      <c r="K50" s="42">
        <f t="shared" si="15"/>
        <v>47.973953488372096</v>
      </c>
      <c r="L50" s="42">
        <f t="shared" si="16"/>
        <v>45.674418604651166</v>
      </c>
      <c r="M50" s="45">
        <f t="shared" si="17"/>
        <v>127586000</v>
      </c>
      <c r="N50" s="18">
        <f>D50*'SUMMARY 2'!$I$29*'SUMMARY 2'!$I$28</f>
        <v>321611243.52000004</v>
      </c>
      <c r="O50" s="41" t="s">
        <v>310</v>
      </c>
      <c r="P50" s="41" t="s">
        <v>151</v>
      </c>
      <c r="Q50" s="41" t="str">
        <f t="shared" si="18"/>
        <v xml:space="preserve"> DT HINO G 365</v>
      </c>
    </row>
    <row r="51" spans="2:17" x14ac:dyDescent="0.3">
      <c r="B51" s="41">
        <v>44</v>
      </c>
      <c r="C51" s="41" t="s">
        <v>379</v>
      </c>
      <c r="D51" s="42">
        <v>4055</v>
      </c>
      <c r="E51" s="42">
        <v>89</v>
      </c>
      <c r="F51" s="49">
        <f>VLOOKUP(P51,'list rate unit'!$B$3:$K$40,10,FALSE)</f>
        <v>500000</v>
      </c>
      <c r="G51" s="44">
        <f>IF(D51=0,0,F51*$C$83)</f>
        <v>105000000</v>
      </c>
      <c r="H51" s="42">
        <v>3937</v>
      </c>
      <c r="I51" s="44">
        <f>H51*$C$82</f>
        <v>45275500</v>
      </c>
      <c r="J51" s="42">
        <f t="shared" si="14"/>
        <v>0.97090012330456232</v>
      </c>
      <c r="K51" s="42">
        <f t="shared" si="15"/>
        <v>45.561797752808985</v>
      </c>
      <c r="L51" s="42">
        <f t="shared" si="16"/>
        <v>44.235955056179776</v>
      </c>
      <c r="M51" s="45">
        <f t="shared" si="17"/>
        <v>150275500</v>
      </c>
      <c r="N51" s="18">
        <f>D51*'SUMMARY 2'!$I$29*'SUMMARY 2'!$I$28</f>
        <v>632190720</v>
      </c>
      <c r="O51" s="41" t="s">
        <v>310</v>
      </c>
      <c r="P51" s="41" t="s">
        <v>151</v>
      </c>
      <c r="Q51" s="41" t="str">
        <f t="shared" si="18"/>
        <v xml:space="preserve"> DT HINO G 366</v>
      </c>
    </row>
    <row r="52" spans="2:17" x14ac:dyDescent="0.3">
      <c r="B52" s="41">
        <v>45</v>
      </c>
      <c r="C52" s="41" t="s">
        <v>380</v>
      </c>
      <c r="D52" s="42">
        <v>4853.29</v>
      </c>
      <c r="E52" s="42">
        <v>106</v>
      </c>
      <c r="F52" s="49">
        <f>VLOOKUP(P52,'list rate unit'!$B$3:$K$40,10,FALSE)</f>
        <v>500000</v>
      </c>
      <c r="G52" s="44">
        <f>IF(D52=0,0,F52*$C$83)</f>
        <v>105000000</v>
      </c>
      <c r="H52" s="42">
        <v>4673</v>
      </c>
      <c r="I52" s="44">
        <f>H52*$C$82</f>
        <v>53739500</v>
      </c>
      <c r="J52" s="42">
        <f t="shared" si="14"/>
        <v>0.96285200348629485</v>
      </c>
      <c r="K52" s="42">
        <f t="shared" si="15"/>
        <v>45.785754716981131</v>
      </c>
      <c r="L52" s="42">
        <f t="shared" si="16"/>
        <v>44.084905660377359</v>
      </c>
      <c r="M52" s="45">
        <f t="shared" si="17"/>
        <v>158739500</v>
      </c>
      <c r="N52" s="18">
        <f>D52*'SUMMARY 2'!$I$29*'SUMMARY 2'!$I$28</f>
        <v>756647324.15999997</v>
      </c>
      <c r="O52" s="41" t="s">
        <v>310</v>
      </c>
      <c r="P52" s="41" t="s">
        <v>151</v>
      </c>
      <c r="Q52" s="41" t="str">
        <f t="shared" si="18"/>
        <v xml:space="preserve"> DT HINO G 367</v>
      </c>
    </row>
    <row r="53" spans="2:17" x14ac:dyDescent="0.3">
      <c r="B53" s="41">
        <v>46</v>
      </c>
      <c r="C53" s="41" t="s">
        <v>381</v>
      </c>
      <c r="D53" s="42">
        <v>3650.4700000000003</v>
      </c>
      <c r="E53" s="42">
        <v>78</v>
      </c>
      <c r="F53" s="49">
        <f>VLOOKUP(P53,'list rate unit'!$B$3:$K$40,10,FALSE)</f>
        <v>500000</v>
      </c>
      <c r="G53" s="44">
        <f>IF(D53=0,0,F53*$C$83)</f>
        <v>105000000</v>
      </c>
      <c r="H53" s="42">
        <v>3505</v>
      </c>
      <c r="I53" s="44">
        <f>H53*$C$82</f>
        <v>40307500</v>
      </c>
      <c r="J53" s="42">
        <f t="shared" si="14"/>
        <v>0.96015033680594541</v>
      </c>
      <c r="K53" s="42">
        <f t="shared" si="15"/>
        <v>46.80089743589744</v>
      </c>
      <c r="L53" s="42">
        <f t="shared" si="16"/>
        <v>44.935897435897438</v>
      </c>
      <c r="M53" s="45">
        <f t="shared" si="17"/>
        <v>145307500</v>
      </c>
      <c r="N53" s="18">
        <f>D53*'SUMMARY 2'!$I$29*'SUMMARY 2'!$I$28</f>
        <v>569122874.88000011</v>
      </c>
      <c r="O53" s="41" t="s">
        <v>310</v>
      </c>
      <c r="P53" s="41" t="s">
        <v>151</v>
      </c>
      <c r="Q53" s="41" t="str">
        <f t="shared" si="18"/>
        <v xml:space="preserve"> DT HINO G 368</v>
      </c>
    </row>
    <row r="54" spans="2:17" x14ac:dyDescent="0.3">
      <c r="B54" s="41">
        <v>47</v>
      </c>
      <c r="C54" s="41" t="s">
        <v>382</v>
      </c>
      <c r="D54" s="42">
        <v>3090.0600000000004</v>
      </c>
      <c r="E54" s="42">
        <v>66</v>
      </c>
      <c r="F54" s="49">
        <f>VLOOKUP(P54,'list rate unit'!$B$3:$K$40,10,FALSE)</f>
        <v>500000</v>
      </c>
      <c r="G54" s="44">
        <f>IF(D54=0,0,F54*$C$83)</f>
        <v>105000000</v>
      </c>
      <c r="H54" s="42">
        <v>2994</v>
      </c>
      <c r="I54" s="44">
        <f>H54*$C$82</f>
        <v>34431000</v>
      </c>
      <c r="J54" s="42">
        <f t="shared" si="14"/>
        <v>0.96891322498592247</v>
      </c>
      <c r="K54" s="42">
        <f t="shared" si="15"/>
        <v>46.819090909090917</v>
      </c>
      <c r="L54" s="42">
        <f t="shared" si="16"/>
        <v>45.363636363636367</v>
      </c>
      <c r="M54" s="45">
        <f t="shared" si="17"/>
        <v>139431000</v>
      </c>
      <c r="N54" s="18">
        <f>D54*'SUMMARY 2'!$I$29*'SUMMARY 2'!$I$28</f>
        <v>481752714.24000007</v>
      </c>
      <c r="O54" s="41" t="s">
        <v>310</v>
      </c>
      <c r="P54" s="41" t="s">
        <v>151</v>
      </c>
      <c r="Q54" s="41" t="str">
        <f t="shared" si="18"/>
        <v xml:space="preserve"> DT HINO G 369</v>
      </c>
    </row>
    <row r="55" spans="2:17" x14ac:dyDescent="0.3">
      <c r="B55" s="41">
        <v>48</v>
      </c>
      <c r="C55" s="41" t="s">
        <v>330</v>
      </c>
      <c r="D55" s="42">
        <v>4151.57</v>
      </c>
      <c r="E55" s="42">
        <v>90</v>
      </c>
      <c r="F55" s="49">
        <f>VLOOKUP(P55,'list rate unit'!$B$3:$K$40,10,FALSE)</f>
        <v>500000</v>
      </c>
      <c r="G55" s="44">
        <f>IF(D55=0,0,F55*$C$83)</f>
        <v>105000000</v>
      </c>
      <c r="H55" s="42">
        <v>4093</v>
      </c>
      <c r="I55" s="44">
        <f>H55*$C$82</f>
        <v>47069500</v>
      </c>
      <c r="J55" s="42">
        <f t="shared" si="14"/>
        <v>0.98589208419947161</v>
      </c>
      <c r="K55" s="42">
        <f t="shared" si="15"/>
        <v>46.12855555555555</v>
      </c>
      <c r="L55" s="42">
        <f t="shared" si="16"/>
        <v>45.477777777777774</v>
      </c>
      <c r="M55" s="45">
        <f t="shared" si="17"/>
        <v>152069500</v>
      </c>
      <c r="N55" s="18">
        <f>D55*'SUMMARY 2'!$I$29*'SUMMARY 2'!$I$28</f>
        <v>647246369.27999997</v>
      </c>
      <c r="O55" s="41" t="s">
        <v>310</v>
      </c>
      <c r="P55" s="41" t="s">
        <v>151</v>
      </c>
      <c r="Q55" s="41" t="str">
        <f t="shared" si="18"/>
        <v xml:space="preserve"> DT HINO G 370</v>
      </c>
    </row>
    <row r="56" spans="2:17" x14ac:dyDescent="0.3">
      <c r="B56" s="41">
        <v>49</v>
      </c>
      <c r="C56" s="41" t="s">
        <v>331</v>
      </c>
      <c r="D56" s="42">
        <v>3956.2899999999995</v>
      </c>
      <c r="E56" s="42">
        <v>87</v>
      </c>
      <c r="F56" s="49">
        <f>VLOOKUP(P56,'list rate unit'!$B$3:$K$40,10,FALSE)</f>
        <v>500000</v>
      </c>
      <c r="G56" s="44">
        <f>IF(D56=0,0,F56*$C$83)</f>
        <v>105000000</v>
      </c>
      <c r="H56" s="42">
        <v>3585</v>
      </c>
      <c r="I56" s="44">
        <f>H56*$C$82</f>
        <v>41227500</v>
      </c>
      <c r="J56" s="42">
        <f t="shared" si="14"/>
        <v>0.90615197571462169</v>
      </c>
      <c r="K56" s="42">
        <f t="shared" si="15"/>
        <v>45.47459770114942</v>
      </c>
      <c r="L56" s="42">
        <f t="shared" si="16"/>
        <v>41.206896551724135</v>
      </c>
      <c r="M56" s="45">
        <f t="shared" si="17"/>
        <v>146227500</v>
      </c>
      <c r="N56" s="18">
        <f>D56*'SUMMARY 2'!$I$29*'SUMMARY 2'!$I$28</f>
        <v>616801436.15999997</v>
      </c>
      <c r="O56" s="41" t="s">
        <v>310</v>
      </c>
      <c r="P56" s="41" t="s">
        <v>151</v>
      </c>
      <c r="Q56" s="41" t="str">
        <f t="shared" si="18"/>
        <v xml:space="preserve"> DT HINO G 371</v>
      </c>
    </row>
    <row r="57" spans="2:17" x14ac:dyDescent="0.3">
      <c r="B57" s="41">
        <v>50</v>
      </c>
      <c r="C57" s="41" t="s">
        <v>332</v>
      </c>
      <c r="D57" s="42">
        <v>4611.9400000000005</v>
      </c>
      <c r="E57" s="42">
        <v>100</v>
      </c>
      <c r="F57" s="49">
        <f>VLOOKUP(P57,'list rate unit'!$B$3:$K$40,10,FALSE)</f>
        <v>500000</v>
      </c>
      <c r="G57" s="44">
        <f>IF(D57=0,0,F57*$C$83)</f>
        <v>105000000</v>
      </c>
      <c r="H57" s="42">
        <v>4278</v>
      </c>
      <c r="I57" s="44">
        <f>H57*$C$82</f>
        <v>49197000</v>
      </c>
      <c r="J57" s="42">
        <f t="shared" si="14"/>
        <v>0.9275922930480448</v>
      </c>
      <c r="K57" s="42">
        <f t="shared" si="15"/>
        <v>46.119400000000006</v>
      </c>
      <c r="L57" s="42">
        <f t="shared" si="16"/>
        <v>42.78</v>
      </c>
      <c r="M57" s="45">
        <f t="shared" si="17"/>
        <v>154197000</v>
      </c>
      <c r="N57" s="18">
        <f>D57*'SUMMARY 2'!$I$29*'SUMMARY 2'!$I$28</f>
        <v>719019893.75999999</v>
      </c>
      <c r="O57" s="41" t="s">
        <v>310</v>
      </c>
      <c r="P57" s="41" t="s">
        <v>151</v>
      </c>
      <c r="Q57" s="41" t="str">
        <f t="shared" si="18"/>
        <v xml:space="preserve"> DT HINO G 373</v>
      </c>
    </row>
    <row r="58" spans="2:17" x14ac:dyDescent="0.3">
      <c r="B58" s="41">
        <v>51</v>
      </c>
      <c r="C58" s="41" t="s">
        <v>333</v>
      </c>
      <c r="D58" s="42">
        <v>4995.57</v>
      </c>
      <c r="E58" s="42">
        <v>106</v>
      </c>
      <c r="F58" s="49">
        <f>VLOOKUP(P58,'list rate unit'!$B$3:$K$40,10,FALSE)</f>
        <v>500000</v>
      </c>
      <c r="G58" s="44">
        <f>IF(D58=0,0,F58*$C$83)</f>
        <v>105000000</v>
      </c>
      <c r="H58" s="42">
        <v>4624</v>
      </c>
      <c r="I58" s="44">
        <f>H58*$C$82</f>
        <v>53176000</v>
      </c>
      <c r="J58" s="42">
        <f t="shared" si="14"/>
        <v>0.92562009940807566</v>
      </c>
      <c r="K58" s="42">
        <f t="shared" si="15"/>
        <v>47.128018867924524</v>
      </c>
      <c r="L58" s="42">
        <f t="shared" si="16"/>
        <v>43.622641509433961</v>
      </c>
      <c r="M58" s="45">
        <f t="shared" si="17"/>
        <v>158176000</v>
      </c>
      <c r="N58" s="18">
        <f>D58*'SUMMARY 2'!$I$29*'SUMMARY 2'!$I$28</f>
        <v>778829345.27999997</v>
      </c>
      <c r="O58" s="41" t="s">
        <v>310</v>
      </c>
      <c r="P58" s="41" t="s">
        <v>151</v>
      </c>
      <c r="Q58" s="41" t="str">
        <f t="shared" si="18"/>
        <v xml:space="preserve"> DT HINO G 374</v>
      </c>
    </row>
    <row r="59" spans="2:17" x14ac:dyDescent="0.3">
      <c r="B59" s="41">
        <v>52</v>
      </c>
      <c r="C59" s="41" t="s">
        <v>334</v>
      </c>
      <c r="D59" s="42">
        <v>4075.3100000000004</v>
      </c>
      <c r="E59" s="42">
        <v>88</v>
      </c>
      <c r="F59" s="49">
        <f>VLOOKUP(P59,'list rate unit'!$B$3:$K$40,10,FALSE)</f>
        <v>500000</v>
      </c>
      <c r="G59" s="44">
        <f>IF(D59=0,0,F59*$C$83)</f>
        <v>105000000</v>
      </c>
      <c r="H59" s="42">
        <v>4098</v>
      </c>
      <c r="I59" s="44">
        <f>H59*$C$82</f>
        <v>47127000</v>
      </c>
      <c r="J59" s="42">
        <f t="shared" si="14"/>
        <v>1.0055676746063489</v>
      </c>
      <c r="K59" s="42">
        <f t="shared" si="15"/>
        <v>46.310340909090911</v>
      </c>
      <c r="L59" s="42">
        <f t="shared" si="16"/>
        <v>46.56818181818182</v>
      </c>
      <c r="M59" s="45">
        <f t="shared" si="17"/>
        <v>152127000</v>
      </c>
      <c r="N59" s="18">
        <f>D59*'SUMMARY 2'!$I$29*'SUMMARY 2'!$I$28</f>
        <v>635357130.24000001</v>
      </c>
      <c r="O59" s="41" t="s">
        <v>310</v>
      </c>
      <c r="P59" s="41" t="s">
        <v>151</v>
      </c>
      <c r="Q59" s="41" t="str">
        <f t="shared" si="18"/>
        <v xml:space="preserve"> DT HINO G 375</v>
      </c>
    </row>
    <row r="60" spans="2:17" x14ac:dyDescent="0.3">
      <c r="B60" s="41">
        <v>53</v>
      </c>
      <c r="C60" s="41" t="s">
        <v>335</v>
      </c>
      <c r="D60" s="42">
        <v>4597.9700000000012</v>
      </c>
      <c r="E60" s="42">
        <v>100</v>
      </c>
      <c r="F60" s="49">
        <f>VLOOKUP(P60,'list rate unit'!$B$3:$K$40,10,FALSE)</f>
        <v>500000</v>
      </c>
      <c r="G60" s="44">
        <f>IF(D60=0,0,F60*$C$83)</f>
        <v>105000000</v>
      </c>
      <c r="H60" s="42">
        <v>4517</v>
      </c>
      <c r="I60" s="44">
        <f>H60*$C$82</f>
        <v>51945500</v>
      </c>
      <c r="J60" s="42">
        <f t="shared" si="14"/>
        <v>0.98239005474154872</v>
      </c>
      <c r="K60" s="42">
        <f t="shared" si="15"/>
        <v>45.979700000000008</v>
      </c>
      <c r="L60" s="42">
        <f t="shared" si="16"/>
        <v>45.17</v>
      </c>
      <c r="M60" s="45">
        <f t="shared" si="17"/>
        <v>156945500</v>
      </c>
      <c r="N60" s="18">
        <f>D60*'SUMMARY 2'!$I$29*'SUMMARY 2'!$I$28</f>
        <v>716841914.88000023</v>
      </c>
      <c r="O60" s="41" t="s">
        <v>310</v>
      </c>
      <c r="P60" s="41" t="s">
        <v>151</v>
      </c>
      <c r="Q60" s="41" t="str">
        <f t="shared" si="18"/>
        <v xml:space="preserve"> DT HINO G 376</v>
      </c>
    </row>
    <row r="61" spans="2:17" x14ac:dyDescent="0.3">
      <c r="B61" s="41">
        <v>54</v>
      </c>
      <c r="C61" s="41" t="s">
        <v>336</v>
      </c>
      <c r="D61" s="42">
        <v>4566.5300000000007</v>
      </c>
      <c r="E61" s="42">
        <v>99</v>
      </c>
      <c r="F61" s="49">
        <f>VLOOKUP(P61,'list rate unit'!$B$3:$K$40,10,FALSE)</f>
        <v>500000</v>
      </c>
      <c r="G61" s="44">
        <f>IF(D61=0,0,F61*$C$83)</f>
        <v>105000000</v>
      </c>
      <c r="H61" s="42">
        <v>4319</v>
      </c>
      <c r="I61" s="44">
        <f>H61*$C$82</f>
        <v>49668500</v>
      </c>
      <c r="J61" s="42">
        <f t="shared" si="14"/>
        <v>0.94579472816339749</v>
      </c>
      <c r="K61" s="42">
        <f t="shared" si="15"/>
        <v>46.12656565656566</v>
      </c>
      <c r="L61" s="42">
        <f t="shared" si="16"/>
        <v>43.626262626262623</v>
      </c>
      <c r="M61" s="45">
        <f t="shared" si="17"/>
        <v>154668500</v>
      </c>
      <c r="N61" s="18">
        <f>D61*'SUMMARY 2'!$I$29*'SUMMARY 2'!$I$28</f>
        <v>711940293.12000012</v>
      </c>
      <c r="O61" s="41" t="s">
        <v>310</v>
      </c>
      <c r="P61" s="41" t="s">
        <v>151</v>
      </c>
      <c r="Q61" s="41" t="str">
        <f t="shared" si="18"/>
        <v xml:space="preserve"> DT HINO G 377</v>
      </c>
    </row>
    <row r="62" spans="2:17" x14ac:dyDescent="0.3">
      <c r="B62" s="41">
        <v>55</v>
      </c>
      <c r="C62" s="41" t="s">
        <v>383</v>
      </c>
      <c r="D62" s="42">
        <v>4287.87</v>
      </c>
      <c r="E62" s="42">
        <v>92</v>
      </c>
      <c r="F62" s="49">
        <f>VLOOKUP(P62,'list rate unit'!$B$3:$K$40,10,FALSE)</f>
        <v>500000</v>
      </c>
      <c r="G62" s="44">
        <f>IF(D62=0,0,F62*$C$83)</f>
        <v>105000000</v>
      </c>
      <c r="H62" s="42">
        <v>4140</v>
      </c>
      <c r="I62" s="44">
        <f>H62*$C$82</f>
        <v>47610000</v>
      </c>
      <c r="J62" s="42">
        <f t="shared" si="14"/>
        <v>0.96551434628381927</v>
      </c>
      <c r="K62" s="42">
        <f t="shared" si="15"/>
        <v>46.607282608695648</v>
      </c>
      <c r="L62" s="42">
        <f t="shared" si="16"/>
        <v>45</v>
      </c>
      <c r="M62" s="45">
        <f t="shared" si="17"/>
        <v>152610000</v>
      </c>
      <c r="N62" s="18">
        <f>D62*'SUMMARY 2'!$I$29*'SUMMARY 2'!$I$28</f>
        <v>668496084.48000002</v>
      </c>
      <c r="O62" s="41" t="s">
        <v>310</v>
      </c>
      <c r="P62" s="41" t="s">
        <v>151</v>
      </c>
      <c r="Q62" s="41" t="str">
        <f t="shared" si="18"/>
        <v xml:space="preserve"> DT HINO G 378</v>
      </c>
    </row>
    <row r="63" spans="2:17" x14ac:dyDescent="0.3">
      <c r="B63" s="41">
        <v>56</v>
      </c>
      <c r="C63" s="41" t="s">
        <v>384</v>
      </c>
      <c r="D63" s="42">
        <v>3770.4900000000002</v>
      </c>
      <c r="E63" s="42">
        <v>82</v>
      </c>
      <c r="F63" s="49">
        <f>VLOOKUP(P63,'list rate unit'!$B$3:$K$40,10,FALSE)</f>
        <v>500000</v>
      </c>
      <c r="G63" s="44">
        <f>IF(D63=0,0,F63*$C$83)</f>
        <v>105000000</v>
      </c>
      <c r="H63" s="42">
        <v>3802</v>
      </c>
      <c r="I63" s="44">
        <f>H63*$C$82</f>
        <v>43723000</v>
      </c>
      <c r="J63" s="42">
        <f t="shared" si="14"/>
        <v>1.0083570039968279</v>
      </c>
      <c r="K63" s="42">
        <f t="shared" si="15"/>
        <v>45.981585365853661</v>
      </c>
      <c r="L63" s="42">
        <f t="shared" si="16"/>
        <v>46.365853658536587</v>
      </c>
      <c r="M63" s="45">
        <f t="shared" si="17"/>
        <v>148723000</v>
      </c>
      <c r="N63" s="18">
        <f>D63*'SUMMARY 2'!$I$29*'SUMMARY 2'!$I$28</f>
        <v>587834472.96000004</v>
      </c>
      <c r="O63" s="41" t="s">
        <v>310</v>
      </c>
      <c r="P63" s="41" t="s">
        <v>151</v>
      </c>
      <c r="Q63" s="41" t="str">
        <f t="shared" si="18"/>
        <v xml:space="preserve"> DT HINO G 380</v>
      </c>
    </row>
    <row r="64" spans="2:17" x14ac:dyDescent="0.3">
      <c r="B64" s="41">
        <v>57</v>
      </c>
      <c r="C64" s="41" t="s">
        <v>385</v>
      </c>
      <c r="D64" s="42">
        <v>3371.8900000000003</v>
      </c>
      <c r="E64" s="42">
        <v>72</v>
      </c>
      <c r="F64" s="49">
        <f>VLOOKUP(P64,'list rate unit'!$B$3:$K$40,10,FALSE)</f>
        <v>500000</v>
      </c>
      <c r="G64" s="44">
        <f>IF(D64=0,0,F64*$C$83)</f>
        <v>105000000</v>
      </c>
      <c r="H64" s="42">
        <v>3119</v>
      </c>
      <c r="I64" s="44">
        <f>H64*$C$82</f>
        <v>35868500</v>
      </c>
      <c r="J64" s="42">
        <f t="shared" si="14"/>
        <v>0.92500051899676439</v>
      </c>
      <c r="K64" s="42">
        <f t="shared" si="15"/>
        <v>46.831805555555562</v>
      </c>
      <c r="L64" s="42">
        <f t="shared" si="16"/>
        <v>43.319444444444443</v>
      </c>
      <c r="M64" s="45">
        <f t="shared" si="17"/>
        <v>140868500</v>
      </c>
      <c r="N64" s="18">
        <f>D64*'SUMMARY 2'!$I$29*'SUMMARY 2'!$I$28</f>
        <v>525691138.56</v>
      </c>
      <c r="O64" s="41" t="s">
        <v>310</v>
      </c>
      <c r="P64" s="41" t="s">
        <v>151</v>
      </c>
      <c r="Q64" s="41" t="str">
        <f t="shared" si="18"/>
        <v xml:space="preserve"> DT HINO G 381</v>
      </c>
    </row>
    <row r="65" spans="2:17" x14ac:dyDescent="0.3">
      <c r="B65" s="41">
        <v>58</v>
      </c>
      <c r="C65" s="41" t="s">
        <v>386</v>
      </c>
      <c r="D65" s="42">
        <v>3138.4999999999995</v>
      </c>
      <c r="E65" s="42">
        <v>68</v>
      </c>
      <c r="F65" s="49">
        <f>VLOOKUP(P65,'list rate unit'!$B$3:$K$40,10,FALSE)</f>
        <v>500000</v>
      </c>
      <c r="G65" s="44">
        <f>IF(D65=0,0,F65*$C$83)</f>
        <v>105000000</v>
      </c>
      <c r="H65" s="42">
        <v>3189</v>
      </c>
      <c r="I65" s="44">
        <f>H65*$C$82</f>
        <v>36673500</v>
      </c>
      <c r="J65" s="42">
        <f t="shared" si="9"/>
        <v>1.0160904890871436</v>
      </c>
      <c r="K65" s="42">
        <f t="shared" si="10"/>
        <v>46.154411764705877</v>
      </c>
      <c r="L65" s="42">
        <f t="shared" si="11"/>
        <v>46.897058823529413</v>
      </c>
      <c r="M65" s="45">
        <f t="shared" si="12"/>
        <v>141673500</v>
      </c>
      <c r="N65" s="18">
        <f>D65*'SUMMARY 2'!$I$29*'SUMMARY 2'!$I$28</f>
        <v>489304703.99999988</v>
      </c>
      <c r="O65" s="41" t="s">
        <v>310</v>
      </c>
      <c r="P65" s="41" t="s">
        <v>151</v>
      </c>
      <c r="Q65" s="41" t="str">
        <f t="shared" si="13"/>
        <v xml:space="preserve"> DT HINO G 382</v>
      </c>
    </row>
    <row r="66" spans="2:17" x14ac:dyDescent="0.3">
      <c r="B66" s="41">
        <v>59</v>
      </c>
      <c r="C66" s="41" t="s">
        <v>387</v>
      </c>
      <c r="D66" s="42">
        <v>4478.3099999999995</v>
      </c>
      <c r="E66" s="42">
        <v>97</v>
      </c>
      <c r="F66" s="49">
        <f>VLOOKUP(P66,'list rate unit'!$B$3:$K$40,10,FALSE)</f>
        <v>500000</v>
      </c>
      <c r="G66" s="44">
        <f>IF(D66=0,0,F66*$C$83)</f>
        <v>105000000</v>
      </c>
      <c r="H66" s="42">
        <v>3918</v>
      </c>
      <c r="I66" s="44">
        <f>H66*$C$82</f>
        <v>45057000</v>
      </c>
      <c r="J66" s="42">
        <f t="shared" si="9"/>
        <v>0.87488360564587986</v>
      </c>
      <c r="K66" s="42">
        <f t="shared" si="10"/>
        <v>46.168144329896904</v>
      </c>
      <c r="L66" s="42">
        <f t="shared" si="11"/>
        <v>40.391752577319586</v>
      </c>
      <c r="M66" s="45">
        <f t="shared" si="12"/>
        <v>150057000</v>
      </c>
      <c r="N66" s="18">
        <f>D66*'SUMMARY 2'!$I$29*'SUMMARY 2'!$I$28</f>
        <v>698186442.24000001</v>
      </c>
      <c r="O66" s="41" t="s">
        <v>310</v>
      </c>
      <c r="P66" s="41" t="s">
        <v>151</v>
      </c>
      <c r="Q66" s="41" t="str">
        <f t="shared" si="13"/>
        <v xml:space="preserve"> DT HINO G 383</v>
      </c>
    </row>
    <row r="67" spans="2:17" x14ac:dyDescent="0.3">
      <c r="B67" s="41">
        <v>60</v>
      </c>
      <c r="C67" s="41" t="s">
        <v>388</v>
      </c>
      <c r="D67" s="42">
        <v>5357.0600000000013</v>
      </c>
      <c r="E67" s="42">
        <v>116</v>
      </c>
      <c r="F67" s="49">
        <f>VLOOKUP(P67,'list rate unit'!$B$3:$K$40,10,FALSE)</f>
        <v>500000</v>
      </c>
      <c r="G67" s="44">
        <f>IF(D67=0,0,F67*$C$83)</f>
        <v>105000000</v>
      </c>
      <c r="H67" s="42">
        <v>4671</v>
      </c>
      <c r="I67" s="44">
        <f>H67*$C$82</f>
        <v>53716500</v>
      </c>
      <c r="J67" s="42">
        <f t="shared" si="9"/>
        <v>0.87193348590458175</v>
      </c>
      <c r="K67" s="42">
        <f t="shared" si="10"/>
        <v>46.18155172413794</v>
      </c>
      <c r="L67" s="42">
        <f t="shared" si="11"/>
        <v>40.267241379310342</v>
      </c>
      <c r="M67" s="45">
        <f t="shared" si="12"/>
        <v>158716500</v>
      </c>
      <c r="N67" s="18">
        <f>D67*'SUMMARY 2'!$I$29*'SUMMARY 2'!$I$28</f>
        <v>835187082.24000013</v>
      </c>
      <c r="O67" s="41" t="s">
        <v>310</v>
      </c>
      <c r="P67" s="41" t="s">
        <v>151</v>
      </c>
      <c r="Q67" s="41" t="str">
        <f t="shared" si="13"/>
        <v xml:space="preserve"> DT HINO G 385</v>
      </c>
    </row>
    <row r="68" spans="2:17" x14ac:dyDescent="0.3">
      <c r="B68" s="41">
        <v>61</v>
      </c>
      <c r="C68" s="41" t="s">
        <v>389</v>
      </c>
      <c r="D68" s="42">
        <v>5146.6500000000005</v>
      </c>
      <c r="E68" s="42">
        <v>113</v>
      </c>
      <c r="F68" s="49">
        <f>VLOOKUP(P68,'list rate unit'!$B$3:$K$40,10,FALSE)</f>
        <v>500000</v>
      </c>
      <c r="G68" s="44">
        <f>IF(D68=0,0,F68*$C$83)</f>
        <v>105000000</v>
      </c>
      <c r="H68" s="42">
        <v>4740</v>
      </c>
      <c r="I68" s="44">
        <f>H68*$C$82</f>
        <v>54510000</v>
      </c>
      <c r="J68" s="42">
        <f t="shared" ref="J68:J75" si="19">IFERROR(H68/D68,0)</f>
        <v>0.92098743843082387</v>
      </c>
      <c r="K68" s="42">
        <f t="shared" ref="K68:K75" si="20">IFERROR(D68/E68,0)</f>
        <v>45.545575221238941</v>
      </c>
      <c r="L68" s="42">
        <f t="shared" ref="L68:L75" si="21">H68/E68</f>
        <v>41.946902654867259</v>
      </c>
      <c r="M68" s="45">
        <f t="shared" ref="M68:M75" si="22">G68+I68</f>
        <v>159510000</v>
      </c>
      <c r="N68" s="18">
        <f>D68*'SUMMARY 2'!$I$29*'SUMMARY 2'!$I$28</f>
        <v>802383321.60000002</v>
      </c>
      <c r="O68" s="41" t="s">
        <v>310</v>
      </c>
      <c r="P68" s="41" t="s">
        <v>151</v>
      </c>
      <c r="Q68" s="41" t="str">
        <f t="shared" ref="Q68:Q75" si="23">C68</f>
        <v xml:space="preserve"> DT HINO G 386</v>
      </c>
    </row>
    <row r="69" spans="2:17" x14ac:dyDescent="0.3">
      <c r="B69" s="41">
        <v>62</v>
      </c>
      <c r="C69" s="41" t="s">
        <v>390</v>
      </c>
      <c r="D69" s="42">
        <v>5209.8200000000006</v>
      </c>
      <c r="E69" s="42">
        <v>109</v>
      </c>
      <c r="F69" s="49">
        <f>VLOOKUP(P69,'list rate unit'!$B$3:$K$40,10,FALSE)</f>
        <v>500000</v>
      </c>
      <c r="G69" s="44">
        <f>IF(D69=0,0,F69*$C$83)</f>
        <v>105000000</v>
      </c>
      <c r="H69" s="42">
        <v>4572</v>
      </c>
      <c r="I69" s="44">
        <f>H69*$C$82</f>
        <v>52578000</v>
      </c>
      <c r="J69" s="42">
        <f t="shared" si="19"/>
        <v>0.87757350541861323</v>
      </c>
      <c r="K69" s="42">
        <f t="shared" si="20"/>
        <v>47.796513761467892</v>
      </c>
      <c r="L69" s="42">
        <f t="shared" si="21"/>
        <v>41.944954128440365</v>
      </c>
      <c r="M69" s="45">
        <f t="shared" si="22"/>
        <v>157578000</v>
      </c>
      <c r="N69" s="18">
        <f>D69*'SUMMARY 2'!$I$29*'SUMMARY 2'!$I$28</f>
        <v>812231777.28000009</v>
      </c>
      <c r="O69" s="41" t="s">
        <v>310</v>
      </c>
      <c r="P69" s="41" t="s">
        <v>151</v>
      </c>
      <c r="Q69" s="41" t="str">
        <f t="shared" si="23"/>
        <v xml:space="preserve"> DT HINO G 387</v>
      </c>
    </row>
    <row r="70" spans="2:17" x14ac:dyDescent="0.3">
      <c r="B70" s="41">
        <v>63</v>
      </c>
      <c r="C70" s="41" t="s">
        <v>391</v>
      </c>
      <c r="D70" s="42">
        <v>4994.1900000000005</v>
      </c>
      <c r="E70" s="42">
        <v>107</v>
      </c>
      <c r="F70" s="49">
        <f>VLOOKUP(P70,'list rate unit'!$B$3:$K$40,10,FALSE)</f>
        <v>500000</v>
      </c>
      <c r="G70" s="44">
        <f>IF(D70=0,0,F70*$C$83)</f>
        <v>105000000</v>
      </c>
      <c r="H70" s="42">
        <v>4742</v>
      </c>
      <c r="I70" s="44">
        <f>H70*$C$82</f>
        <v>54533000</v>
      </c>
      <c r="J70" s="42">
        <f t="shared" si="19"/>
        <v>0.94950332286116457</v>
      </c>
      <c r="K70" s="42">
        <f t="shared" si="20"/>
        <v>46.674672897196267</v>
      </c>
      <c r="L70" s="42">
        <f t="shared" si="21"/>
        <v>44.317757009345797</v>
      </c>
      <c r="M70" s="45">
        <f t="shared" si="22"/>
        <v>159533000</v>
      </c>
      <c r="N70" s="18">
        <f>D70*'SUMMARY 2'!$I$29*'SUMMARY 2'!$I$28</f>
        <v>778614197.75999999</v>
      </c>
      <c r="O70" s="41" t="s">
        <v>310</v>
      </c>
      <c r="P70" s="41" t="s">
        <v>151</v>
      </c>
      <c r="Q70" s="41" t="str">
        <f t="shared" si="23"/>
        <v xml:space="preserve"> DT HINO G 388</v>
      </c>
    </row>
    <row r="71" spans="2:17" x14ac:dyDescent="0.3">
      <c r="B71" s="41">
        <v>64</v>
      </c>
      <c r="C71" s="41" t="s">
        <v>392</v>
      </c>
      <c r="D71" s="42">
        <v>5049.8499999999995</v>
      </c>
      <c r="E71" s="42">
        <v>109</v>
      </c>
      <c r="F71" s="49">
        <f>VLOOKUP(P71,'list rate unit'!$B$3:$K$40,10,FALSE)</f>
        <v>500000</v>
      </c>
      <c r="G71" s="44">
        <f>IF(D71=0,0,F71*$C$83)</f>
        <v>105000000</v>
      </c>
      <c r="H71" s="42">
        <v>4847</v>
      </c>
      <c r="I71" s="44">
        <f>H71*$C$82</f>
        <v>55740500</v>
      </c>
      <c r="J71" s="42">
        <f t="shared" si="19"/>
        <v>0.959830490014555</v>
      </c>
      <c r="K71" s="42">
        <f t="shared" si="20"/>
        <v>46.328899082568803</v>
      </c>
      <c r="L71" s="42">
        <f t="shared" si="21"/>
        <v>44.467889908256879</v>
      </c>
      <c r="M71" s="45">
        <f t="shared" si="22"/>
        <v>160740500</v>
      </c>
      <c r="N71" s="18">
        <f>D71*'SUMMARY 2'!$I$29*'SUMMARY 2'!$I$28</f>
        <v>787291814.39999998</v>
      </c>
      <c r="O71" s="41" t="s">
        <v>310</v>
      </c>
      <c r="P71" s="41" t="s">
        <v>151</v>
      </c>
      <c r="Q71" s="41" t="str">
        <f t="shared" si="23"/>
        <v xml:space="preserve"> DT HINO G 389</v>
      </c>
    </row>
    <row r="72" spans="2:17" x14ac:dyDescent="0.3">
      <c r="B72" s="41">
        <v>65</v>
      </c>
      <c r="C72" s="41" t="s">
        <v>393</v>
      </c>
      <c r="D72" s="42">
        <v>4478.53</v>
      </c>
      <c r="E72" s="42">
        <v>98</v>
      </c>
      <c r="F72" s="49">
        <f>VLOOKUP(P72,'list rate unit'!$B$3:$K$40,10,FALSE)</f>
        <v>500000</v>
      </c>
      <c r="G72" s="44">
        <f>IF(D72=0,0,F72*$C$83)</f>
        <v>105000000</v>
      </c>
      <c r="H72" s="42">
        <v>3956</v>
      </c>
      <c r="I72" s="44">
        <f>H72*$C$82</f>
        <v>45494000</v>
      </c>
      <c r="J72" s="42">
        <f t="shared" si="19"/>
        <v>0.88332555548360736</v>
      </c>
      <c r="K72" s="42">
        <f t="shared" si="20"/>
        <v>45.699285714285715</v>
      </c>
      <c r="L72" s="42">
        <f t="shared" si="21"/>
        <v>40.367346938775512</v>
      </c>
      <c r="M72" s="45">
        <f t="shared" si="22"/>
        <v>150494000</v>
      </c>
      <c r="N72" s="18">
        <f>D72*'SUMMARY 2'!$I$29*'SUMMARY 2'!$I$28</f>
        <v>698220741.11999989</v>
      </c>
      <c r="O72" s="41" t="s">
        <v>310</v>
      </c>
      <c r="P72" s="41" t="s">
        <v>151</v>
      </c>
      <c r="Q72" s="41" t="str">
        <f t="shared" si="23"/>
        <v xml:space="preserve"> DT HINO G 390</v>
      </c>
    </row>
    <row r="73" spans="2:17" x14ac:dyDescent="0.3">
      <c r="B73" s="41">
        <v>66</v>
      </c>
      <c r="C73" s="41" t="s">
        <v>394</v>
      </c>
      <c r="D73" s="42">
        <v>5138.1099999999997</v>
      </c>
      <c r="E73" s="42">
        <v>109</v>
      </c>
      <c r="F73" s="49">
        <f>VLOOKUP(P73,'list rate unit'!$B$3:$K$40,10,FALSE)</f>
        <v>500000</v>
      </c>
      <c r="G73" s="44">
        <f>IF(D73=0,0,F73*$C$83)</f>
        <v>105000000</v>
      </c>
      <c r="H73" s="42">
        <v>4816</v>
      </c>
      <c r="I73" s="44">
        <f>H73*$C$82</f>
        <v>55384000</v>
      </c>
      <c r="J73" s="42">
        <f t="shared" si="19"/>
        <v>0.93730963330874584</v>
      </c>
      <c r="K73" s="42">
        <f t="shared" si="20"/>
        <v>47.138623853211008</v>
      </c>
      <c r="L73" s="42">
        <f t="shared" si="21"/>
        <v>44.183486238532112</v>
      </c>
      <c r="M73" s="45">
        <f t="shared" si="22"/>
        <v>160384000</v>
      </c>
      <c r="N73" s="18">
        <f>D73*'SUMMARY 2'!$I$29*'SUMMARY 2'!$I$28</f>
        <v>801051901.43999994</v>
      </c>
      <c r="O73" s="41" t="s">
        <v>310</v>
      </c>
      <c r="P73" s="41" t="s">
        <v>151</v>
      </c>
      <c r="Q73" s="41" t="str">
        <f t="shared" si="23"/>
        <v xml:space="preserve"> DT HINO G 391</v>
      </c>
    </row>
    <row r="74" spans="2:17" x14ac:dyDescent="0.3">
      <c r="B74" s="41">
        <v>67</v>
      </c>
      <c r="C74" s="41" t="s">
        <v>395</v>
      </c>
      <c r="D74" s="42">
        <v>5004.3500000000004</v>
      </c>
      <c r="E74" s="42">
        <v>108</v>
      </c>
      <c r="F74" s="49">
        <f>VLOOKUP(P74,'list rate unit'!$B$3:$K$40,10,FALSE)</f>
        <v>500000</v>
      </c>
      <c r="G74" s="44">
        <f>IF(D74=0,0,F74*$C$83)</f>
        <v>105000000</v>
      </c>
      <c r="H74" s="42">
        <v>4907</v>
      </c>
      <c r="I74" s="44">
        <f>H74*$C$82</f>
        <v>56430500</v>
      </c>
      <c r="J74" s="42">
        <f t="shared" si="19"/>
        <v>0.98054692417596678</v>
      </c>
      <c r="K74" s="42">
        <f t="shared" si="20"/>
        <v>46.336574074074079</v>
      </c>
      <c r="L74" s="42">
        <f t="shared" si="21"/>
        <v>45.435185185185183</v>
      </c>
      <c r="M74" s="45">
        <f t="shared" si="22"/>
        <v>161430500</v>
      </c>
      <c r="N74" s="18">
        <f>D74*'SUMMARY 2'!$I$29*'SUMMARY 2'!$I$28</f>
        <v>780198182.4000001</v>
      </c>
      <c r="O74" s="41" t="s">
        <v>310</v>
      </c>
      <c r="P74" s="41" t="s">
        <v>151</v>
      </c>
      <c r="Q74" s="41" t="str">
        <f t="shared" si="23"/>
        <v xml:space="preserve"> DT HINO G 392</v>
      </c>
    </row>
    <row r="75" spans="2:17" x14ac:dyDescent="0.3">
      <c r="B75" s="41">
        <v>68</v>
      </c>
      <c r="C75" s="41" t="s">
        <v>396</v>
      </c>
      <c r="D75" s="42">
        <v>5330.02</v>
      </c>
      <c r="E75" s="42">
        <v>117</v>
      </c>
      <c r="F75" s="49">
        <f>VLOOKUP(P75,'list rate unit'!$B$3:$K$40,10,FALSE)</f>
        <v>500000</v>
      </c>
      <c r="G75" s="44">
        <f>IF(D75=0,0,F75*$C$83)</f>
        <v>105000000</v>
      </c>
      <c r="H75" s="42">
        <v>5165</v>
      </c>
      <c r="I75" s="44">
        <f>H75*$C$82</f>
        <v>59397500</v>
      </c>
      <c r="J75" s="42">
        <f t="shared" si="19"/>
        <v>0.96903951579919012</v>
      </c>
      <c r="K75" s="42">
        <f t="shared" si="20"/>
        <v>45.555726495726496</v>
      </c>
      <c r="L75" s="42">
        <f t="shared" si="21"/>
        <v>44.145299145299148</v>
      </c>
      <c r="M75" s="45">
        <f t="shared" si="22"/>
        <v>164397500</v>
      </c>
      <c r="N75" s="18">
        <f>D75*'SUMMARY 2'!$I$29*'SUMMARY 2'!$I$28</f>
        <v>830971438.08000004</v>
      </c>
      <c r="O75" s="41" t="s">
        <v>310</v>
      </c>
      <c r="P75" s="41" t="s">
        <v>151</v>
      </c>
      <c r="Q75" s="41" t="str">
        <f t="shared" si="23"/>
        <v xml:space="preserve"> DT HINO G 393</v>
      </c>
    </row>
    <row r="76" spans="2:17" x14ac:dyDescent="0.3">
      <c r="B76" s="41">
        <v>69</v>
      </c>
      <c r="C76" s="41" t="s">
        <v>397</v>
      </c>
      <c r="D76" s="42">
        <v>1886.1999999999998</v>
      </c>
      <c r="E76" s="42">
        <v>41</v>
      </c>
      <c r="F76" s="49">
        <f>VLOOKUP(P76,'list rate unit'!$B$3:$K$40,10,FALSE)</f>
        <v>500000</v>
      </c>
      <c r="G76" s="44">
        <f>IF(D76=0,0,F76*$C$83)</f>
        <v>105000000</v>
      </c>
      <c r="H76" s="42">
        <v>1841</v>
      </c>
      <c r="I76" s="44">
        <f>H76*$C$82</f>
        <v>21171500</v>
      </c>
      <c r="J76" s="42">
        <f t="shared" si="9"/>
        <v>0.97603647545329242</v>
      </c>
      <c r="K76" s="42">
        <f t="shared" si="10"/>
        <v>46.004878048780483</v>
      </c>
      <c r="L76" s="42">
        <f t="shared" si="11"/>
        <v>44.902439024390247</v>
      </c>
      <c r="M76" s="45">
        <f t="shared" si="12"/>
        <v>126171500</v>
      </c>
      <c r="N76" s="18">
        <f>D76*'SUMMARY 2'!$I$29*'SUMMARY 2'!$I$28</f>
        <v>294066124.79999995</v>
      </c>
      <c r="O76" s="41" t="s">
        <v>310</v>
      </c>
      <c r="P76" s="41" t="s">
        <v>151</v>
      </c>
      <c r="Q76" s="41" t="str">
        <f t="shared" si="13"/>
        <v xml:space="preserve"> DT HINO G 394</v>
      </c>
    </row>
    <row r="77" spans="2:17" x14ac:dyDescent="0.3">
      <c r="D77" s="18"/>
      <c r="E77" s="18"/>
      <c r="H77" s="18"/>
      <c r="I77" s="30"/>
      <c r="J77" s="18"/>
      <c r="K77" s="18"/>
      <c r="L77" s="18"/>
      <c r="M77" s="33"/>
      <c r="N77" s="18"/>
    </row>
    <row r="78" spans="2:17" ht="15.75" customHeight="1" x14ac:dyDescent="0.3">
      <c r="B78" s="200" t="s">
        <v>21</v>
      </c>
      <c r="C78" s="200"/>
      <c r="D78" s="46">
        <f>SUM(D8:D77)</f>
        <v>204340.21</v>
      </c>
      <c r="E78" s="46">
        <f>SUM(E8:E77)</f>
        <v>4390</v>
      </c>
      <c r="F78" s="50"/>
      <c r="G78" s="51">
        <f>SUM(G8:G77)</f>
        <v>7245000000</v>
      </c>
      <c r="H78" s="46">
        <f>SUM(H8:H77)</f>
        <v>192380</v>
      </c>
      <c r="I78" s="47">
        <f>SUM(I8:I77)</f>
        <v>2212370000</v>
      </c>
      <c r="J78" s="46">
        <f>IFERROR(H78/D78,0)</f>
        <v>0.94146913130802801</v>
      </c>
      <c r="K78" s="46">
        <f>IFERROR(D78/E78,0)</f>
        <v>46.546744874715259</v>
      </c>
      <c r="L78" s="46">
        <f>IFERROR(H78/E78,0)</f>
        <v>43.82232346241458</v>
      </c>
      <c r="M78" s="48">
        <f>SUM(M8:M77)</f>
        <v>9457370000</v>
      </c>
      <c r="N78" s="17">
        <f>SUM(N8:N76)</f>
        <v>31857456099.84</v>
      </c>
    </row>
    <row r="80" spans="2:17" x14ac:dyDescent="0.3">
      <c r="B80" s="28"/>
      <c r="C80" s="15" t="s">
        <v>58</v>
      </c>
      <c r="L80" s="18"/>
      <c r="M80" s="18"/>
      <c r="N80" s="18"/>
    </row>
    <row r="81" spans="2:5" x14ac:dyDescent="0.3">
      <c r="B81" s="35" t="s">
        <v>34</v>
      </c>
      <c r="C81" s="29">
        <f>'REPORT unit OB'!C40</f>
        <v>14848</v>
      </c>
      <c r="D81" s="30"/>
    </row>
    <row r="82" spans="2:5" x14ac:dyDescent="0.3">
      <c r="B82" s="35" t="s">
        <v>35</v>
      </c>
      <c r="C82" s="29">
        <f>'SUMMARY 2'!I13</f>
        <v>11500</v>
      </c>
      <c r="D82" s="30"/>
    </row>
    <row r="83" spans="2:5" x14ac:dyDescent="0.3">
      <c r="B83" s="35" t="s">
        <v>50</v>
      </c>
      <c r="C83" s="34">
        <v>210</v>
      </c>
      <c r="D83" s="29" t="s">
        <v>51</v>
      </c>
    </row>
    <row r="84" spans="2:5" x14ac:dyDescent="0.3">
      <c r="D84" s="18"/>
    </row>
    <row r="87" spans="2:5" x14ac:dyDescent="0.3">
      <c r="D87" s="18"/>
    </row>
    <row r="89" spans="2:5" x14ac:dyDescent="0.3">
      <c r="E89" s="18"/>
    </row>
    <row r="90" spans="2:5" x14ac:dyDescent="0.3">
      <c r="E90" s="18"/>
    </row>
    <row r="91" spans="2:5" x14ac:dyDescent="0.3">
      <c r="E91" s="18"/>
    </row>
    <row r="92" spans="2:5" x14ac:dyDescent="0.3">
      <c r="E92" s="18"/>
    </row>
    <row r="93" spans="2:5" x14ac:dyDescent="0.3">
      <c r="E93" s="18"/>
    </row>
    <row r="94" spans="2:5" x14ac:dyDescent="0.3">
      <c r="E94" s="18"/>
    </row>
    <row r="95" spans="2:5" x14ac:dyDescent="0.3">
      <c r="E95" s="18"/>
    </row>
    <row r="96" spans="2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</sheetData>
  <autoFilter ref="B7:Q76" xr:uid="{00000000-0009-0000-0000-000004000000}">
    <filterColumn colId="14" showButton="0"/>
  </autoFilter>
  <mergeCells count="14">
    <mergeCell ref="B2:C3"/>
    <mergeCell ref="B78:C78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76">
    <cfRule type="cellIs" dxfId="1" priority="1" operator="greaterThanOrEqual">
      <formula>1.75</formula>
    </cfRule>
  </conditionalFormatting>
  <conditionalFormatting sqref="C8:C76">
    <cfRule type="duplicateValues" dxfId="0" priority="49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2"/>
  <sheetViews>
    <sheetView workbookViewId="0">
      <pane xSplit="3" ySplit="7" topLeftCell="D20" activePane="bottomRight" state="frozenSplit"/>
      <selection pane="topRight" activeCell="C1" sqref="C1"/>
      <selection pane="bottomLeft" activeCell="A7" sqref="A7"/>
      <selection pane="bottomRight" activeCell="C8" sqref="C8:C3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4" t="s">
        <v>83</v>
      </c>
      <c r="C2" s="204"/>
    </row>
    <row r="3" spans="2:12" x14ac:dyDescent="0.3">
      <c r="B3" s="204"/>
      <c r="C3" s="204"/>
    </row>
    <row r="5" spans="2:12" ht="15" customHeight="1" x14ac:dyDescent="0.3">
      <c r="B5" s="201" t="s">
        <v>1</v>
      </c>
      <c r="C5" s="201" t="s">
        <v>88</v>
      </c>
      <c r="D5" s="201" t="s">
        <v>91</v>
      </c>
      <c r="E5" s="203" t="s">
        <v>37</v>
      </c>
      <c r="F5" s="203"/>
      <c r="G5" s="201" t="s">
        <v>90</v>
      </c>
      <c r="H5" s="205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3">
      <c r="B6" s="201"/>
      <c r="C6" s="201"/>
      <c r="D6" s="201"/>
      <c r="E6" s="39" t="s">
        <v>27</v>
      </c>
      <c r="F6" s="201" t="s">
        <v>28</v>
      </c>
      <c r="G6" s="201"/>
      <c r="H6" s="205"/>
      <c r="I6" s="31"/>
      <c r="J6" s="201"/>
      <c r="K6" s="201"/>
      <c r="L6" s="201"/>
    </row>
    <row r="7" spans="2:12" x14ac:dyDescent="0.3">
      <c r="B7" s="201"/>
      <c r="C7" s="201"/>
      <c r="D7" s="39" t="s">
        <v>45</v>
      </c>
      <c r="E7" s="39" t="s">
        <v>32</v>
      </c>
      <c r="F7" s="201"/>
      <c r="G7" s="39" t="s">
        <v>53</v>
      </c>
      <c r="H7" s="205"/>
      <c r="I7" s="31"/>
      <c r="J7" s="201"/>
      <c r="K7" s="201"/>
      <c r="L7" s="201"/>
    </row>
    <row r="8" spans="2:12" x14ac:dyDescent="0.3">
      <c r="B8" s="41">
        <v>1</v>
      </c>
      <c r="C8" s="41" t="s">
        <v>270</v>
      </c>
      <c r="D8" s="44">
        <f>IFERROR(VLOOKUP(K8,'list rate unit'!$B$6:$K$27,10,FALSE),0)</f>
        <v>8000000</v>
      </c>
      <c r="E8" s="42"/>
      <c r="F8" s="44">
        <f t="shared" ref="F8:F35" si="0">E8*$C$41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1">C8</f>
        <v>LV PAJERO PUTIH - 06</v>
      </c>
    </row>
    <row r="9" spans="2:12" x14ac:dyDescent="0.3">
      <c r="B9" s="41">
        <v>2</v>
      </c>
      <c r="C9" s="41" t="s">
        <v>271</v>
      </c>
      <c r="D9" s="44">
        <f>IFERROR(VLOOKUP(K9,'list rate unit'!$B$6:$K$27,10,FALSE),0)</f>
        <v>8000000</v>
      </c>
      <c r="E9" s="42"/>
      <c r="F9" s="44">
        <f t="shared" si="0"/>
        <v>0</v>
      </c>
      <c r="G9" s="42"/>
      <c r="H9" s="45">
        <f t="shared" ref="H9" si="2">D9+F9</f>
        <v>8000000</v>
      </c>
      <c r="I9" s="18"/>
      <c r="J9" s="41"/>
      <c r="K9" s="41" t="str">
        <f>VLOOKUP(L9,'list rate unit'!O:P,2,FALSE)</f>
        <v>LV</v>
      </c>
      <c r="L9" s="41" t="str">
        <f t="shared" ref="L9:L34" si="3">C9</f>
        <v>LV TRITON HITAM - 08</v>
      </c>
    </row>
    <row r="10" spans="2:12" x14ac:dyDescent="0.3">
      <c r="B10" s="41">
        <v>3</v>
      </c>
      <c r="C10" s="41" t="s">
        <v>272</v>
      </c>
      <c r="D10" s="44">
        <f>IFERROR(VLOOKUP(K10,'list rate unit'!$B$6:$K$27,10,FALSE),0)</f>
        <v>8000000</v>
      </c>
      <c r="E10" s="42"/>
      <c r="F10" s="44">
        <f t="shared" si="0"/>
        <v>0</v>
      </c>
      <c r="G10" s="42"/>
      <c r="H10" s="45">
        <f t="shared" ref="H10" si="4">D10+F10</f>
        <v>8000000</v>
      </c>
      <c r="I10" s="18"/>
      <c r="J10" s="41"/>
      <c r="K10" s="41" t="str">
        <f>VLOOKUP(L10,'list rate unit'!O:P,2,FALSE)</f>
        <v>LV</v>
      </c>
      <c r="L10" s="41" t="str">
        <f t="shared" si="3"/>
        <v>LV PAJERO PUTIH - 09</v>
      </c>
    </row>
    <row r="11" spans="2:12" x14ac:dyDescent="0.3">
      <c r="B11" s="41">
        <v>4</v>
      </c>
      <c r="C11" s="41" t="s">
        <v>285</v>
      </c>
      <c r="D11" s="44">
        <f>IFERROR(VLOOKUP(K11,'list rate unit'!$B$6:$K$27,10,FALSE),0)</f>
        <v>8000000</v>
      </c>
      <c r="E11" s="42"/>
      <c r="F11" s="44">
        <f t="shared" si="0"/>
        <v>0</v>
      </c>
      <c r="G11" s="42"/>
      <c r="H11" s="45">
        <f t="shared" ref="H11:H34" si="5">D11+F11</f>
        <v>8000000</v>
      </c>
      <c r="I11" s="18"/>
      <c r="J11" s="41"/>
      <c r="K11" s="41" t="str">
        <f>VLOOKUP(L11,'list rate unit'!O:P,2,FALSE)</f>
        <v>LV</v>
      </c>
      <c r="L11" s="41" t="str">
        <f t="shared" si="3"/>
        <v>LV HILUX SILVER - 10</v>
      </c>
    </row>
    <row r="12" spans="2:12" x14ac:dyDescent="0.3">
      <c r="B12" s="41">
        <v>5</v>
      </c>
      <c r="C12" s="41" t="s">
        <v>338</v>
      </c>
      <c r="D12" s="44">
        <f>IFERROR(VLOOKUP(K12,'list rate unit'!$B$6:$K$27,10,FALSE),0)</f>
        <v>8000000</v>
      </c>
      <c r="E12" s="42"/>
      <c r="F12" s="44">
        <f t="shared" si="0"/>
        <v>0</v>
      </c>
      <c r="G12" s="42"/>
      <c r="H12" s="45">
        <f t="shared" si="5"/>
        <v>8000000</v>
      </c>
      <c r="I12" s="18"/>
      <c r="J12" s="41"/>
      <c r="K12" s="41" t="str">
        <f>VLOOKUP(L12,'list rate unit'!O:P,2,FALSE)</f>
        <v>LV</v>
      </c>
      <c r="L12" s="41" t="str">
        <f t="shared" si="3"/>
        <v>LV TRITON HITAM - 10</v>
      </c>
    </row>
    <row r="13" spans="2:12" x14ac:dyDescent="0.3">
      <c r="B13" s="41">
        <v>6</v>
      </c>
      <c r="C13" s="41" t="s">
        <v>268</v>
      </c>
      <c r="D13" s="44">
        <f>IFERROR(VLOOKUP(K13,'list rate unit'!$B$6:$K$27,10,FALSE),0)</f>
        <v>8000000</v>
      </c>
      <c r="E13" s="42"/>
      <c r="F13" s="44">
        <f t="shared" si="0"/>
        <v>0</v>
      </c>
      <c r="G13" s="42"/>
      <c r="H13" s="45">
        <f t="shared" si="5"/>
        <v>8000000</v>
      </c>
      <c r="I13" s="18"/>
      <c r="J13" s="41"/>
      <c r="K13" s="41" t="str">
        <f>VLOOKUP(L13,'list rate unit'!O:P,2,FALSE)</f>
        <v>LV</v>
      </c>
      <c r="L13" s="41" t="str">
        <f t="shared" si="3"/>
        <v>LV TRITON PUTIH - 11</v>
      </c>
    </row>
    <row r="14" spans="2:12" x14ac:dyDescent="0.3">
      <c r="B14" s="41">
        <v>7</v>
      </c>
      <c r="C14" s="41" t="s">
        <v>319</v>
      </c>
      <c r="D14" s="44">
        <f>IFERROR(VLOOKUP(K14,'list rate unit'!$B$6:$K$27,10,FALSE),0)</f>
        <v>8000000</v>
      </c>
      <c r="E14" s="42"/>
      <c r="F14" s="44">
        <f t="shared" si="0"/>
        <v>0</v>
      </c>
      <c r="G14" s="42"/>
      <c r="H14" s="45">
        <f t="shared" si="5"/>
        <v>8000000</v>
      </c>
      <c r="I14" s="18"/>
      <c r="J14" s="41"/>
      <c r="K14" s="41" t="str">
        <f>VLOOKUP(L14,'list rate unit'!O:P,2,FALSE)</f>
        <v>LV</v>
      </c>
      <c r="L14" s="41" t="str">
        <f t="shared" si="3"/>
        <v>LV TRITON PUTIH - 12</v>
      </c>
    </row>
    <row r="15" spans="2:12" x14ac:dyDescent="0.3">
      <c r="B15" s="41">
        <v>8</v>
      </c>
      <c r="C15" s="41" t="s">
        <v>344</v>
      </c>
      <c r="D15" s="44">
        <f>IFERROR(VLOOKUP(K15,'list rate unit'!$B$6:$K$27,10,FALSE),0)</f>
        <v>8000000</v>
      </c>
      <c r="E15" s="42"/>
      <c r="F15" s="44">
        <f t="shared" si="0"/>
        <v>0</v>
      </c>
      <c r="G15" s="42"/>
      <c r="H15" s="45">
        <f t="shared" ref="H15:H31" si="6">D15+F15</f>
        <v>8000000</v>
      </c>
      <c r="I15" s="18"/>
      <c r="J15" s="41"/>
      <c r="K15" s="41" t="str">
        <f>VLOOKUP(L15,'list rate unit'!O:P,2,FALSE)</f>
        <v>LV</v>
      </c>
      <c r="L15" s="41" t="str">
        <f t="shared" si="3"/>
        <v>LV PAJERO HITAM - 15</v>
      </c>
    </row>
    <row r="16" spans="2:12" x14ac:dyDescent="0.3">
      <c r="B16" s="41">
        <v>9</v>
      </c>
      <c r="C16" s="41" t="s">
        <v>320</v>
      </c>
      <c r="D16" s="44">
        <f>IFERROR(VLOOKUP(K16,'list rate unit'!$B$6:$K$27,10,FALSE),0)</f>
        <v>8000000</v>
      </c>
      <c r="E16" s="42"/>
      <c r="F16" s="44">
        <f t="shared" si="0"/>
        <v>0</v>
      </c>
      <c r="G16" s="42"/>
      <c r="H16" s="45">
        <f t="shared" si="6"/>
        <v>8000000</v>
      </c>
      <c r="I16" s="18"/>
      <c r="J16" s="41"/>
      <c r="K16" s="41" t="str">
        <f>VLOOKUP(L16,'list rate unit'!O:P,2,FALSE)</f>
        <v>LV</v>
      </c>
      <c r="L16" s="41" t="str">
        <f t="shared" si="3"/>
        <v>LV HILUX SILVER - 17</v>
      </c>
    </row>
    <row r="17" spans="2:12" x14ac:dyDescent="0.3">
      <c r="B17" s="41">
        <v>10</v>
      </c>
      <c r="C17" s="41" t="s">
        <v>321</v>
      </c>
      <c r="D17" s="44">
        <f>IFERROR(VLOOKUP(K17,'list rate unit'!$B$6:$K$27,10,FALSE),0)</f>
        <v>8000000</v>
      </c>
      <c r="E17" s="42"/>
      <c r="F17" s="44">
        <f t="shared" si="0"/>
        <v>0</v>
      </c>
      <c r="G17" s="42"/>
      <c r="H17" s="45">
        <f t="shared" si="6"/>
        <v>8000000</v>
      </c>
      <c r="I17" s="18"/>
      <c r="J17" s="41"/>
      <c r="K17" s="41" t="str">
        <f>VLOOKUP(L17,'list rate unit'!O:P,2,FALSE)</f>
        <v>LV</v>
      </c>
      <c r="L17" s="41" t="str">
        <f t="shared" si="3"/>
        <v>LV HILUX HITAM - 18</v>
      </c>
    </row>
    <row r="18" spans="2:12" x14ac:dyDescent="0.3">
      <c r="B18" s="41">
        <v>11</v>
      </c>
      <c r="C18" s="41" t="s">
        <v>322</v>
      </c>
      <c r="D18" s="44">
        <f>IFERROR(VLOOKUP(K18,'list rate unit'!$B$6:$K$27,10,FALSE),0)</f>
        <v>8000000</v>
      </c>
      <c r="E18" s="42"/>
      <c r="F18" s="44">
        <f t="shared" si="0"/>
        <v>0</v>
      </c>
      <c r="G18" s="42"/>
      <c r="H18" s="45">
        <f t="shared" si="6"/>
        <v>8000000</v>
      </c>
      <c r="I18" s="18"/>
      <c r="J18" s="41"/>
      <c r="K18" s="41" t="str">
        <f>VLOOKUP(L18,'list rate unit'!O:P,2,FALSE)</f>
        <v>LV</v>
      </c>
      <c r="L18" s="41" t="str">
        <f t="shared" si="3"/>
        <v>LV HILUX SILVER - 19</v>
      </c>
    </row>
    <row r="19" spans="2:12" x14ac:dyDescent="0.3">
      <c r="B19" s="41">
        <v>12</v>
      </c>
      <c r="C19" s="41" t="s">
        <v>410</v>
      </c>
      <c r="D19" s="44">
        <f>IFERROR(VLOOKUP(K19,'list rate unit'!$B$6:$K$27,10,FALSE),0)</f>
        <v>0</v>
      </c>
      <c r="E19" s="42"/>
      <c r="F19" s="44">
        <f t="shared" si="0"/>
        <v>0</v>
      </c>
      <c r="G19" s="42"/>
      <c r="H19" s="45">
        <f t="shared" si="6"/>
        <v>0</v>
      </c>
      <c r="I19" s="18"/>
      <c r="J19" s="41"/>
      <c r="K19" s="41" t="e">
        <f>VLOOKUP(L19,'list rate unit'!O:P,2,FALSE)</f>
        <v>#N/A</v>
      </c>
      <c r="L19" s="41" t="str">
        <f t="shared" si="3"/>
        <v>LV HILUX SILVER - 20</v>
      </c>
    </row>
    <row r="20" spans="2:12" x14ac:dyDescent="0.3">
      <c r="B20" s="41">
        <v>13</v>
      </c>
      <c r="C20" s="41" t="s">
        <v>349</v>
      </c>
      <c r="D20" s="44">
        <f>IFERROR(VLOOKUP(K20,'list rate unit'!$B$6:$K$27,10,FALSE),0)</f>
        <v>8000000</v>
      </c>
      <c r="E20" s="42"/>
      <c r="F20" s="44">
        <f t="shared" si="0"/>
        <v>0</v>
      </c>
      <c r="G20" s="42"/>
      <c r="H20" s="45">
        <f t="shared" si="6"/>
        <v>8000000</v>
      </c>
      <c r="I20" s="18"/>
      <c r="J20" s="41"/>
      <c r="K20" s="41" t="str">
        <f>VLOOKUP(L20,'list rate unit'!O:P,2,FALSE)</f>
        <v>LV</v>
      </c>
      <c r="L20" s="41" t="str">
        <f t="shared" si="3"/>
        <v>LV PAJERO SILVER - 21</v>
      </c>
    </row>
    <row r="21" spans="2:12" x14ac:dyDescent="0.3">
      <c r="B21" s="41">
        <v>14</v>
      </c>
      <c r="C21" s="41" t="s">
        <v>269</v>
      </c>
      <c r="D21" s="44">
        <f>IFERROR(VLOOKUP(K21,'list rate unit'!$B$6:$K$27,10,FALSE),0)</f>
        <v>8000000</v>
      </c>
      <c r="E21" s="42"/>
      <c r="F21" s="44">
        <f t="shared" si="0"/>
        <v>0</v>
      </c>
      <c r="G21" s="42"/>
      <c r="H21" s="45">
        <f t="shared" si="6"/>
        <v>8000000</v>
      </c>
      <c r="I21" s="18"/>
      <c r="J21" s="41"/>
      <c r="K21" s="41" t="str">
        <f>VLOOKUP(L21,'list rate unit'!O:P,2,FALSE)</f>
        <v>LV</v>
      </c>
      <c r="L21" s="41" t="str">
        <f t="shared" si="3"/>
        <v>LV HILUX PUTIH - 23</v>
      </c>
    </row>
    <row r="22" spans="2:12" x14ac:dyDescent="0.3">
      <c r="B22" s="41">
        <v>15</v>
      </c>
      <c r="C22" s="41" t="s">
        <v>360</v>
      </c>
      <c r="D22" s="44">
        <f>IFERROR(VLOOKUP(K22,'list rate unit'!$B$6:$K$27,10,FALSE),0)</f>
        <v>8000000</v>
      </c>
      <c r="E22" s="42"/>
      <c r="F22" s="44">
        <f t="shared" si="0"/>
        <v>0</v>
      </c>
      <c r="G22" s="42"/>
      <c r="H22" s="45">
        <f t="shared" si="6"/>
        <v>8000000</v>
      </c>
      <c r="I22" s="18"/>
      <c r="J22" s="41"/>
      <c r="K22" s="41" t="str">
        <f>VLOOKUP(L22,'list rate unit'!O:P,2,FALSE)</f>
        <v>LV</v>
      </c>
      <c r="L22" s="41" t="str">
        <f t="shared" si="3"/>
        <v>LV LC-SILVER - 24</v>
      </c>
    </row>
    <row r="23" spans="2:12" x14ac:dyDescent="0.3">
      <c r="B23" s="41">
        <v>16</v>
      </c>
      <c r="C23" s="41" t="s">
        <v>323</v>
      </c>
      <c r="D23" s="44">
        <f>IFERROR(VLOOKUP(K23,'list rate unit'!$B$6:$K$27,10,FALSE),0)</f>
        <v>8000000</v>
      </c>
      <c r="E23" s="42"/>
      <c r="F23" s="44">
        <f t="shared" si="0"/>
        <v>0</v>
      </c>
      <c r="G23" s="42"/>
      <c r="H23" s="45">
        <f t="shared" si="6"/>
        <v>8000000</v>
      </c>
      <c r="I23" s="18"/>
      <c r="J23" s="41"/>
      <c r="K23" s="41" t="str">
        <f>VLOOKUP(L23,'list rate unit'!O:P,2,FALSE)</f>
        <v>LV</v>
      </c>
      <c r="L23" s="41" t="str">
        <f t="shared" si="3"/>
        <v>LV TRITON PUTIH - 27</v>
      </c>
    </row>
    <row r="24" spans="2:12" x14ac:dyDescent="0.3">
      <c r="B24" s="41">
        <v>17</v>
      </c>
      <c r="C24" s="41" t="s">
        <v>345</v>
      </c>
      <c r="D24" s="44">
        <f>IFERROR(VLOOKUP(K24,'list rate unit'!$B$6:$K$27,10,FALSE),0)</f>
        <v>8000000</v>
      </c>
      <c r="E24" s="42"/>
      <c r="F24" s="44">
        <f t="shared" si="0"/>
        <v>0</v>
      </c>
      <c r="G24" s="42"/>
      <c r="H24" s="45">
        <f t="shared" si="6"/>
        <v>8000000</v>
      </c>
      <c r="I24" s="18"/>
      <c r="J24" s="41"/>
      <c r="K24" s="41" t="str">
        <f>VLOOKUP(L24,'list rate unit'!O:P,2,FALSE)</f>
        <v>LV</v>
      </c>
      <c r="L24" s="41" t="str">
        <f t="shared" si="3"/>
        <v>LV LC-HIJAU - 29</v>
      </c>
    </row>
    <row r="25" spans="2:12" x14ac:dyDescent="0.3">
      <c r="B25" s="41">
        <v>18</v>
      </c>
      <c r="C25" s="41" t="s">
        <v>297</v>
      </c>
      <c r="D25" s="44">
        <f>IFERROR(VLOOKUP(K25,'list rate unit'!$B$6:$K$27,10,FALSE),0)</f>
        <v>8000000</v>
      </c>
      <c r="E25" s="42"/>
      <c r="F25" s="44">
        <f t="shared" si="0"/>
        <v>0</v>
      </c>
      <c r="G25" s="42"/>
      <c r="H25" s="45">
        <f t="shared" si="6"/>
        <v>8000000</v>
      </c>
      <c r="I25" s="18"/>
      <c r="J25" s="41"/>
      <c r="K25" s="41" t="str">
        <f>VLOOKUP(L25,'list rate unit'!O:P,2,FALSE)</f>
        <v>LV</v>
      </c>
      <c r="L25" s="41" t="str">
        <f t="shared" si="3"/>
        <v>LV TRITON PUTIH (SAFETY) - 30</v>
      </c>
    </row>
    <row r="26" spans="2:12" x14ac:dyDescent="0.3">
      <c r="B26" s="41">
        <v>19</v>
      </c>
      <c r="C26" s="41" t="s">
        <v>311</v>
      </c>
      <c r="D26" s="44">
        <f>IFERROR(VLOOKUP(K26,'list rate unit'!$B$6:$K$27,10,FALSE),0)</f>
        <v>8000000</v>
      </c>
      <c r="E26" s="42"/>
      <c r="F26" s="44">
        <f t="shared" si="0"/>
        <v>0</v>
      </c>
      <c r="G26" s="42"/>
      <c r="H26" s="45">
        <f t="shared" si="6"/>
        <v>8000000</v>
      </c>
      <c r="I26" s="18"/>
      <c r="J26" s="41"/>
      <c r="K26" s="41" t="str">
        <f>VLOOKUP(L26,'list rate unit'!O:P,2,FALSE)</f>
        <v>LV</v>
      </c>
      <c r="L26" s="41" t="str">
        <f t="shared" si="3"/>
        <v>LV TRITON PUTIH - 31</v>
      </c>
    </row>
    <row r="27" spans="2:12" x14ac:dyDescent="0.3">
      <c r="B27" s="41">
        <v>20</v>
      </c>
      <c r="C27" s="41" t="s">
        <v>324</v>
      </c>
      <c r="D27" s="44">
        <f>IFERROR(VLOOKUP(K27,'list rate unit'!$B$6:$K$27,10,FALSE),0)</f>
        <v>8000000</v>
      </c>
      <c r="E27" s="42"/>
      <c r="F27" s="44">
        <f t="shared" si="0"/>
        <v>0</v>
      </c>
      <c r="G27" s="42"/>
      <c r="H27" s="45">
        <f t="shared" si="6"/>
        <v>8000000</v>
      </c>
      <c r="I27" s="18"/>
      <c r="J27" s="41"/>
      <c r="K27" s="41" t="str">
        <f>VLOOKUP(L27,'list rate unit'!O:P,2,FALSE)</f>
        <v>LV</v>
      </c>
      <c r="L27" s="41" t="str">
        <f t="shared" si="3"/>
        <v>LV TRITON PUTIH - 32</v>
      </c>
    </row>
    <row r="28" spans="2:12" x14ac:dyDescent="0.3">
      <c r="B28" s="41">
        <v>21</v>
      </c>
      <c r="C28" s="41" t="s">
        <v>273</v>
      </c>
      <c r="D28" s="44">
        <f>IFERROR(VLOOKUP(K28,'list rate unit'!$B$6:$K$27,10,FALSE),0)</f>
        <v>210000</v>
      </c>
      <c r="E28" s="42"/>
      <c r="F28" s="44">
        <f t="shared" si="0"/>
        <v>0</v>
      </c>
      <c r="G28" s="42"/>
      <c r="H28" s="45">
        <f t="shared" si="6"/>
        <v>210000</v>
      </c>
      <c r="I28" s="18"/>
      <c r="J28" s="41"/>
      <c r="K28" s="41" t="str">
        <f>VLOOKUP(L28,'list rate unit'!O:P,2,FALSE)</f>
        <v>FM 260 Ti</v>
      </c>
      <c r="L28" s="41" t="str">
        <f t="shared" si="3"/>
        <v>MANHAUL - 02</v>
      </c>
    </row>
    <row r="29" spans="2:12" x14ac:dyDescent="0.3">
      <c r="B29" s="41">
        <v>22</v>
      </c>
      <c r="C29" s="41" t="s">
        <v>327</v>
      </c>
      <c r="D29" s="44">
        <f>IFERROR(VLOOKUP(K29,'list rate unit'!$B$6:$K$27,10,FALSE),0)</f>
        <v>12000000</v>
      </c>
      <c r="E29" s="42"/>
      <c r="F29" s="44">
        <f t="shared" si="0"/>
        <v>0</v>
      </c>
      <c r="G29" s="42"/>
      <c r="H29" s="45">
        <f t="shared" si="6"/>
        <v>12000000</v>
      </c>
      <c r="I29" s="18"/>
      <c r="J29" s="41"/>
      <c r="K29" s="41" t="str">
        <f>VLOOKUP(L29,'list rate unit'!O:P,2,FALSE)</f>
        <v>LT</v>
      </c>
      <c r="L29" s="41" t="str">
        <f t="shared" si="3"/>
        <v>BUS APP - 03</v>
      </c>
    </row>
    <row r="30" spans="2:12" x14ac:dyDescent="0.3">
      <c r="B30" s="41">
        <v>23</v>
      </c>
      <c r="C30" s="41" t="s">
        <v>275</v>
      </c>
      <c r="D30" s="44">
        <f>IFERROR(VLOOKUP(K30,'list rate unit'!$B$6:$K$27,10,FALSE),0)</f>
        <v>210000</v>
      </c>
      <c r="E30" s="42"/>
      <c r="F30" s="44">
        <f t="shared" si="0"/>
        <v>0</v>
      </c>
      <c r="G30" s="42"/>
      <c r="H30" s="45">
        <f t="shared" si="6"/>
        <v>210000</v>
      </c>
      <c r="I30" s="18"/>
      <c r="J30" s="41"/>
      <c r="K30" s="41" t="str">
        <f>VLOOKUP(L30,'list rate unit'!O:P,2,FALSE)</f>
        <v>FM 260 Ti</v>
      </c>
      <c r="L30" s="41" t="str">
        <f t="shared" si="3"/>
        <v>FUEL TRUCK - 05</v>
      </c>
    </row>
    <row r="31" spans="2:12" x14ac:dyDescent="0.3">
      <c r="B31" s="41">
        <v>24</v>
      </c>
      <c r="C31" s="41" t="s">
        <v>348</v>
      </c>
      <c r="D31" s="44">
        <f>IFERROR(VLOOKUP(K31,'list rate unit'!$B$6:$K$27,10,FALSE),0)</f>
        <v>210000</v>
      </c>
      <c r="E31" s="42"/>
      <c r="F31" s="44">
        <f t="shared" si="0"/>
        <v>0</v>
      </c>
      <c r="G31" s="42"/>
      <c r="H31" s="45">
        <f t="shared" si="6"/>
        <v>210000</v>
      </c>
      <c r="I31" s="18"/>
      <c r="J31" s="41"/>
      <c r="K31" s="41" t="str">
        <f>VLOOKUP(L31,'list rate unit'!O:P,2,FALSE)</f>
        <v>FM 260 Ti</v>
      </c>
      <c r="L31" s="41" t="str">
        <f t="shared" si="3"/>
        <v>FUEL TRUCK - 06</v>
      </c>
    </row>
    <row r="32" spans="2:12" x14ac:dyDescent="0.3">
      <c r="B32" s="41">
        <v>25</v>
      </c>
      <c r="C32" s="41" t="s">
        <v>339</v>
      </c>
      <c r="D32" s="44">
        <f>IFERROR(VLOOKUP(K32,'list rate unit'!$B$6:$K$27,10,FALSE),0)</f>
        <v>12000000</v>
      </c>
      <c r="E32" s="42"/>
      <c r="F32" s="44">
        <f t="shared" si="0"/>
        <v>0</v>
      </c>
      <c r="G32" s="42"/>
      <c r="H32" s="45">
        <f t="shared" si="5"/>
        <v>12000000</v>
      </c>
      <c r="I32" s="18"/>
      <c r="J32" s="41"/>
      <c r="K32" s="41" t="str">
        <f>VLOOKUP(L32,'list rate unit'!O:P,2,FALSE)</f>
        <v>LT</v>
      </c>
      <c r="L32" s="41" t="str">
        <f t="shared" si="3"/>
        <v>TRUCK WELDER - LT-04</v>
      </c>
    </row>
    <row r="33" spans="2:12" x14ac:dyDescent="0.3">
      <c r="B33" s="41">
        <v>26</v>
      </c>
      <c r="C33" s="41" t="s">
        <v>276</v>
      </c>
      <c r="D33" s="44">
        <f>IFERROR(VLOOKUP(K33,'list rate unit'!$B$6:$K$27,10,FALSE),0)</f>
        <v>12000000</v>
      </c>
      <c r="E33" s="42"/>
      <c r="F33" s="44">
        <f t="shared" si="0"/>
        <v>0</v>
      </c>
      <c r="G33" s="42"/>
      <c r="H33" s="45">
        <f t="shared" si="5"/>
        <v>12000000</v>
      </c>
      <c r="I33" s="18"/>
      <c r="J33" s="41"/>
      <c r="K33" s="41" t="str">
        <f>VLOOKUP(L33,'list rate unit'!O:P,2,FALSE)</f>
        <v>LT</v>
      </c>
      <c r="L33" s="41" t="str">
        <f t="shared" si="3"/>
        <v>TRUCK TYRE - LT-08</v>
      </c>
    </row>
    <row r="34" spans="2:12" x14ac:dyDescent="0.3">
      <c r="B34" s="41">
        <v>27</v>
      </c>
      <c r="C34" s="41" t="s">
        <v>277</v>
      </c>
      <c r="D34" s="44">
        <f>IFERROR(VLOOKUP(K34,'list rate unit'!$B$6:$K$27,10,FALSE),0)</f>
        <v>12000000</v>
      </c>
      <c r="E34" s="42"/>
      <c r="F34" s="44">
        <f t="shared" si="0"/>
        <v>0</v>
      </c>
      <c r="G34" s="42"/>
      <c r="H34" s="45">
        <f t="shared" si="5"/>
        <v>12000000</v>
      </c>
      <c r="I34" s="18"/>
      <c r="J34" s="41"/>
      <c r="K34" s="41" t="str">
        <f>VLOOKUP(L34,'list rate unit'!O:P,2,FALSE)</f>
        <v>LT</v>
      </c>
      <c r="L34" s="41" t="str">
        <f t="shared" si="3"/>
        <v>TRUCK MAINTENANCE - LT-09</v>
      </c>
    </row>
    <row r="35" spans="2:12" x14ac:dyDescent="0.3">
      <c r="B35" s="41">
        <v>28</v>
      </c>
      <c r="C35" s="41" t="s">
        <v>328</v>
      </c>
      <c r="D35" s="44">
        <f>IFERROR(VLOOKUP(K35,'list rate unit'!$B$6:$K$27,10,FALSE),0)</f>
        <v>12000000</v>
      </c>
      <c r="E35" s="42"/>
      <c r="F35" s="44">
        <f t="shared" si="0"/>
        <v>0</v>
      </c>
      <c r="G35" s="42"/>
      <c r="H35" s="45">
        <f t="shared" ref="H35" si="7">D35+F35</f>
        <v>12000000</v>
      </c>
      <c r="I35" s="18"/>
      <c r="J35" s="41"/>
      <c r="K35" s="41" t="str">
        <f>VLOOKUP(L35,'list rate unit'!O:P,2,FALSE)</f>
        <v>LT</v>
      </c>
      <c r="L35" s="41" t="str">
        <f t="shared" ref="L35" si="8">C35</f>
        <v>TRUCK TYRE - LT-10</v>
      </c>
    </row>
    <row r="36" spans="2:12" x14ac:dyDescent="0.3">
      <c r="B36" s="41">
        <v>29</v>
      </c>
      <c r="C36" s="41" t="s">
        <v>341</v>
      </c>
      <c r="D36" s="44">
        <f>IFERROR(VLOOKUP(K36,'list rate unit'!$B$6:$K$27,10,FALSE),0)</f>
        <v>0</v>
      </c>
      <c r="E36" s="42"/>
      <c r="F36" s="44">
        <f t="shared" ref="F36" si="9">E36*$C$41</f>
        <v>0</v>
      </c>
      <c r="G36" s="42"/>
      <c r="H36" s="45">
        <f t="shared" ref="H36" si="10">D36+F36</f>
        <v>0</v>
      </c>
      <c r="I36" s="18"/>
      <c r="J36" s="41"/>
      <c r="K36" s="41">
        <f>VLOOKUP(L36,'list rate unit'!O:P,2,FALSE)</f>
        <v>0</v>
      </c>
      <c r="L36" s="41" t="str">
        <f t="shared" ref="L36" si="11">C36</f>
        <v>MEKANIK CAMP</v>
      </c>
    </row>
    <row r="37" spans="2:12" x14ac:dyDescent="0.3">
      <c r="D37" s="30"/>
      <c r="E37" s="18"/>
      <c r="F37" s="30"/>
      <c r="G37" s="18"/>
      <c r="H37" s="18"/>
      <c r="I37" s="18"/>
    </row>
    <row r="38" spans="2:12" ht="15.75" customHeight="1" x14ac:dyDescent="0.3">
      <c r="B38" s="200" t="s">
        <v>21</v>
      </c>
      <c r="C38" s="200"/>
      <c r="D38" s="51">
        <f>SUM(D8:D37)</f>
        <v>212630000</v>
      </c>
      <c r="E38" s="46">
        <f>SUM(E8:E37)</f>
        <v>0</v>
      </c>
      <c r="F38" s="47">
        <f>SUM(F8:F37)</f>
        <v>0</v>
      </c>
      <c r="G38" s="46">
        <f>IFERROR(E38/#REF!,0)</f>
        <v>0</v>
      </c>
      <c r="H38" s="48">
        <f>SUM(H8:H37)</f>
        <v>212630000</v>
      </c>
      <c r="I38" s="17"/>
    </row>
    <row r="40" spans="2:12" x14ac:dyDescent="0.3">
      <c r="B40" s="35" t="s">
        <v>34</v>
      </c>
      <c r="C40" s="29">
        <f>'REPORT unit DT HAUL'!C81</f>
        <v>14848</v>
      </c>
    </row>
    <row r="41" spans="2:12" x14ac:dyDescent="0.3">
      <c r="B41" s="35" t="s">
        <v>35</v>
      </c>
      <c r="C41" s="29">
        <f>'SUMMARY 2'!I13</f>
        <v>11500</v>
      </c>
    </row>
    <row r="42" spans="2:12" x14ac:dyDescent="0.3">
      <c r="J42" s="27"/>
    </row>
  </sheetData>
  <mergeCells count="11">
    <mergeCell ref="B38:C38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K37:K1048576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2023-07-04T10:07:26Z</cp:lastPrinted>
  <dcterms:created xsi:type="dcterms:W3CDTF">2019-02-05T01:55:23Z</dcterms:created>
  <dcterms:modified xsi:type="dcterms:W3CDTF">2023-07-04T10:07:30Z</dcterms:modified>
</cp:coreProperties>
</file>