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4\CV_APP\cost production report APP\"/>
    </mc:Choice>
  </mc:AlternateContent>
  <xr:revisionPtr revIDLastSave="0" documentId="13_ncr:1_{01F0D885-17B7-409A-A88B-5CAC967143D1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DEVELOP'!$B$7:$O$9</definedName>
    <definedName name="_xlnm._FilterDatabase" localSheetId="7" hidden="1">'REPORT unit DT HAUL'!$B$7:$Q$41</definedName>
    <definedName name="_xlnm._FilterDatabase" localSheetId="3" hidden="1">'REPORT unit OB'!$B$7:$O$56</definedName>
    <definedName name="_xlnm._FilterDatabase" localSheetId="6" hidden="1">'REPORT unit ORE GETTING'!$B$7:$O$27</definedName>
    <definedName name="_xlnm._FilterDatabase" localSheetId="4" hidden="1">'REPORT unit QUARRY'!$B$7:$O$39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6" l="1"/>
  <c r="L23" i="6"/>
  <c r="K23" i="6" s="1"/>
  <c r="D23" i="6" s="1"/>
  <c r="F24" i="6"/>
  <c r="L24" i="6"/>
  <c r="K24" i="6" s="1"/>
  <c r="D24" i="6" s="1"/>
  <c r="B24" i="6"/>
  <c r="B23" i="6"/>
  <c r="F37" i="7"/>
  <c r="G37" i="7" s="1"/>
  <c r="I37" i="7"/>
  <c r="J37" i="7"/>
  <c r="K37" i="7"/>
  <c r="L37" i="7"/>
  <c r="N37" i="7"/>
  <c r="Q37" i="7"/>
  <c r="F38" i="7"/>
  <c r="G38" i="7" s="1"/>
  <c r="I38" i="7"/>
  <c r="J38" i="7"/>
  <c r="K38" i="7"/>
  <c r="L38" i="7"/>
  <c r="N38" i="7"/>
  <c r="Q38" i="7"/>
  <c r="B39" i="7"/>
  <c r="B38" i="7"/>
  <c r="B37" i="7"/>
  <c r="H24" i="6" l="1"/>
  <c r="H23" i="6"/>
  <c r="M38" i="7"/>
  <c r="M37" i="7"/>
  <c r="H26" i="12" l="1"/>
  <c r="H24" i="12"/>
  <c r="H13" i="12"/>
  <c r="H5" i="12"/>
  <c r="H3" i="12"/>
  <c r="I33" i="13"/>
  <c r="N33" i="13"/>
  <c r="M33" i="13" s="1"/>
  <c r="E33" i="13" s="1"/>
  <c r="F33" i="13" s="1"/>
  <c r="I34" i="13"/>
  <c r="N34" i="13"/>
  <c r="M34" i="13" s="1"/>
  <c r="E34" i="13" s="1"/>
  <c r="F34" i="13" s="1"/>
  <c r="I35" i="13"/>
  <c r="N35" i="13"/>
  <c r="M35" i="13" s="1"/>
  <c r="E35" i="13" s="1"/>
  <c r="F35" i="13" s="1"/>
  <c r="I36" i="13"/>
  <c r="N36" i="13"/>
  <c r="M36" i="13" s="1"/>
  <c r="E36" i="13" s="1"/>
  <c r="F36" i="13" s="1"/>
  <c r="B36" i="13"/>
  <c r="B35" i="13"/>
  <c r="B34" i="13"/>
  <c r="B33" i="13"/>
  <c r="I24" i="13" l="1"/>
  <c r="N24" i="13"/>
  <c r="M24" i="13" s="1"/>
  <c r="E24" i="13" s="1"/>
  <c r="F24" i="13" s="1"/>
  <c r="I25" i="13"/>
  <c r="N25" i="13"/>
  <c r="M25" i="13" s="1"/>
  <c r="E25" i="13" s="1"/>
  <c r="F25" i="13" s="1"/>
  <c r="I26" i="13"/>
  <c r="N26" i="13"/>
  <c r="M26" i="13" s="1"/>
  <c r="E26" i="13" s="1"/>
  <c r="F26" i="13" s="1"/>
  <c r="I27" i="13"/>
  <c r="N27" i="13"/>
  <c r="M27" i="13" s="1"/>
  <c r="E27" i="13" s="1"/>
  <c r="F27" i="13" s="1"/>
  <c r="I28" i="13"/>
  <c r="N28" i="13"/>
  <c r="M28" i="13" s="1"/>
  <c r="E28" i="13" s="1"/>
  <c r="F28" i="13" s="1"/>
  <c r="I29" i="13"/>
  <c r="N29" i="13"/>
  <c r="M29" i="13" s="1"/>
  <c r="E29" i="13" s="1"/>
  <c r="F29" i="13" s="1"/>
  <c r="I30" i="13"/>
  <c r="N30" i="13"/>
  <c r="M30" i="13" s="1"/>
  <c r="E30" i="13" s="1"/>
  <c r="F30" i="13" s="1"/>
  <c r="I31" i="13"/>
  <c r="N31" i="13"/>
  <c r="M31" i="13" s="1"/>
  <c r="E31" i="13" s="1"/>
  <c r="F31" i="13" s="1"/>
  <c r="I32" i="13"/>
  <c r="N32" i="13"/>
  <c r="M32" i="13" s="1"/>
  <c r="E32" i="13" s="1"/>
  <c r="F32" i="13" s="1"/>
  <c r="I37" i="13"/>
  <c r="N37" i="13"/>
  <c r="M37" i="13" s="1"/>
  <c r="E37" i="13" s="1"/>
  <c r="F37" i="13" s="1"/>
  <c r="B24" i="13"/>
  <c r="B25" i="13"/>
  <c r="B26" i="13"/>
  <c r="B27" i="13"/>
  <c r="B28" i="13"/>
  <c r="B29" i="13"/>
  <c r="B30" i="13"/>
  <c r="B31" i="13"/>
  <c r="B32" i="13"/>
  <c r="B37" i="13"/>
  <c r="I53" i="4"/>
  <c r="N53" i="4"/>
  <c r="M53" i="4" s="1"/>
  <c r="E53" i="4" s="1"/>
  <c r="F53" i="4" s="1"/>
  <c r="I54" i="4"/>
  <c r="N54" i="4"/>
  <c r="M54" i="4" s="1"/>
  <c r="E54" i="4" s="1"/>
  <c r="F54" i="4" s="1"/>
  <c r="B53" i="4"/>
  <c r="B54" i="4"/>
  <c r="E18" i="16" l="1"/>
  <c r="H10" i="12" s="1"/>
  <c r="I18" i="15"/>
  <c r="N18" i="15"/>
  <c r="M18" i="15" s="1"/>
  <c r="E18" i="15" s="1"/>
  <c r="F18" i="15" s="1"/>
  <c r="I19" i="15"/>
  <c r="N19" i="15"/>
  <c r="M19" i="15" s="1"/>
  <c r="E19" i="15" s="1"/>
  <c r="F19" i="15" s="1"/>
  <c r="I20" i="15"/>
  <c r="N20" i="15"/>
  <c r="M20" i="15" s="1"/>
  <c r="E20" i="15" s="1"/>
  <c r="F20" i="15" s="1"/>
  <c r="I21" i="15"/>
  <c r="N21" i="15"/>
  <c r="M21" i="15" s="1"/>
  <c r="E21" i="15" s="1"/>
  <c r="F21" i="15" s="1"/>
  <c r="I22" i="15"/>
  <c r="N22" i="15"/>
  <c r="M22" i="15" s="1"/>
  <c r="E22" i="15" s="1"/>
  <c r="F22" i="15" s="1"/>
  <c r="I23" i="15"/>
  <c r="N23" i="15"/>
  <c r="M23" i="15" s="1"/>
  <c r="E23" i="15" s="1"/>
  <c r="F23" i="15" s="1"/>
  <c r="I24" i="15"/>
  <c r="N24" i="15"/>
  <c r="M24" i="15" s="1"/>
  <c r="E24" i="15" s="1"/>
  <c r="F24" i="15" s="1"/>
  <c r="I25" i="15"/>
  <c r="N25" i="15"/>
  <c r="M25" i="15" s="1"/>
  <c r="E25" i="15" s="1"/>
  <c r="F25" i="15" s="1"/>
  <c r="B18" i="15"/>
  <c r="B19" i="15"/>
  <c r="B20" i="15"/>
  <c r="B21" i="15"/>
  <c r="B22" i="15"/>
  <c r="B23" i="15"/>
  <c r="B24" i="15"/>
  <c r="B25" i="15"/>
  <c r="I17" i="13"/>
  <c r="N17" i="13"/>
  <c r="M17" i="13" s="1"/>
  <c r="E17" i="13" s="1"/>
  <c r="F17" i="13" s="1"/>
  <c r="I18" i="13"/>
  <c r="N18" i="13"/>
  <c r="M18" i="13" s="1"/>
  <c r="E18" i="13" s="1"/>
  <c r="F18" i="13" s="1"/>
  <c r="I19" i="13"/>
  <c r="N19" i="13"/>
  <c r="M19" i="13" s="1"/>
  <c r="E19" i="13" s="1"/>
  <c r="F19" i="13" s="1"/>
  <c r="I20" i="13"/>
  <c r="N20" i="13"/>
  <c r="M20" i="13" s="1"/>
  <c r="E20" i="13" s="1"/>
  <c r="F20" i="13" s="1"/>
  <c r="I21" i="13"/>
  <c r="N21" i="13"/>
  <c r="M21" i="13" s="1"/>
  <c r="E21" i="13" s="1"/>
  <c r="F21" i="13" s="1"/>
  <c r="I22" i="13"/>
  <c r="N22" i="13"/>
  <c r="M22" i="13" s="1"/>
  <c r="E22" i="13" s="1"/>
  <c r="F22" i="13" s="1"/>
  <c r="I23" i="13"/>
  <c r="N23" i="13"/>
  <c r="M23" i="13" s="1"/>
  <c r="E23" i="13" s="1"/>
  <c r="F23" i="13" s="1"/>
  <c r="I38" i="13"/>
  <c r="N38" i="13"/>
  <c r="M38" i="13" s="1"/>
  <c r="E38" i="13" s="1"/>
  <c r="F38" i="13" s="1"/>
  <c r="B17" i="13"/>
  <c r="B18" i="13"/>
  <c r="B19" i="13"/>
  <c r="B20" i="13"/>
  <c r="B21" i="13"/>
  <c r="B22" i="13"/>
  <c r="B23" i="13"/>
  <c r="B38" i="13"/>
  <c r="B29" i="6"/>
  <c r="B28" i="6"/>
  <c r="B27" i="6"/>
  <c r="B26" i="6"/>
  <c r="B25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41" i="7"/>
  <c r="B40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27" i="15"/>
  <c r="B26" i="15"/>
  <c r="B17" i="15"/>
  <c r="B16" i="15"/>
  <c r="B15" i="15"/>
  <c r="B14" i="15"/>
  <c r="B13" i="15"/>
  <c r="B12" i="15"/>
  <c r="B11" i="15"/>
  <c r="B10" i="15"/>
  <c r="B9" i="15"/>
  <c r="B8" i="15"/>
  <c r="B9" i="14"/>
  <c r="B8" i="14"/>
  <c r="B39" i="13"/>
  <c r="B16" i="13"/>
  <c r="B15" i="13"/>
  <c r="B14" i="13"/>
  <c r="B13" i="13"/>
  <c r="B12" i="13"/>
  <c r="B11" i="13"/>
  <c r="B10" i="13"/>
  <c r="B9" i="13"/>
  <c r="B8" i="13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8" i="4"/>
  <c r="I39" i="13" l="1"/>
  <c r="N39" i="13"/>
  <c r="M39" i="13" s="1"/>
  <c r="E39" i="13" s="1"/>
  <c r="F39" i="13" s="1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N34" i="4"/>
  <c r="M34" i="4" s="1"/>
  <c r="E34" i="4" s="1"/>
  <c r="F34" i="4" s="1"/>
  <c r="N35" i="4"/>
  <c r="M35" i="4" s="1"/>
  <c r="E35" i="4" s="1"/>
  <c r="F35" i="4" s="1"/>
  <c r="N36" i="4"/>
  <c r="M36" i="4" s="1"/>
  <c r="E36" i="4" s="1"/>
  <c r="F36" i="4" s="1"/>
  <c r="N37" i="4"/>
  <c r="M37" i="4" s="1"/>
  <c r="E37" i="4" s="1"/>
  <c r="F37" i="4" s="1"/>
  <c r="N38" i="4"/>
  <c r="M38" i="4" s="1"/>
  <c r="E38" i="4" s="1"/>
  <c r="F38" i="4" s="1"/>
  <c r="N39" i="4"/>
  <c r="M39" i="4" s="1"/>
  <c r="E39" i="4" s="1"/>
  <c r="F39" i="4" s="1"/>
  <c r="N40" i="4"/>
  <c r="M40" i="4" s="1"/>
  <c r="E40" i="4" s="1"/>
  <c r="F40" i="4" s="1"/>
  <c r="N41" i="4"/>
  <c r="M41" i="4" s="1"/>
  <c r="E41" i="4" s="1"/>
  <c r="F41" i="4" s="1"/>
  <c r="N42" i="4"/>
  <c r="M42" i="4" s="1"/>
  <c r="E42" i="4" s="1"/>
  <c r="F42" i="4" s="1"/>
  <c r="N43" i="4"/>
  <c r="M43" i="4" s="1"/>
  <c r="E43" i="4" s="1"/>
  <c r="F43" i="4" s="1"/>
  <c r="N44" i="4"/>
  <c r="M44" i="4" s="1"/>
  <c r="E44" i="4" s="1"/>
  <c r="F44" i="4" s="1"/>
  <c r="N45" i="4"/>
  <c r="M45" i="4" s="1"/>
  <c r="E45" i="4" s="1"/>
  <c r="F45" i="4" s="1"/>
  <c r="N46" i="4"/>
  <c r="M46" i="4" s="1"/>
  <c r="E46" i="4" s="1"/>
  <c r="F46" i="4" s="1"/>
  <c r="N47" i="4"/>
  <c r="M47" i="4" s="1"/>
  <c r="E47" i="4" s="1"/>
  <c r="F47" i="4" s="1"/>
  <c r="N48" i="4"/>
  <c r="M48" i="4" s="1"/>
  <c r="E48" i="4" s="1"/>
  <c r="F48" i="4" s="1"/>
  <c r="N49" i="4"/>
  <c r="M49" i="4" s="1"/>
  <c r="E49" i="4" s="1"/>
  <c r="F49" i="4" s="1"/>
  <c r="N50" i="4"/>
  <c r="M50" i="4" s="1"/>
  <c r="E50" i="4" s="1"/>
  <c r="F50" i="4" s="1"/>
  <c r="N51" i="4"/>
  <c r="M51" i="4" s="1"/>
  <c r="E51" i="4" s="1"/>
  <c r="F51" i="4" s="1"/>
  <c r="N52" i="4"/>
  <c r="M52" i="4" s="1"/>
  <c r="E52" i="4" s="1"/>
  <c r="F52" i="4" s="1"/>
  <c r="I30" i="4" l="1"/>
  <c r="N30" i="4"/>
  <c r="M30" i="4" s="1"/>
  <c r="E30" i="4" s="1"/>
  <c r="F30" i="4" s="1"/>
  <c r="I31" i="4"/>
  <c r="N31" i="4"/>
  <c r="M31" i="4" s="1"/>
  <c r="E31" i="4" s="1"/>
  <c r="F31" i="4" s="1"/>
  <c r="I32" i="4"/>
  <c r="N32" i="4"/>
  <c r="M32" i="4" s="1"/>
  <c r="E32" i="4" s="1"/>
  <c r="F32" i="4" s="1"/>
  <c r="I33" i="4"/>
  <c r="N33" i="4"/>
  <c r="M33" i="4" s="1"/>
  <c r="E33" i="4" s="1"/>
  <c r="F33" i="4" s="1"/>
  <c r="I20" i="4" l="1"/>
  <c r="N20" i="4"/>
  <c r="M20" i="4" s="1"/>
  <c r="E20" i="4" s="1"/>
  <c r="F20" i="4" s="1"/>
  <c r="N15" i="7" l="1"/>
  <c r="I27" i="15" l="1"/>
  <c r="I26" i="15"/>
  <c r="I17" i="15"/>
  <c r="I16" i="15"/>
  <c r="I15" i="15"/>
  <c r="I14" i="15"/>
  <c r="I13" i="15"/>
  <c r="I12" i="15"/>
  <c r="I11" i="15"/>
  <c r="I10" i="15"/>
  <c r="I9" i="15"/>
  <c r="I10" i="13" l="1"/>
  <c r="N10" i="13"/>
  <c r="M10" i="13" s="1"/>
  <c r="E10" i="13" s="1"/>
  <c r="F10" i="13" s="1"/>
  <c r="I11" i="13"/>
  <c r="N11" i="13"/>
  <c r="M11" i="13" s="1"/>
  <c r="E11" i="13" s="1"/>
  <c r="F11" i="13" s="1"/>
  <c r="I12" i="13"/>
  <c r="N12" i="13"/>
  <c r="M12" i="13" s="1"/>
  <c r="E12" i="13" s="1"/>
  <c r="F12" i="13" s="1"/>
  <c r="I13" i="13"/>
  <c r="N13" i="13"/>
  <c r="M13" i="13" s="1"/>
  <c r="E13" i="13" s="1"/>
  <c r="F13" i="13" s="1"/>
  <c r="I14" i="13"/>
  <c r="N14" i="13"/>
  <c r="M14" i="13" s="1"/>
  <c r="E14" i="13" s="1"/>
  <c r="F14" i="13" s="1"/>
  <c r="I15" i="13"/>
  <c r="N15" i="13"/>
  <c r="M15" i="13" s="1"/>
  <c r="E15" i="13" s="1"/>
  <c r="F15" i="13" s="1"/>
  <c r="I16" i="13"/>
  <c r="N16" i="13"/>
  <c r="M16" i="13" s="1"/>
  <c r="E16" i="13" s="1"/>
  <c r="F16" i="13" s="1"/>
  <c r="I19" i="4"/>
  <c r="N19" i="4"/>
  <c r="M19" i="4" s="1"/>
  <c r="E19" i="4" s="1"/>
  <c r="F19" i="4" s="1"/>
  <c r="I21" i="4"/>
  <c r="N21" i="4"/>
  <c r="M21" i="4" s="1"/>
  <c r="E21" i="4" s="1"/>
  <c r="F21" i="4" s="1"/>
  <c r="I22" i="4"/>
  <c r="N22" i="4"/>
  <c r="M22" i="4" s="1"/>
  <c r="E22" i="4" s="1"/>
  <c r="F22" i="4" s="1"/>
  <c r="I23" i="4"/>
  <c r="N23" i="4"/>
  <c r="M23" i="4" s="1"/>
  <c r="E23" i="4" s="1"/>
  <c r="F23" i="4" s="1"/>
  <c r="I24" i="4"/>
  <c r="N24" i="4"/>
  <c r="M24" i="4" s="1"/>
  <c r="E24" i="4" s="1"/>
  <c r="F24" i="4" s="1"/>
  <c r="I25" i="4"/>
  <c r="N25" i="4"/>
  <c r="M25" i="4" s="1"/>
  <c r="E25" i="4" s="1"/>
  <c r="F25" i="4" s="1"/>
  <c r="I26" i="4"/>
  <c r="N26" i="4"/>
  <c r="M26" i="4" s="1"/>
  <c r="E26" i="4" s="1"/>
  <c r="F26" i="4" s="1"/>
  <c r="I27" i="4"/>
  <c r="N27" i="4"/>
  <c r="M27" i="4" s="1"/>
  <c r="E27" i="4" s="1"/>
  <c r="F27" i="4" s="1"/>
  <c r="I28" i="4"/>
  <c r="N28" i="4"/>
  <c r="M28" i="4" s="1"/>
  <c r="E28" i="4" s="1"/>
  <c r="F28" i="4" s="1"/>
  <c r="I29" i="4"/>
  <c r="N29" i="4"/>
  <c r="M29" i="4" s="1"/>
  <c r="E29" i="4" l="1"/>
  <c r="F29" i="4" s="1"/>
  <c r="G29" i="15"/>
  <c r="D29" i="15" l="1"/>
  <c r="I9" i="14"/>
  <c r="N9" i="14"/>
  <c r="M9" i="14" l="1"/>
  <c r="E9" i="14" s="1"/>
  <c r="F9" i="14" s="1"/>
  <c r="L27" i="6"/>
  <c r="K27" i="6" s="1"/>
  <c r="D27" i="6" s="1"/>
  <c r="L28" i="6"/>
  <c r="K28" i="6" s="1"/>
  <c r="D28" i="6" s="1"/>
  <c r="L29" i="6"/>
  <c r="K29" i="6" s="1"/>
  <c r="D29" i="6" s="1"/>
  <c r="D43" i="7"/>
  <c r="E11" i="16" s="1"/>
  <c r="H4" i="12" s="1"/>
  <c r="E43" i="7"/>
  <c r="D31" i="16" l="1"/>
  <c r="H18" i="12" s="1"/>
  <c r="G56" i="4"/>
  <c r="G41" i="13"/>
  <c r="D41" i="13"/>
  <c r="C59" i="4" l="1"/>
  <c r="D13" i="16"/>
  <c r="H53" i="4" l="1"/>
  <c r="J53" i="4" s="1"/>
  <c r="H54" i="4"/>
  <c r="J54" i="4" s="1"/>
  <c r="H49" i="4"/>
  <c r="J49" i="4" s="1"/>
  <c r="H35" i="4"/>
  <c r="J35" i="4" s="1"/>
  <c r="H43" i="4"/>
  <c r="J43" i="4" s="1"/>
  <c r="H50" i="4"/>
  <c r="J50" i="4" s="1"/>
  <c r="H36" i="4"/>
  <c r="J36" i="4" s="1"/>
  <c r="H44" i="4"/>
  <c r="J44" i="4" s="1"/>
  <c r="H51" i="4"/>
  <c r="J51" i="4" s="1"/>
  <c r="H37" i="4"/>
  <c r="J37" i="4" s="1"/>
  <c r="H45" i="4"/>
  <c r="J45" i="4" s="1"/>
  <c r="H52" i="4"/>
  <c r="J52" i="4" s="1"/>
  <c r="H38" i="4"/>
  <c r="J38" i="4" s="1"/>
  <c r="H46" i="4"/>
  <c r="J46" i="4" s="1"/>
  <c r="H39" i="4"/>
  <c r="J39" i="4" s="1"/>
  <c r="H47" i="4"/>
  <c r="J47" i="4" s="1"/>
  <c r="H40" i="4"/>
  <c r="J40" i="4" s="1"/>
  <c r="H48" i="4"/>
  <c r="J48" i="4" s="1"/>
  <c r="H41" i="4"/>
  <c r="J41" i="4" s="1"/>
  <c r="H34" i="4"/>
  <c r="J34" i="4" s="1"/>
  <c r="H42" i="4"/>
  <c r="J42" i="4" s="1"/>
  <c r="H20" i="4"/>
  <c r="J20" i="4" s="1"/>
  <c r="H30" i="4"/>
  <c r="J30" i="4" s="1"/>
  <c r="H31" i="4"/>
  <c r="J31" i="4" s="1"/>
  <c r="H32" i="4"/>
  <c r="J32" i="4" s="1"/>
  <c r="H33" i="4"/>
  <c r="J33" i="4" s="1"/>
  <c r="H22" i="4"/>
  <c r="J22" i="4" s="1"/>
  <c r="H27" i="4"/>
  <c r="J27" i="4" s="1"/>
  <c r="H23" i="4"/>
  <c r="J23" i="4" s="1"/>
  <c r="H28" i="4"/>
  <c r="J28" i="4" s="1"/>
  <c r="H24" i="4"/>
  <c r="J24" i="4" s="1"/>
  <c r="H29" i="4"/>
  <c r="J29" i="4" s="1"/>
  <c r="H25" i="4"/>
  <c r="J25" i="4" s="1"/>
  <c r="H19" i="4"/>
  <c r="J19" i="4" s="1"/>
  <c r="H21" i="4"/>
  <c r="J21" i="4" s="1"/>
  <c r="H26" i="4"/>
  <c r="J26" i="4" s="1"/>
  <c r="F18" i="16" l="1"/>
  <c r="F12" i="16"/>
  <c r="H9" i="12" s="1"/>
  <c r="J10" i="16"/>
  <c r="H25" i="12" s="1"/>
  <c r="F10" i="16"/>
  <c r="H7" i="12" s="1"/>
  <c r="P7" i="12" l="1"/>
  <c r="P9" i="12"/>
  <c r="N9" i="7"/>
  <c r="N10" i="7"/>
  <c r="N11" i="7"/>
  <c r="N12" i="7"/>
  <c r="N13" i="7"/>
  <c r="N14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9" i="7"/>
  <c r="N40" i="7"/>
  <c r="N41" i="7"/>
  <c r="N8" i="7"/>
  <c r="K28" i="5"/>
  <c r="N43" i="7" l="1"/>
  <c r="N8" i="14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5" i="6"/>
  <c r="K25" i="6" s="1"/>
  <c r="D25" i="6" s="1"/>
  <c r="L26" i="6"/>
  <c r="E31" i="6"/>
  <c r="M8" i="14" l="1"/>
  <c r="E8" i="14" s="1"/>
  <c r="F8" i="14" s="1"/>
  <c r="K26" i="6"/>
  <c r="D26" i="6" s="1"/>
  <c r="D56" i="4"/>
  <c r="G31" i="6" l="1"/>
  <c r="C32" i="15" l="1"/>
  <c r="C31" i="15"/>
  <c r="N27" i="15"/>
  <c r="H27" i="15"/>
  <c r="N26" i="15"/>
  <c r="N17" i="15"/>
  <c r="N16" i="15"/>
  <c r="N15" i="15"/>
  <c r="N14" i="15"/>
  <c r="N13" i="15"/>
  <c r="N12" i="15"/>
  <c r="N11" i="15"/>
  <c r="N10" i="15"/>
  <c r="N9" i="15"/>
  <c r="N8" i="15"/>
  <c r="I8" i="15"/>
  <c r="C14" i="14"/>
  <c r="H9" i="14" s="1"/>
  <c r="J9" i="14" s="1"/>
  <c r="C13" i="14"/>
  <c r="G11" i="14"/>
  <c r="D11" i="14"/>
  <c r="N9" i="13"/>
  <c r="M9" i="13" s="1"/>
  <c r="E9" i="13" s="1"/>
  <c r="F9" i="13" s="1"/>
  <c r="I9" i="13"/>
  <c r="N8" i="13"/>
  <c r="M8" i="13" s="1"/>
  <c r="E8" i="13" s="1"/>
  <c r="I8" i="13"/>
  <c r="H18" i="15" l="1"/>
  <c r="J18" i="15" s="1"/>
  <c r="H24" i="15"/>
  <c r="J24" i="15" s="1"/>
  <c r="H19" i="15"/>
  <c r="J19" i="15" s="1"/>
  <c r="H25" i="15"/>
  <c r="J25" i="15" s="1"/>
  <c r="H20" i="15"/>
  <c r="J20" i="15" s="1"/>
  <c r="H23" i="15"/>
  <c r="J23" i="15" s="1"/>
  <c r="H21" i="15"/>
  <c r="J21" i="15" s="1"/>
  <c r="H22" i="15"/>
  <c r="J22" i="15" s="1"/>
  <c r="M9" i="15"/>
  <c r="E9" i="15" s="1"/>
  <c r="F9" i="15" s="1"/>
  <c r="M12" i="15"/>
  <c r="E12" i="15" s="1"/>
  <c r="F12" i="15" s="1"/>
  <c r="M14" i="15"/>
  <c r="E14" i="15" s="1"/>
  <c r="F14" i="15" s="1"/>
  <c r="M8" i="15"/>
  <c r="E8" i="15" s="1"/>
  <c r="M13" i="15"/>
  <c r="E13" i="15" s="1"/>
  <c r="F13" i="15" s="1"/>
  <c r="M26" i="15"/>
  <c r="E26" i="15" s="1"/>
  <c r="F26" i="15" s="1"/>
  <c r="M10" i="15"/>
  <c r="E10" i="15" s="1"/>
  <c r="F10" i="15" s="1"/>
  <c r="M16" i="15"/>
  <c r="E16" i="15" s="1"/>
  <c r="F16" i="15" s="1"/>
  <c r="M27" i="15"/>
  <c r="E27" i="15" s="1"/>
  <c r="F27" i="15" s="1"/>
  <c r="J27" i="15" s="1"/>
  <c r="M11" i="15"/>
  <c r="E11" i="15" s="1"/>
  <c r="F11" i="15" s="1"/>
  <c r="M15" i="15"/>
  <c r="E15" i="15" s="1"/>
  <c r="F15" i="15" s="1"/>
  <c r="M17" i="15"/>
  <c r="E17" i="15" s="1"/>
  <c r="F17" i="15" s="1"/>
  <c r="H8" i="14"/>
  <c r="J8" i="14" s="1"/>
  <c r="F8" i="13"/>
  <c r="F41" i="13" s="1"/>
  <c r="E41" i="13"/>
  <c r="E11" i="14"/>
  <c r="H8" i="15"/>
  <c r="H12" i="15"/>
  <c r="H16" i="15"/>
  <c r="H10" i="15"/>
  <c r="H14" i="15"/>
  <c r="H13" i="15"/>
  <c r="H26" i="15"/>
  <c r="H9" i="15"/>
  <c r="H17" i="15"/>
  <c r="H11" i="15"/>
  <c r="H15" i="15"/>
  <c r="F11" i="14"/>
  <c r="I29" i="15"/>
  <c r="I11" i="14"/>
  <c r="I41" i="13"/>
  <c r="E29" i="15" l="1"/>
  <c r="F8" i="15"/>
  <c r="F29" i="15" s="1"/>
  <c r="J15" i="15"/>
  <c r="J26" i="15"/>
  <c r="J11" i="15"/>
  <c r="J10" i="15"/>
  <c r="J17" i="15"/>
  <c r="J9" i="15"/>
  <c r="J16" i="15"/>
  <c r="J14" i="15"/>
  <c r="J12" i="15"/>
  <c r="J13" i="15"/>
  <c r="J8" i="15"/>
  <c r="H29" i="15"/>
  <c r="J11" i="14"/>
  <c r="H11" i="14"/>
  <c r="J29" i="15" l="1"/>
  <c r="E20" i="11"/>
  <c r="D24" i="16"/>
  <c r="E21" i="11"/>
  <c r="D25" i="16"/>
  <c r="H14" i="12" s="1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C44" i="13"/>
  <c r="C43" i="13"/>
  <c r="H35" i="13" l="1"/>
  <c r="J35" i="13" s="1"/>
  <c r="H36" i="13"/>
  <c r="J36" i="13" s="1"/>
  <c r="H34" i="13"/>
  <c r="J34" i="13" s="1"/>
  <c r="H33" i="13"/>
  <c r="J33" i="13" s="1"/>
  <c r="H28" i="13"/>
  <c r="J28" i="13" s="1"/>
  <c r="H24" i="13"/>
  <c r="J24" i="13" s="1"/>
  <c r="H29" i="13"/>
  <c r="J29" i="13" s="1"/>
  <c r="H25" i="13"/>
  <c r="J25" i="13" s="1"/>
  <c r="H30" i="13"/>
  <c r="J30" i="13" s="1"/>
  <c r="H32" i="13"/>
  <c r="J32" i="13" s="1"/>
  <c r="H31" i="13"/>
  <c r="J31" i="13" s="1"/>
  <c r="H26" i="13"/>
  <c r="J26" i="13" s="1"/>
  <c r="H37" i="13"/>
  <c r="J37" i="13" s="1"/>
  <c r="H27" i="13"/>
  <c r="J27" i="13" s="1"/>
  <c r="H17" i="13"/>
  <c r="J17" i="13" s="1"/>
  <c r="H23" i="13"/>
  <c r="J23" i="13" s="1"/>
  <c r="H21" i="13"/>
  <c r="J21" i="13" s="1"/>
  <c r="H18" i="13"/>
  <c r="J18" i="13" s="1"/>
  <c r="H38" i="13"/>
  <c r="J38" i="13" s="1"/>
  <c r="H19" i="13"/>
  <c r="J19" i="13" s="1"/>
  <c r="H20" i="13"/>
  <c r="J20" i="13" s="1"/>
  <c r="H22" i="13"/>
  <c r="J22" i="13" s="1"/>
  <c r="H39" i="13"/>
  <c r="J39" i="13" s="1"/>
  <c r="H16" i="13"/>
  <c r="J16" i="13" s="1"/>
  <c r="H13" i="13"/>
  <c r="J13" i="13" s="1"/>
  <c r="H10" i="13"/>
  <c r="J10" i="13" s="1"/>
  <c r="H14" i="13"/>
  <c r="J14" i="13" s="1"/>
  <c r="H11" i="13"/>
  <c r="J11" i="13" s="1"/>
  <c r="H15" i="13"/>
  <c r="J15" i="13" s="1"/>
  <c r="H12" i="13"/>
  <c r="J12" i="13" s="1"/>
  <c r="H9" i="13"/>
  <c r="J9" i="13" s="1"/>
  <c r="H8" i="13"/>
  <c r="I18" i="4"/>
  <c r="N18" i="4"/>
  <c r="M18" i="4" s="1"/>
  <c r="E18" i="4" s="1"/>
  <c r="F18" i="4" s="1"/>
  <c r="H41" i="13" l="1"/>
  <c r="J8" i="13"/>
  <c r="J41" i="13" s="1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H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9" i="7"/>
  <c r="G39" i="7" s="1"/>
  <c r="F40" i="7"/>
  <c r="G40" i="7" s="1"/>
  <c r="F41" i="7"/>
  <c r="G41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9" i="7"/>
  <c r="K39" i="7"/>
  <c r="L39" i="7"/>
  <c r="Q39" i="7"/>
  <c r="J40" i="7"/>
  <c r="K40" i="7"/>
  <c r="L40" i="7"/>
  <c r="Q40" i="7"/>
  <c r="J41" i="7"/>
  <c r="K41" i="7"/>
  <c r="L41" i="7"/>
  <c r="Q41" i="7"/>
  <c r="C34" i="6" l="1"/>
  <c r="L10" i="6"/>
  <c r="K10" i="6" s="1"/>
  <c r="D10" i="6" s="1"/>
  <c r="C47" i="7"/>
  <c r="F27" i="6" l="1"/>
  <c r="H27" i="6" s="1"/>
  <c r="F29" i="6"/>
  <c r="H29" i="6" s="1"/>
  <c r="F28" i="6"/>
  <c r="H28" i="6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5" i="6"/>
  <c r="H25" i="6" s="1"/>
  <c r="F26" i="6"/>
  <c r="H26" i="6" s="1"/>
  <c r="F13" i="6"/>
  <c r="H13" i="6" s="1"/>
  <c r="F14" i="6"/>
  <c r="H14" i="6" s="1"/>
  <c r="F11" i="6"/>
  <c r="H11" i="6" s="1"/>
  <c r="F12" i="6"/>
  <c r="H12" i="6" s="1"/>
  <c r="H18" i="4"/>
  <c r="J18" i="4" s="1"/>
  <c r="H13" i="4"/>
  <c r="J13" i="4" s="1"/>
  <c r="H15" i="4"/>
  <c r="J15" i="4" s="1"/>
  <c r="H10" i="4"/>
  <c r="J10" i="4" s="1"/>
  <c r="H17" i="4"/>
  <c r="J17" i="4" s="1"/>
  <c r="H12" i="4"/>
  <c r="J12" i="4" s="1"/>
  <c r="H14" i="4"/>
  <c r="J14" i="4" s="1"/>
  <c r="H9" i="4"/>
  <c r="J9" i="4" s="1"/>
  <c r="H16" i="4"/>
  <c r="J16" i="4" s="1"/>
  <c r="H11" i="4"/>
  <c r="J11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41" i="7"/>
  <c r="M41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40" i="7"/>
  <c r="M40" i="7" s="1"/>
  <c r="I21" i="7"/>
  <c r="M21" i="7" s="1"/>
  <c r="I13" i="7"/>
  <c r="M13" i="7" s="1"/>
  <c r="I29" i="7"/>
  <c r="M29" i="7" s="1"/>
  <c r="I39" i="7"/>
  <c r="M39" i="7" s="1"/>
  <c r="P5" i="12" l="1"/>
  <c r="A12" i="12"/>
  <c r="A13" i="12"/>
  <c r="A14" i="12"/>
  <c r="A15" i="12"/>
  <c r="A16" i="12"/>
  <c r="A11" i="12"/>
  <c r="I10" i="11"/>
  <c r="P14" i="12" l="1"/>
  <c r="A30" i="12" l="1"/>
  <c r="P26" i="12"/>
  <c r="P25" i="12"/>
  <c r="P24" i="12"/>
  <c r="P13" i="12"/>
  <c r="P12" i="12"/>
  <c r="P10" i="12"/>
  <c r="P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0" i="11" l="1"/>
  <c r="E28" i="11" s="1"/>
  <c r="E12" i="11" l="1"/>
  <c r="I20" i="11"/>
  <c r="J20" i="11" s="1"/>
  <c r="I21" i="11"/>
  <c r="J21" i="11" s="1"/>
  <c r="I19" i="11"/>
  <c r="J19" i="11" s="1"/>
  <c r="P4" i="12"/>
  <c r="P6" i="12" s="1"/>
  <c r="J24" i="16"/>
  <c r="K24" i="16" s="1"/>
  <c r="E13" i="16"/>
  <c r="H6" i="12" s="1"/>
  <c r="J25" i="16"/>
  <c r="K25" i="16" s="1"/>
  <c r="F11" i="16"/>
  <c r="H8" i="12" s="1"/>
  <c r="J23" i="16"/>
  <c r="K23" i="16" s="1"/>
  <c r="P8" i="12" l="1"/>
  <c r="F13" i="16"/>
  <c r="P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43" i="7" l="1"/>
  <c r="AK29" i="2" l="1"/>
  <c r="K43" i="7" l="1"/>
  <c r="D36" i="1" l="1"/>
  <c r="D35" i="1" l="1"/>
  <c r="D34" i="1"/>
  <c r="D32" i="1"/>
  <c r="D33" i="1"/>
  <c r="L8" i="6"/>
  <c r="K8" i="6" s="1"/>
  <c r="D8" i="6" s="1"/>
  <c r="D31" i="6" s="1"/>
  <c r="N8" i="4"/>
  <c r="M8" i="4" s="1"/>
  <c r="E8" i="4" s="1"/>
  <c r="AK4" i="2"/>
  <c r="F8" i="4" l="1"/>
  <c r="E56" i="4"/>
  <c r="AK30" i="2"/>
  <c r="H8" i="4"/>
  <c r="AK5" i="1"/>
  <c r="AK4" i="1"/>
  <c r="F8" i="6"/>
  <c r="F31" i="6" s="1"/>
  <c r="AK29" i="1" l="1"/>
  <c r="H8" i="6"/>
  <c r="H43" i="7"/>
  <c r="J8" i="4"/>
  <c r="J56" i="4" s="1"/>
  <c r="D22" i="16" s="1"/>
  <c r="H11" i="12" s="1"/>
  <c r="I8" i="4"/>
  <c r="E39" i="2"/>
  <c r="E41" i="2" s="1"/>
  <c r="H46" i="7" l="1"/>
  <c r="G34" i="15"/>
  <c r="J18" i="16"/>
  <c r="H27" i="12" s="1"/>
  <c r="H22" i="12" s="1"/>
  <c r="J22" i="16"/>
  <c r="K22" i="16" s="1"/>
  <c r="I15" i="11"/>
  <c r="H31" i="6"/>
  <c r="H56" i="4"/>
  <c r="E18" i="11"/>
  <c r="M43" i="7"/>
  <c r="L43" i="7"/>
  <c r="I43" i="7"/>
  <c r="D38" i="1"/>
  <c r="D40" i="1" s="1"/>
  <c r="J43" i="7"/>
  <c r="J19" i="16" l="1"/>
  <c r="H28" i="12" s="1"/>
  <c r="E14" i="16"/>
  <c r="F14" i="16" s="1"/>
  <c r="H23" i="12" s="1"/>
  <c r="P27" i="12"/>
  <c r="P22" i="12" s="1"/>
  <c r="E22" i="11"/>
  <c r="D26" i="16"/>
  <c r="H15" i="12" s="1"/>
  <c r="E23" i="11"/>
  <c r="I23" i="11" s="1"/>
  <c r="J23" i="11" s="1"/>
  <c r="D27" i="16"/>
  <c r="H16" i="12" s="1"/>
  <c r="I18" i="11"/>
  <c r="P11" i="12"/>
  <c r="F56" i="4"/>
  <c r="I56" i="4"/>
  <c r="P28" i="12" l="1"/>
  <c r="P23" i="12"/>
  <c r="P16" i="12"/>
  <c r="J26" i="16"/>
  <c r="K26" i="16" s="1"/>
  <c r="P15" i="12"/>
  <c r="I22" i="11"/>
  <c r="J22" i="11" s="1"/>
  <c r="J27" i="16"/>
  <c r="D30" i="16"/>
  <c r="H17" i="12" s="1"/>
  <c r="E26" i="11"/>
  <c r="J18" i="11"/>
  <c r="C58" i="4"/>
  <c r="C46" i="7" s="1"/>
  <c r="C33" i="6" s="1"/>
  <c r="H20" i="12" l="1"/>
  <c r="H19" i="12"/>
  <c r="H21" i="12" s="1"/>
  <c r="J24" i="11"/>
  <c r="I24" i="11"/>
  <c r="J30" i="16"/>
  <c r="H29" i="12" s="1"/>
  <c r="D33" i="16"/>
  <c r="B35" i="16"/>
  <c r="K27" i="16"/>
  <c r="K28" i="16" s="1"/>
  <c r="J28" i="16"/>
  <c r="B31" i="11"/>
  <c r="I26" i="11"/>
  <c r="E30" i="11"/>
  <c r="P29" i="12" l="1"/>
  <c r="I27" i="16"/>
  <c r="J31" i="16"/>
  <c r="H30" i="12" s="1"/>
  <c r="I24" i="16"/>
  <c r="I26" i="16"/>
  <c r="I25" i="16"/>
  <c r="I22" i="16"/>
  <c r="I23" i="16"/>
  <c r="I27" i="11"/>
  <c r="P17" i="12"/>
  <c r="P20" i="12" s="1"/>
  <c r="H18" i="11"/>
  <c r="H19" i="11"/>
  <c r="H23" i="11"/>
  <c r="H21" i="11"/>
  <c r="H20" i="11"/>
  <c r="H22" i="11"/>
  <c r="P30" i="12" l="1"/>
  <c r="I28" i="16"/>
  <c r="P19" i="12"/>
  <c r="P21" i="12" s="1"/>
  <c r="H24" i="11"/>
</calcChain>
</file>

<file path=xl/sharedStrings.xml><?xml version="1.0" encoding="utf-8"?>
<sst xmlns="http://schemas.openxmlformats.org/spreadsheetml/2006/main" count="1132" uniqueCount="398">
  <si>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</si>
  <si>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</si>
  <si>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</si>
  <si>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</si>
  <si>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</si>
  <si>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</si>
  <si>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</si>
  <si>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</si>
  <si>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</si>
  <si>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</si>
  <si>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</si>
  <si>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</si>
  <si>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</si>
  <si>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</si>
  <si>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</si>
  <si>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</si>
  <si>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</si>
  <si>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</si>
  <si>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</si>
  <si>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</si>
  <si>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</si>
  <si>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</si>
  <si>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</si>
  <si>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</si>
  <si>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</si>
  <si>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</si>
  <si>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</si>
  <si>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</si>
  <si>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</si>
  <si>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</si>
  <si>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</si>
  <si>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</si>
  <si>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</si>
  <si>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</si>
  <si>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</si>
  <si>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</si>
  <si>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</si>
  <si>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</si>
  <si>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</si>
  <si>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</si>
  <si>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</si>
  <si>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</si>
  <si>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</si>
  <si>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</si>
  <si>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</si>
  <si>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</si>
  <si>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</si>
  <si>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</si>
  <si>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</si>
  <si>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</si>
  <si>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</si>
  <si>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</si>
  <si>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</si>
  <si>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</si>
  <si>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</si>
  <si>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</si>
  <si>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</si>
  <si>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</si>
  <si>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</si>
  <si>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</si>
  <si>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</si>
  <si>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</si>
  <si>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</si>
  <si>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</si>
  <si>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</si>
  <si>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</si>
  <si>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</si>
  <si>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</si>
  <si>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</si>
  <si>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</si>
  <si>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</si>
  <si>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</si>
  <si>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</si>
  <si>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</si>
  <si>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</si>
  <si>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</si>
  <si>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</si>
  <si>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</si>
  <si>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</si>
  <si>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</si>
  <si>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</si>
  <si>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</si>
  <si>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</si>
  <si>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</si>
  <si>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</si>
  <si>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</si>
  <si>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</si>
  <si>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</si>
  <si>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</si>
  <si>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</si>
  <si>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</si>
  <si>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</si>
  <si>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</si>
  <si>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</si>
  <si>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</si>
  <si>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</si>
  <si>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</si>
  <si>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</si>
  <si>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</si>
  <si>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</si>
  <si>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</si>
  <si>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</si>
  <si>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</si>
  <si>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</si>
  <si>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</si>
  <si>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</si>
  <si>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</si>
  <si>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</si>
  <si>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</si>
  <si>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</si>
  <si>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</si>
  <si>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</si>
  <si>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</si>
  <si>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</si>
  <si>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</si>
  <si>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</si>
  <si>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</si>
  <si>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</si>
  <si>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</si>
  <si>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</si>
  <si>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</si>
  <si>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</si>
  <si>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</si>
  <si>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</si>
  <si>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</si>
  <si>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</si>
  <si>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</si>
  <si>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</si>
  <si>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</si>
  <si>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</si>
  <si>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</si>
  <si>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</si>
  <si>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</si>
  <si>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</si>
  <si>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</si>
  <si>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</si>
  <si>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</si>
  <si>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</si>
  <si>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</si>
  <si>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</si>
  <si>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</si>
  <si>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</si>
  <si>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</si>
  <si>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</si>
  <si>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</si>
  <si>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</si>
  <si>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</si>
  <si>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</si>
  <si>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</si>
  <si>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</si>
  <si>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</si>
  <si>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</si>
  <si>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</si>
  <si>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</si>
  <si>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</si>
  <si>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</si>
  <si>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</si>
  <si>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</si>
  <si>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</si>
  <si>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</si>
  <si>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</si>
  <si>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</si>
  <si>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</si>
  <si>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</si>
  <si>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</si>
  <si>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</si>
  <si>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</si>
  <si>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</si>
  <si>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</si>
  <si>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</si>
  <si>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</si>
  <si>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</si>
  <si>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</si>
  <si>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</si>
  <si>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</si>
  <si>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</si>
  <si>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</si>
  <si>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</si>
  <si>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</si>
  <si>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</si>
  <si>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</si>
  <si>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</si>
  <si>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</si>
  <si>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</si>
  <si>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</si>
  <si>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</si>
  <si>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</si>
  <si>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</si>
  <si>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</si>
  <si>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</si>
  <si>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</si>
  <si>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</si>
  <si>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</si>
  <si>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</si>
  <si>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</si>
  <si>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</si>
  <si>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</si>
  <si>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</si>
  <si>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</si>
  <si>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</si>
  <si>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</si>
  <si>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</si>
  <si>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</si>
  <si>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</si>
  <si>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</si>
  <si>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</si>
  <si>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</si>
  <si>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</si>
  <si>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</si>
  <si>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</si>
  <si>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</si>
  <si>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</si>
  <si>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</si>
  <si>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</si>
  <si>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</si>
  <si>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</si>
  <si>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</si>
  <si>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</si>
  <si>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</si>
  <si>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</si>
  <si>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</si>
  <si>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</si>
  <si>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</si>
  <si>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</si>
  <si>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</si>
  <si>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</si>
  <si>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</si>
  <si>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</si>
  <si>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</si>
  <si>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</si>
  <si>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</si>
  <si>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</si>
  <si>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</si>
  <si>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</si>
  <si>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</si>
  <si>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</si>
  <si>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</si>
  <si>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</si>
  <si>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</si>
  <si>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</si>
  <si>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</si>
  <si>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</si>
  <si>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</si>
  <si>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</si>
  <si>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</si>
  <si>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</si>
  <si>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</si>
  <si>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</si>
  <si>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</si>
  <si>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</si>
  <si>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</si>
  <si>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</si>
  <si>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</si>
  <si>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</si>
  <si>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</si>
  <si>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</si>
  <si>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</si>
  <si>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</si>
  <si>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</si>
  <si>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</si>
  <si>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</si>
  <si>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</si>
  <si>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</si>
  <si>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</si>
  <si>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</si>
  <si>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</si>
  <si>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</si>
  <si>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</si>
  <si>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</si>
  <si>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</si>
  <si>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</si>
  <si>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</si>
  <si>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</si>
  <si>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</si>
  <si>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</si>
  <si>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</si>
  <si>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</si>
  <si>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</si>
  <si>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</si>
  <si>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</si>
  <si>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</si>
  <si>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</si>
  <si>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</si>
  <si>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</si>
  <si>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</si>
  <si>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</si>
  <si>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</si>
  <si>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</si>
  <si>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</si>
  <si>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</si>
  <si>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</si>
  <si>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</si>
  <si>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</si>
  <si>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</si>
  <si>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</si>
  <si>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</si>
  <si>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</si>
  <si>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</si>
  <si>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</si>
  <si>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</si>
  <si>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</si>
  <si>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</si>
  <si>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</si>
  <si>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</si>
  <si>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</si>
  <si>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</si>
  <si>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</si>
  <si>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</si>
  <si>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</si>
  <si>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</si>
  <si>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</si>
  <si>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</si>
  <si>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</si>
  <si>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</si>
  <si>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</si>
  <si>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</si>
  <si>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</si>
  <si>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</si>
  <si>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</si>
  <si>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</si>
  <si>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</si>
  <si>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</si>
  <si>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</si>
  <si>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</si>
  <si>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</si>
  <si>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</si>
  <si>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</si>
  <si>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</si>
  <si>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>NOTE</t>
  </si>
  <si>
    <t>KOMATSU PC 300 - 07</t>
  </si>
  <si>
    <t>KOBELCO SK 330 - 12</t>
  </si>
  <si>
    <t>WELDER CAR</t>
  </si>
  <si>
    <t>ADT HM 400 (bcm/hour)</t>
  </si>
  <si>
    <t>PRODUCTION hauler</t>
  </si>
  <si>
    <t>KOMATSU PC 200 - 21</t>
  </si>
  <si>
    <t>LV HILUX SILVER - 20</t>
  </si>
  <si>
    <t>KOMATSU PC 200 - 04</t>
  </si>
  <si>
    <t>LV HLUX SILVER - 07</t>
  </si>
  <si>
    <t>LV TRITON PUTIH - 28</t>
  </si>
  <si>
    <t>WELDER CAMP</t>
  </si>
  <si>
    <t>KOMATSU PC 400 - 02</t>
  </si>
  <si>
    <t>KOMATSU PC 300 - 02</t>
  </si>
  <si>
    <t>LOADER - 02</t>
  </si>
  <si>
    <t>FUEL RATIO MENINGKAT DIKARENAKAN PRODUKSI ORE YANG MENURUN</t>
  </si>
  <si>
    <t>KARENA KURANG NYA KEGIATAN SEHINGGA KONSUMSI FUEL MENJADI KURANG</t>
  </si>
  <si>
    <t>GRADER GD535 - 02</t>
  </si>
  <si>
    <t>HONGYAN/12</t>
  </si>
  <si>
    <t>KOMATSU DOZER D85SS - 10</t>
  </si>
  <si>
    <t>KOMATSU PC 200 - 20</t>
  </si>
  <si>
    <t>KOMATSU PC 200 - 24</t>
  </si>
  <si>
    <t>LV LC-HIJAU - 22</t>
  </si>
  <si>
    <t>KOBELCO SK 200 - 17</t>
  </si>
  <si>
    <t>KONDISI MEDAN YANG CUKUP BAIK, SEHINGGA KURANG NYA PENGGUNAAN QUARRY UNTUK MAINTENANCE JALAN</t>
  </si>
  <si>
    <t>ADANYA PENGURANGAN UNIT, DAN PENGALIHAN STOCKPILE DARI KM 7 KE PIT, SEHINGGA PERLU PENYESUAIAN METODE KERJA</t>
  </si>
  <si>
    <t>GRADER GD535 - 10</t>
  </si>
  <si>
    <t>SAKAI - 06</t>
  </si>
  <si>
    <t>GENSET CAMP</t>
  </si>
  <si>
    <t>SUMMARY KBM        BLOK C &amp; D</t>
  </si>
  <si>
    <t>last year (2023)</t>
  </si>
  <si>
    <t>TOTAL 2024</t>
  </si>
  <si>
    <t>WATER TRUCK - 02</t>
  </si>
  <si>
    <t>HONGYANG 501</t>
  </si>
  <si>
    <t>HONGYANG 502</t>
  </si>
  <si>
    <t>HONGYANG 503</t>
  </si>
  <si>
    <t>HONGYANG 504</t>
  </si>
  <si>
    <t>HONGYANG 505</t>
  </si>
  <si>
    <t>HONGYANG 506</t>
  </si>
  <si>
    <t>HONGYANG 507</t>
  </si>
  <si>
    <t>HONGYANG 508</t>
  </si>
  <si>
    <t>HONGYANG 509</t>
  </si>
  <si>
    <t>HONGYANG 510</t>
  </si>
  <si>
    <t>HONGYANG 511</t>
  </si>
  <si>
    <t>HONGYANG 513</t>
  </si>
  <si>
    <t>HONGYANG 514</t>
  </si>
  <si>
    <t>HONGYANG 517</t>
  </si>
  <si>
    <t>HONGYANG 518</t>
  </si>
  <si>
    <t>HONGYANG 519</t>
  </si>
  <si>
    <t>HONGYANG 520</t>
  </si>
  <si>
    <t>HONGYANG 521</t>
  </si>
  <si>
    <t>HONGYANG 522</t>
  </si>
  <si>
    <t>HONGYANG 523</t>
  </si>
  <si>
    <t>HONGYANG 524</t>
  </si>
  <si>
    <t>HONGYANG 525</t>
  </si>
  <si>
    <t>HONGYANG 526</t>
  </si>
  <si>
    <t>HONGYANG 527</t>
  </si>
  <si>
    <t>HONGYANG 528</t>
  </si>
  <si>
    <t>HONGYANG 529</t>
  </si>
  <si>
    <t>HONGYANG 530</t>
  </si>
  <si>
    <t>HONGYANG 531</t>
  </si>
  <si>
    <t>HONGYANG 532</t>
  </si>
  <si>
    <t>HONGYANG 533</t>
  </si>
  <si>
    <t>HONGYANG 534</t>
  </si>
  <si>
    <t>HONGYANG 535</t>
  </si>
  <si>
    <r>
      <rPr>
        <b/>
        <sz val="26"/>
        <color theme="5"/>
        <rFont val="Century Gothic"/>
        <family val="2"/>
      </rPr>
      <t>MINING COST</t>
    </r>
    <r>
      <rPr>
        <b/>
        <sz val="26"/>
        <color theme="9" tint="-0.249977111117893"/>
        <rFont val="Century Gothic"/>
        <family val="2"/>
      </rPr>
      <t xml:space="preserve"> </t>
    </r>
    <r>
      <rPr>
        <b/>
        <sz val="26"/>
        <color theme="0"/>
        <rFont val="Century Gothic"/>
        <family val="2"/>
      </rPr>
      <t>(MEI)</t>
    </r>
  </si>
  <si>
    <t>MEI 2024</t>
  </si>
  <si>
    <t>HONGYANG 500</t>
  </si>
  <si>
    <t>HONGYANG 512</t>
  </si>
  <si>
    <t>6 hari tidak operasi dikarenakan belum adanya kesiapan material yang dapat dimuat (grade sesuai kontrak)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</si>
</sst>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b/>
      <sz val="26"/>
      <color theme="9" tint="-0.249977111117893"/>
      <name val="Century Gothic"/>
      <family val="2"/>
    </font>
    <font>
      <b/>
      <sz val="26"/>
      <color theme="5"/>
      <name val="Century Gothic"/>
      <family val="2"/>
    </font>
    <font>
      <b/>
      <sz val="26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i/>
      <sz val="11"/>
      <color theme="0"/>
      <name val="Century Gothic"/>
      <family val="2"/>
    </font>
    <font>
      <b/>
      <u val="singleAccounting"/>
      <sz val="11"/>
      <color theme="0"/>
      <name val="Century Gothic"/>
      <family val="2"/>
    </font>
    <font>
      <b/>
      <i/>
      <sz val="12"/>
      <color theme="0"/>
      <name val="Century Gothic"/>
      <family val="2"/>
    </font>
    <font>
      <b/>
      <sz val="11"/>
      <color rgb="FFFFFF00"/>
      <name val="Century Gothic"/>
      <family val="2"/>
    </font>
    <font>
      <b/>
      <sz val="11"/>
      <color theme="9"/>
      <name val="Century Gothic"/>
      <family val="2"/>
    </font>
    <font>
      <b/>
      <sz val="14"/>
      <color rgb="FFFFFF00"/>
      <name val="Century Gothic"/>
      <family val="2"/>
    </font>
    <font>
      <b/>
      <sz val="14"/>
      <color theme="0"/>
      <name val="Century Gothic"/>
      <family val="2"/>
    </font>
    <font>
      <b/>
      <sz val="14"/>
      <color rgb="FF00B0F0"/>
      <name val="Century Gothic"/>
      <family val="2"/>
    </font>
    <font>
      <b/>
      <sz val="11"/>
      <color rgb="FF00B0F0"/>
      <name val="Century Gothic"/>
      <family val="2"/>
    </font>
    <font>
      <b/>
      <i/>
      <sz val="16"/>
      <color theme="0"/>
      <name val="Century Gothic"/>
      <family val="2"/>
    </font>
    <font>
      <b/>
      <sz val="28"/>
      <color rgb="FFFF0000"/>
      <name val="Century Gothic"/>
      <family val="2"/>
    </font>
    <font>
      <b/>
      <i/>
      <sz val="20"/>
      <color rgb="FFFFFF00"/>
      <name val="Century Gothic"/>
      <family val="2"/>
    </font>
    <font>
      <sz val="11"/>
      <color theme="0"/>
      <name val="Century Gothic"/>
      <family val="2"/>
    </font>
    <font>
      <b/>
      <i/>
      <sz val="10"/>
      <color theme="0"/>
      <name val="Century Gothic"/>
      <family val="2"/>
    </font>
    <font>
      <i/>
      <sz val="10"/>
      <color rgb="FF00B0F0"/>
      <name val="Century Gothic"/>
      <family val="2"/>
    </font>
    <font>
      <sz val="10"/>
      <color rgb="FF00B0F0"/>
      <name val="Century Gothic"/>
      <family val="2"/>
    </font>
    <font>
      <b/>
      <u val="singleAccounting"/>
      <sz val="11"/>
      <color rgb="FFFFFF00"/>
      <name val="Century Gothic"/>
      <family val="2"/>
    </font>
    <font>
      <sz val="11"/>
      <color rgb="FFFFFF0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9" fontId="47" fillId="16" borderId="0" xfId="3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0" fontId="57" fillId="0" borderId="0" xfId="0" applyFont="1" applyAlignment="1">
      <alignment vertical="center"/>
    </xf>
    <xf numFmtId="0" fontId="58" fillId="5" borderId="0" xfId="0" applyFont="1" applyFill="1" applyAlignment="1">
      <alignment vertical="center"/>
    </xf>
    <xf numFmtId="0" fontId="59" fillId="5" borderId="0" xfId="0" applyFont="1" applyFill="1" applyAlignment="1">
      <alignment vertical="center"/>
    </xf>
    <xf numFmtId="0" fontId="58" fillId="5" borderId="3" xfId="0" applyFont="1" applyFill="1" applyBorder="1" applyAlignment="1">
      <alignment horizontal="center" vertical="center"/>
    </xf>
    <xf numFmtId="0" fontId="58" fillId="5" borderId="0" xfId="0" applyFont="1" applyFill="1" applyAlignment="1">
      <alignment horizontal="center" vertical="center"/>
    </xf>
    <xf numFmtId="0" fontId="59" fillId="5" borderId="0" xfId="0" applyFont="1" applyFill="1" applyAlignment="1">
      <alignment horizontal="right" vertical="center"/>
    </xf>
    <xf numFmtId="0" fontId="58" fillId="5" borderId="0" xfId="0" applyFont="1" applyFill="1" applyAlignment="1">
      <alignment horizontal="right" vertical="center"/>
    </xf>
    <xf numFmtId="9" fontId="59" fillId="5" borderId="0" xfId="0" applyNumberFormat="1" applyFont="1" applyFill="1" applyAlignment="1">
      <alignment vertical="center"/>
    </xf>
    <xf numFmtId="9" fontId="59" fillId="5" borderId="0" xfId="0" applyNumberFormat="1" applyFont="1" applyFill="1" applyAlignment="1">
      <alignment horizontal="right" vertical="center"/>
    </xf>
    <xf numFmtId="0" fontId="60" fillId="5" borderId="0" xfId="0" applyFont="1" applyFill="1" applyAlignment="1">
      <alignment horizontal="left" vertical="center"/>
    </xf>
    <xf numFmtId="43" fontId="59" fillId="5" borderId="0" xfId="1" applyFont="1" applyFill="1" applyBorder="1" applyAlignment="1">
      <alignment vertical="center"/>
    </xf>
    <xf numFmtId="43" fontId="57" fillId="0" borderId="0" xfId="0" applyNumberFormat="1" applyFont="1" applyAlignment="1">
      <alignment vertical="center"/>
    </xf>
    <xf numFmtId="0" fontId="58" fillId="5" borderId="3" xfId="0" applyFont="1" applyFill="1" applyBorder="1" applyAlignment="1">
      <alignment horizontal="right" vertical="center"/>
    </xf>
    <xf numFmtId="171" fontId="59" fillId="5" borderId="0" xfId="1" applyNumberFormat="1" applyFont="1" applyFill="1" applyBorder="1" applyAlignment="1">
      <alignment vertical="center"/>
    </xf>
    <xf numFmtId="10" fontId="57" fillId="0" borderId="0" xfId="0" applyNumberFormat="1" applyFont="1" applyAlignment="1">
      <alignment vertical="center"/>
    </xf>
    <xf numFmtId="0" fontId="59" fillId="5" borderId="0" xfId="0" applyFont="1" applyFill="1" applyAlignment="1">
      <alignment horizontal="center" vertical="center"/>
    </xf>
    <xf numFmtId="4" fontId="61" fillId="5" borderId="0" xfId="0" applyNumberFormat="1" applyFont="1" applyFill="1" applyAlignment="1">
      <alignment horizontal="right" vertical="center"/>
    </xf>
    <xf numFmtId="169" fontId="58" fillId="5" borderId="0" xfId="2" applyNumberFormat="1" applyFont="1" applyFill="1" applyBorder="1" applyAlignment="1">
      <alignment horizontal="center" vertical="center"/>
    </xf>
    <xf numFmtId="169" fontId="62" fillId="5" borderId="0" xfId="0" applyNumberFormat="1" applyFont="1" applyFill="1" applyAlignment="1">
      <alignment horizontal="right" vertical="center"/>
    </xf>
    <xf numFmtId="0" fontId="63" fillId="5" borderId="0" xfId="0" applyFont="1" applyFill="1" applyAlignment="1">
      <alignment vertical="center"/>
    </xf>
    <xf numFmtId="4" fontId="63" fillId="5" borderId="0" xfId="0" applyNumberFormat="1" applyFont="1" applyFill="1" applyAlignment="1">
      <alignment horizontal="right" vertical="center"/>
    </xf>
    <xf numFmtId="169" fontId="64" fillId="5" borderId="0" xfId="2" applyNumberFormat="1" applyFont="1" applyFill="1" applyBorder="1" applyAlignment="1">
      <alignment horizontal="center" vertical="center"/>
    </xf>
    <xf numFmtId="166" fontId="65" fillId="5" borderId="0" xfId="1" applyNumberFormat="1" applyFont="1" applyFill="1" applyBorder="1" applyAlignment="1">
      <alignment horizontal="left" vertical="center"/>
    </xf>
    <xf numFmtId="0" fontId="66" fillId="5" borderId="0" xfId="0" applyFont="1" applyFill="1" applyAlignment="1">
      <alignment vertical="center"/>
    </xf>
    <xf numFmtId="0" fontId="64" fillId="5" borderId="0" xfId="0" applyFont="1" applyFill="1" applyAlignment="1">
      <alignment horizontal="right" vertical="center"/>
    </xf>
    <xf numFmtId="0" fontId="64" fillId="5" borderId="0" xfId="0" applyFont="1" applyFill="1" applyAlignment="1">
      <alignment vertical="center"/>
    </xf>
    <xf numFmtId="0" fontId="67" fillId="5" borderId="0" xfId="0" applyFont="1" applyFill="1" applyAlignment="1">
      <alignment vertical="center"/>
    </xf>
    <xf numFmtId="0" fontId="68" fillId="5" borderId="0" xfId="0" applyFont="1" applyFill="1" applyAlignment="1">
      <alignment horizontal="right" vertical="center"/>
    </xf>
    <xf numFmtId="169" fontId="67" fillId="5" borderId="0" xfId="2" applyNumberFormat="1" applyFont="1" applyFill="1" applyBorder="1" applyAlignment="1">
      <alignment horizontal="right" vertical="center"/>
    </xf>
    <xf numFmtId="43" fontId="72" fillId="5" borderId="4" xfId="1" applyFont="1" applyFill="1" applyBorder="1" applyAlignment="1">
      <alignment vertical="center"/>
    </xf>
    <xf numFmtId="43" fontId="58" fillId="5" borderId="5" xfId="1" applyFont="1" applyFill="1" applyBorder="1" applyAlignment="1">
      <alignment vertical="center"/>
    </xf>
    <xf numFmtId="10" fontId="58" fillId="5" borderId="4" xfId="3" applyNumberFormat="1" applyFont="1" applyFill="1" applyBorder="1" applyAlignment="1">
      <alignment vertical="center"/>
    </xf>
    <xf numFmtId="43" fontId="72" fillId="5" borderId="3" xfId="1" applyFont="1" applyFill="1" applyBorder="1" applyAlignment="1">
      <alignment vertical="center"/>
    </xf>
    <xf numFmtId="43" fontId="58" fillId="5" borderId="0" xfId="1" applyFont="1" applyFill="1" applyBorder="1" applyAlignment="1">
      <alignment vertical="center"/>
    </xf>
    <xf numFmtId="10" fontId="58" fillId="5" borderId="3" xfId="3" applyNumberFormat="1" applyFont="1" applyFill="1" applyBorder="1" applyAlignment="1">
      <alignment vertical="center"/>
    </xf>
    <xf numFmtId="9" fontId="58" fillId="5" borderId="0" xfId="0" applyNumberFormat="1" applyFont="1" applyFill="1" applyAlignment="1">
      <alignment vertical="center"/>
    </xf>
    <xf numFmtId="9" fontId="58" fillId="5" borderId="0" xfId="0" applyNumberFormat="1" applyFont="1" applyFill="1" applyAlignment="1">
      <alignment horizontal="right" vertical="center"/>
    </xf>
    <xf numFmtId="165" fontId="58" fillId="5" borderId="0" xfId="2" applyFont="1" applyFill="1" applyBorder="1" applyAlignment="1">
      <alignment horizontal="right" vertical="center"/>
    </xf>
    <xf numFmtId="0" fontId="73" fillId="5" borderId="0" xfId="0" applyFont="1" applyFill="1" applyAlignment="1">
      <alignment horizontal="left" vertical="center"/>
    </xf>
    <xf numFmtId="0" fontId="72" fillId="5" borderId="0" xfId="0" applyFont="1" applyFill="1" applyAlignment="1">
      <alignment vertical="center"/>
    </xf>
    <xf numFmtId="171" fontId="72" fillId="5" borderId="0" xfId="1" applyNumberFormat="1" applyFont="1" applyFill="1" applyBorder="1" applyAlignment="1">
      <alignment vertical="center"/>
    </xf>
    <xf numFmtId="10" fontId="58" fillId="5" borderId="0" xfId="3" applyNumberFormat="1" applyFont="1" applyFill="1" applyBorder="1" applyAlignment="1">
      <alignment vertical="center"/>
    </xf>
    <xf numFmtId="0" fontId="58" fillId="5" borderId="3" xfId="0" applyFont="1" applyFill="1" applyBorder="1" applyAlignment="1">
      <alignment horizontal="left" vertical="center"/>
    </xf>
    <xf numFmtId="4" fontId="58" fillId="5" borderId="3" xfId="0" applyNumberFormat="1" applyFont="1" applyFill="1" applyBorder="1" applyAlignment="1">
      <alignment vertical="center"/>
    </xf>
    <xf numFmtId="43" fontId="72" fillId="5" borderId="3" xfId="0" applyNumberFormat="1" applyFont="1" applyFill="1" applyBorder="1" applyAlignment="1">
      <alignment vertical="center"/>
    </xf>
    <xf numFmtId="43" fontId="76" fillId="5" borderId="0" xfId="1" applyFont="1" applyFill="1" applyBorder="1" applyAlignment="1">
      <alignment vertical="center"/>
    </xf>
    <xf numFmtId="43" fontId="63" fillId="5" borderId="0" xfId="1" applyFont="1" applyFill="1" applyBorder="1" applyAlignment="1">
      <alignment horizontal="center" vertical="center"/>
    </xf>
    <xf numFmtId="0" fontId="61" fillId="5" borderId="0" xfId="1" applyNumberFormat="1" applyFont="1" applyFill="1" applyBorder="1" applyAlignment="1">
      <alignment horizontal="left" vertical="center"/>
    </xf>
    <xf numFmtId="43" fontId="63" fillId="5" borderId="0" xfId="1" applyFont="1" applyFill="1" applyBorder="1" applyAlignment="1">
      <alignment vertical="center"/>
    </xf>
    <xf numFmtId="10" fontId="58" fillId="5" borderId="0" xfId="3" applyNumberFormat="1" applyFont="1" applyFill="1" applyBorder="1" applyAlignment="1">
      <alignment horizontal="right" vertical="center"/>
    </xf>
    <xf numFmtId="165" fontId="58" fillId="5" borderId="0" xfId="2" applyFont="1" applyFill="1" applyBorder="1" applyAlignment="1">
      <alignment horizontal="left" vertical="center"/>
    </xf>
    <xf numFmtId="4" fontId="63" fillId="5" borderId="0" xfId="1" applyNumberFormat="1" applyFont="1" applyFill="1" applyBorder="1" applyAlignment="1">
      <alignment horizontal="right" vertical="center"/>
    </xf>
    <xf numFmtId="0" fontId="58" fillId="5" borderId="0" xfId="0" applyFont="1" applyFill="1" applyAlignment="1">
      <alignment horizontal="left" vertical="center"/>
    </xf>
    <xf numFmtId="10" fontId="60" fillId="5" borderId="0" xfId="0" applyNumberFormat="1" applyFont="1" applyFill="1" applyAlignment="1">
      <alignment horizontal="right" vertical="center"/>
    </xf>
    <xf numFmtId="165" fontId="60" fillId="5" borderId="0" xfId="2" applyFont="1" applyFill="1" applyBorder="1" applyAlignment="1">
      <alignment horizontal="right" vertical="center"/>
    </xf>
    <xf numFmtId="169" fontId="60" fillId="5" borderId="0" xfId="0" applyNumberFormat="1" applyFont="1" applyFill="1" applyAlignment="1">
      <alignment horizontal="right" vertical="center"/>
    </xf>
    <xf numFmtId="165" fontId="64" fillId="5" borderId="0" xfId="2" applyFont="1" applyFill="1" applyBorder="1" applyAlignment="1">
      <alignment horizontal="left" vertical="center"/>
    </xf>
    <xf numFmtId="166" fontId="63" fillId="5" borderId="0" xfId="1" applyNumberFormat="1" applyFont="1" applyFill="1" applyBorder="1" applyAlignment="1">
      <alignment horizontal="left" vertical="center"/>
    </xf>
    <xf numFmtId="0" fontId="68" fillId="5" borderId="0" xfId="0" applyFont="1" applyFill="1" applyAlignment="1">
      <alignment vertical="center"/>
    </xf>
    <xf numFmtId="165" fontId="77" fillId="5" borderId="0" xfId="2" applyFont="1" applyFill="1" applyBorder="1" applyAlignment="1">
      <alignment horizontal="center" vertical="center"/>
    </xf>
    <xf numFmtId="0" fontId="54" fillId="6" borderId="0" xfId="0" applyFont="1" applyFill="1" applyAlignment="1">
      <alignment horizontal="center" vertical="center"/>
    </xf>
    <xf numFmtId="0" fontId="66" fillId="17" borderId="0" xfId="0" applyFont="1" applyFill="1" applyAlignment="1">
      <alignment horizontal="center" vertical="center" wrapText="1"/>
    </xf>
    <xf numFmtId="172" fontId="66" fillId="17" borderId="0" xfId="0" quotePrefix="1" applyNumberFormat="1" applyFont="1" applyFill="1" applyAlignment="1">
      <alignment horizontal="center" vertical="center"/>
    </xf>
    <xf numFmtId="0" fontId="71" fillId="5" borderId="0" xfId="0" applyFont="1" applyFill="1" applyAlignment="1">
      <alignment horizontal="left" vertical="center"/>
    </xf>
    <xf numFmtId="0" fontId="58" fillId="5" borderId="0" xfId="0" applyFont="1" applyFill="1" applyAlignment="1">
      <alignment horizontal="center" vertical="center"/>
    </xf>
    <xf numFmtId="0" fontId="74" fillId="5" borderId="0" xfId="0" applyFont="1" applyFill="1" applyAlignment="1">
      <alignment horizontal="center" vertical="center" wrapText="1"/>
    </xf>
    <xf numFmtId="0" fontId="75" fillId="5" borderId="0" xfId="0" applyFont="1" applyFill="1" applyAlignment="1">
      <alignment horizontal="center" vertical="center" wrapText="1"/>
    </xf>
    <xf numFmtId="0" fontId="70" fillId="5" borderId="0" xfId="0" applyFont="1" applyFill="1" applyAlignment="1">
      <alignment horizontal="center" vertical="center"/>
    </xf>
    <xf numFmtId="165" fontId="64" fillId="5" borderId="0" xfId="2" applyFont="1" applyFill="1" applyBorder="1" applyAlignment="1">
      <alignment horizontal="center" vertical="center"/>
    </xf>
    <xf numFmtId="165" fontId="63" fillId="5" borderId="0" xfId="2" applyFont="1" applyFill="1" applyAlignment="1">
      <alignment horizontal="center" vertical="center"/>
    </xf>
    <xf numFmtId="169" fontId="64" fillId="5" borderId="0" xfId="2" applyNumberFormat="1" applyFont="1" applyFill="1" applyBorder="1" applyAlignment="1">
      <alignment horizontal="center" vertical="center"/>
    </xf>
    <xf numFmtId="165" fontId="65" fillId="5" borderId="0" xfId="2" applyFont="1" applyFill="1" applyAlignment="1">
      <alignment horizontal="center" vertical="center"/>
    </xf>
    <xf numFmtId="165" fontId="68" fillId="5" borderId="0" xfId="2" applyFont="1" applyFill="1" applyBorder="1" applyAlignment="1">
      <alignment horizontal="center" vertical="center"/>
    </xf>
    <xf numFmtId="0" fontId="69" fillId="5" borderId="0" xfId="0" applyFont="1" applyFill="1" applyAlignment="1">
      <alignment horizontal="center" vertical="center"/>
    </xf>
    <xf numFmtId="4" fontId="69" fillId="5" borderId="0" xfId="1" applyNumberFormat="1" applyFont="1" applyFill="1" applyBorder="1" applyAlignment="1">
      <alignment horizontal="right" vertical="center"/>
    </xf>
    <xf numFmtId="169" fontId="68" fillId="5" borderId="0" xfId="2" applyNumberFormat="1" applyFont="1" applyFill="1" applyBorder="1" applyAlignment="1">
      <alignment horizontal="center" vertical="center"/>
    </xf>
    <xf numFmtId="165" fontId="63" fillId="5" borderId="0" xfId="2" applyFont="1" applyFill="1" applyBorder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172" fontId="18" fillId="17" borderId="0" xfId="0" quotePrefix="1" applyNumberFormat="1" applyFont="1" applyFill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left" vertical="center"/>
    </xf>
    <xf numFmtId="0" fontId="51" fillId="5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96004.7</c:v>
                </c:pt>
                <c:pt idx="1">
                  <c:v>64356.6</c:v>
                </c:pt>
                <c:pt idx="2">
                  <c:v>103019.79999999999</c:v>
                </c:pt>
                <c:pt idx="3">
                  <c:v>91039.4</c:v>
                </c:pt>
                <c:pt idx="4">
                  <c:v>124621.90000000002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  <c:pt idx="1">
                  <c:v>135612.64999999997</c:v>
                </c:pt>
                <c:pt idx="2">
                  <c:v>139849.34000000003</c:v>
                </c:pt>
                <c:pt idx="3">
                  <c:v>37314.719999999994</c:v>
                </c:pt>
                <c:pt idx="4">
                  <c:v>85982.45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0.68959704004961986</c:v>
                </c:pt>
                <c:pt idx="1">
                  <c:v>0.47456192324241148</c:v>
                </c:pt>
                <c:pt idx="2">
                  <c:v>0.73664845325691186</c:v>
                </c:pt>
                <c:pt idx="3">
                  <c:v>2.4397717576334488</c:v>
                </c:pt>
                <c:pt idx="4">
                  <c:v>1.4493876366630636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17398537254.579407</c:v>
                </c:pt>
                <c:pt idx="1">
                  <c:v>17219726921.127953</c:v>
                </c:pt>
                <c:pt idx="2">
                  <c:v>16329821676.152575</c:v>
                </c:pt>
                <c:pt idx="3">
                  <c:v>10578740047.359104</c:v>
                </c:pt>
                <c:pt idx="4">
                  <c:v>12622655230.773561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21704728819.199997</c:v>
                </c:pt>
                <c:pt idx="1">
                  <c:v>21142554585.599995</c:v>
                </c:pt>
                <c:pt idx="2">
                  <c:v>21803071503.360004</c:v>
                </c:pt>
                <c:pt idx="3">
                  <c:v>5817514106.8799992</c:v>
                </c:pt>
                <c:pt idx="4">
                  <c:v>13405007884.799999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0.19839877293520178</c:v>
                </c:pt>
                <c:pt idx="1">
                  <c:v>0.18554180142185112</c:v>
                </c:pt>
                <c:pt idx="2">
                  <c:v>0.25103113689114692</c:v>
                </c:pt>
                <c:pt idx="3">
                  <c:v>-0.81842963386170564</c:v>
                </c:pt>
                <c:pt idx="4">
                  <c:v>5.8362714945774191E-2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266151</c:v>
                </c:pt>
                <c:pt idx="1">
                  <c:v>291807</c:v>
                </c:pt>
                <c:pt idx="2">
                  <c:v>321542</c:v>
                </c:pt>
                <c:pt idx="3">
                  <c:v>162394.11627906977</c:v>
                </c:pt>
                <c:pt idx="4">
                  <c:v>240666.2104336895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139218.54999999999</c:v>
                </c:pt>
                <c:pt idx="1">
                  <c:v>135612.64999999997</c:v>
                </c:pt>
                <c:pt idx="2">
                  <c:v>139849.34000000003</c:v>
                </c:pt>
                <c:pt idx="3">
                  <c:v>37314.719999999994</c:v>
                </c:pt>
                <c:pt idx="4">
                  <c:v>85982.45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1.9117495477434583</c:v>
                </c:pt>
                <c:pt idx="1">
                  <c:v>2.1517682900525879</c:v>
                </c:pt>
                <c:pt idx="2">
                  <c:v>2.299202842144267</c:v>
                </c:pt>
                <c:pt idx="3">
                  <c:v>4.3520121892665893</c:v>
                </c:pt>
                <c:pt idx="4">
                  <c:v>2.7990155018110032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8.4168128841803806</c:v>
                </c:pt>
                <c:pt idx="1">
                  <c:v>8.5518110850705629</c:v>
                </c:pt>
                <c:pt idx="2">
                  <c:v>7.8641730626429576</c:v>
                </c:pt>
                <c:pt idx="3">
                  <c:v>19.093511155547912</c:v>
                </c:pt>
                <c:pt idx="4">
                  <c:v>9.8871914930693716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0.61237556448822628</c:v>
                </c:pt>
                <c:pt idx="1">
                  <c:v>0.45742556258606226</c:v>
                </c:pt>
                <c:pt idx="2">
                  <c:v>1.0399677465379984</c:v>
                </c:pt>
                <c:pt idx="3">
                  <c:v>1.0081963215624414</c:v>
                </c:pt>
                <c:pt idx="4">
                  <c:v>1.1503199372929933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0.70046751531385376</c:v>
                </c:pt>
                <c:pt idx="1">
                  <c:v>0.74603212069480607</c:v>
                </c:pt>
                <c:pt idx="2">
                  <c:v>0.92166554901620257</c:v>
                </c:pt>
                <c:pt idx="3">
                  <c:v>0.24727914688551178</c:v>
                </c:pt>
                <c:pt idx="4">
                  <c:v>0.56929094022498383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0.6431191400185946</c:v>
                </c:pt>
                <c:pt idx="1">
                  <c:v>1.1796993076545836</c:v>
                </c:pt>
                <c:pt idx="2">
                  <c:v>1.2959495104939236</c:v>
                </c:pt>
                <c:pt idx="3">
                  <c:v>1.2568262162567225</c:v>
                </c:pt>
                <c:pt idx="4">
                  <c:v>0.73501388027869696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0%</c:formatCode>
                <c:ptCount val="12"/>
                <c:pt idx="0">
                  <c:v>1.3757567517908926</c:v>
                </c:pt>
                <c:pt idx="1">
                  <c:v>1.2106440598255119</c:v>
                </c:pt>
                <c:pt idx="2" formatCode="0.00%">
                  <c:v>1.20377816778011</c:v>
                </c:pt>
                <c:pt idx="3">
                  <c:v>0.38925901985818295</c:v>
                </c:pt>
                <c:pt idx="4">
                  <c:v>0.66693394392884697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0%</c:formatCode>
                <c:ptCount val="12"/>
                <c:pt idx="0">
                  <c:v>1.9640550371196965</c:v>
                </c:pt>
                <c:pt idx="1">
                  <c:v>1.6227773928795399</c:v>
                </c:pt>
                <c:pt idx="2" formatCode="0.00%">
                  <c:v>1.3060900117890248</c:v>
                </c:pt>
                <c:pt idx="3">
                  <c:v>1.5741684034457086</c:v>
                </c:pt>
                <c:pt idx="4">
                  <c:v>1.1715168761780657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5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31</xdr:row>
      <xdr:rowOff>0</xdr:rowOff>
    </xdr:from>
    <xdr:to>
      <xdr:col>8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1021080</xdr:colOff>
      <xdr:row>31</xdr:row>
      <xdr:rowOff>0</xdr:rowOff>
    </xdr:from>
    <xdr:to>
      <xdr:col>12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640080</xdr:colOff>
      <xdr:row>31</xdr:row>
      <xdr:rowOff>0</xdr:rowOff>
    </xdr:from>
    <xdr:to>
      <xdr:col>15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9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26" dataDxfId="25">
  <autoFilter ref="A3:K28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13" dataDxfId="11" headerRowBorderDxfId="12">
  <autoFilter ref="A31:C36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tabSelected="1" topLeftCell="A4" zoomScale="85" zoomScaleNormal="85" workbookViewId="0">
      <selection activeCell="N23" sqref="N23"/>
    </sheetView>
  </sheetViews>
  <sheetFormatPr defaultRowHeight="13.8" x14ac:dyDescent="0.3"/>
  <cols>
    <col min="1" max="1" width="8.88671875" style="162"/>
    <col min="2" max="2" width="5.77734375" style="162" customWidth="1"/>
    <col min="3" max="3" width="31.5546875" style="162" bestFit="1" customWidth="1"/>
    <col min="4" max="5" width="14.77734375" style="162" customWidth="1"/>
    <col min="6" max="6" width="13.77734375" style="162" customWidth="1"/>
    <col min="7" max="7" width="3.6640625" style="162" customWidth="1"/>
    <col min="8" max="8" width="28.109375" style="162" customWidth="1"/>
    <col min="9" max="9" width="10.44140625" style="162" customWidth="1"/>
    <col min="10" max="10" width="17.6640625" style="162" customWidth="1"/>
    <col min="11" max="11" width="9.109375" style="162" customWidth="1"/>
    <col min="12" max="12" width="5.77734375" style="162" customWidth="1"/>
    <col min="13" max="13" width="8.88671875" style="162"/>
    <col min="14" max="14" width="13.5546875" style="162" customWidth="1"/>
    <col min="15" max="16384" width="8.88671875" style="162"/>
  </cols>
  <sheetData>
    <row r="2" spans="2:14" ht="19.95" customHeight="1" x14ac:dyDescent="0.3">
      <c r="B2" s="222" t="s">
        <v>393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</row>
    <row r="3" spans="2:14" ht="19.95" customHeight="1" x14ac:dyDescent="0.3"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</row>
    <row r="4" spans="2:14" x14ac:dyDescent="0.3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</row>
    <row r="5" spans="2:14" ht="15" customHeight="1" x14ac:dyDescent="0.3">
      <c r="B5" s="163"/>
      <c r="C5" s="223" t="s">
        <v>357</v>
      </c>
      <c r="D5" s="224" t="s">
        <v>394</v>
      </c>
      <c r="E5" s="224"/>
      <c r="F5" s="224"/>
      <c r="G5" s="163"/>
      <c r="H5" s="225" t="s">
        <v>322</v>
      </c>
      <c r="I5" s="225"/>
      <c r="J5" s="225"/>
      <c r="K5" s="163"/>
      <c r="L5" s="163"/>
    </row>
    <row r="6" spans="2:14" ht="14.4" customHeight="1" x14ac:dyDescent="0.3">
      <c r="B6" s="163"/>
      <c r="C6" s="223"/>
      <c r="D6" s="224"/>
      <c r="E6" s="224"/>
      <c r="F6" s="224"/>
      <c r="G6" s="163"/>
      <c r="H6" s="225"/>
      <c r="I6" s="225"/>
      <c r="J6" s="225"/>
      <c r="K6" s="163"/>
      <c r="L6" s="163"/>
    </row>
    <row r="7" spans="2:14" ht="14.4" customHeight="1" x14ac:dyDescent="0.3">
      <c r="B7" s="163"/>
      <c r="C7" s="223"/>
      <c r="D7" s="224"/>
      <c r="E7" s="224"/>
      <c r="F7" s="224"/>
      <c r="G7" s="163"/>
      <c r="H7" s="225"/>
      <c r="I7" s="225"/>
      <c r="J7" s="225"/>
      <c r="K7" s="163"/>
      <c r="L7" s="163"/>
    </row>
    <row r="8" spans="2:14" ht="15" x14ac:dyDescent="0.3">
      <c r="B8" s="163"/>
      <c r="C8" s="163"/>
      <c r="D8" s="163"/>
      <c r="E8" s="163"/>
      <c r="F8" s="163"/>
      <c r="G8" s="163"/>
      <c r="H8" s="164"/>
      <c r="I8" s="164"/>
      <c r="J8" s="164"/>
      <c r="K8" s="163"/>
      <c r="L8" s="163"/>
    </row>
    <row r="9" spans="2:14" x14ac:dyDescent="0.3">
      <c r="B9" s="163"/>
      <c r="C9" s="163"/>
      <c r="D9" s="165" t="s">
        <v>311</v>
      </c>
      <c r="E9" s="166" t="s">
        <v>312</v>
      </c>
      <c r="F9" s="165" t="s">
        <v>313</v>
      </c>
      <c r="G9" s="163"/>
      <c r="H9" s="163" t="s">
        <v>73</v>
      </c>
      <c r="I9" s="163"/>
      <c r="J9" s="168">
        <v>31</v>
      </c>
      <c r="K9" s="168" t="s">
        <v>314</v>
      </c>
      <c r="L9" s="163"/>
    </row>
    <row r="10" spans="2:14" x14ac:dyDescent="0.3">
      <c r="B10" s="163"/>
      <c r="C10" s="163" t="s">
        <v>315</v>
      </c>
      <c r="D10" s="191">
        <v>108336.72960000005</v>
      </c>
      <c r="E10" s="192">
        <v>124621.90000000002</v>
      </c>
      <c r="F10" s="193">
        <f>E10/D10</f>
        <v>1.1503199372929933</v>
      </c>
      <c r="G10" s="163"/>
      <c r="H10" s="163" t="s">
        <v>75</v>
      </c>
      <c r="I10" s="163"/>
      <c r="J10" s="168">
        <f>9*J9</f>
        <v>279</v>
      </c>
      <c r="K10" s="168" t="s">
        <v>316</v>
      </c>
      <c r="L10" s="163"/>
    </row>
    <row r="11" spans="2:14" x14ac:dyDescent="0.3">
      <c r="B11" s="163"/>
      <c r="C11" s="163" t="s">
        <v>76</v>
      </c>
      <c r="D11" s="194">
        <v>151034.28480000002</v>
      </c>
      <c r="E11" s="195">
        <f>'REPORT unit DT HAUL'!D43</f>
        <v>85982.45</v>
      </c>
      <c r="F11" s="196">
        <f t="shared" ref="F11:F12" si="0">E11/D11</f>
        <v>0.56929094022498383</v>
      </c>
      <c r="G11" s="163"/>
      <c r="H11" s="163" t="s">
        <v>317</v>
      </c>
      <c r="I11" s="197"/>
      <c r="J11" s="198">
        <v>0.92</v>
      </c>
      <c r="K11" s="168" t="s">
        <v>318</v>
      </c>
      <c r="L11" s="163"/>
    </row>
    <row r="12" spans="2:14" ht="15" x14ac:dyDescent="0.3">
      <c r="B12" s="163"/>
      <c r="C12" s="163" t="s">
        <v>183</v>
      </c>
      <c r="D12" s="194">
        <v>21667.345920000011</v>
      </c>
      <c r="E12" s="195">
        <v>15925.800000000001</v>
      </c>
      <c r="F12" s="196">
        <f t="shared" si="0"/>
        <v>0.73501388027869696</v>
      </c>
      <c r="G12" s="163"/>
      <c r="H12" s="164"/>
      <c r="I12" s="169"/>
      <c r="J12" s="170"/>
      <c r="K12" s="168"/>
      <c r="L12" s="163"/>
    </row>
    <row r="13" spans="2:14" x14ac:dyDescent="0.3">
      <c r="B13" s="163"/>
      <c r="C13" s="163" t="s">
        <v>78</v>
      </c>
      <c r="D13" s="194">
        <f>D10/D11</f>
        <v>0.7172989215227511</v>
      </c>
      <c r="E13" s="195">
        <f>E10/E11</f>
        <v>1.4493876366630636</v>
      </c>
      <c r="F13" s="196">
        <f>D13/E13</f>
        <v>0.49489791645676928</v>
      </c>
      <c r="G13" s="163"/>
      <c r="H13" s="163" t="s">
        <v>87</v>
      </c>
      <c r="I13" s="168"/>
      <c r="J13" s="199">
        <v>11500</v>
      </c>
      <c r="K13" s="199"/>
      <c r="L13" s="163"/>
    </row>
    <row r="14" spans="2:14" x14ac:dyDescent="0.3">
      <c r="B14" s="163"/>
      <c r="C14" s="163" t="s">
        <v>319</v>
      </c>
      <c r="D14" s="194">
        <v>1.866758447740793</v>
      </c>
      <c r="E14" s="195">
        <f>J18/E11</f>
        <v>2.7990155018110032</v>
      </c>
      <c r="F14" s="196">
        <f>D14/E14</f>
        <v>0.66693394392884697</v>
      </c>
      <c r="G14" s="163"/>
      <c r="H14" s="200" t="s">
        <v>320</v>
      </c>
      <c r="I14" s="168"/>
      <c r="J14" s="195"/>
      <c r="K14" s="163"/>
      <c r="L14" s="163"/>
    </row>
    <row r="15" spans="2:14" ht="30.6" customHeight="1" x14ac:dyDescent="0.3">
      <c r="B15" s="163"/>
      <c r="C15" s="227" t="s">
        <v>397</v>
      </c>
      <c r="D15" s="228"/>
      <c r="E15" s="228"/>
      <c r="F15" s="228"/>
      <c r="G15" s="163"/>
      <c r="H15" s="171"/>
      <c r="I15" s="168"/>
      <c r="J15" s="172"/>
      <c r="K15" s="163"/>
      <c r="L15" s="163"/>
    </row>
    <row r="16" spans="2:14" ht="28.8" customHeight="1" x14ac:dyDescent="0.3">
      <c r="B16" s="163"/>
      <c r="C16" s="228"/>
      <c r="D16" s="228"/>
      <c r="E16" s="228"/>
      <c r="F16" s="228"/>
      <c r="G16" s="163"/>
      <c r="H16" s="171"/>
      <c r="I16" s="168"/>
      <c r="J16" s="172"/>
      <c r="K16" s="163"/>
      <c r="L16" s="163"/>
      <c r="N16" s="173"/>
    </row>
    <row r="17" spans="2:14" ht="15" x14ac:dyDescent="0.3">
      <c r="B17" s="163"/>
      <c r="C17" s="163" t="s">
        <v>332</v>
      </c>
      <c r="D17" s="201"/>
      <c r="E17" s="202"/>
      <c r="F17" s="203"/>
      <c r="G17" s="163"/>
      <c r="H17" s="226" t="s">
        <v>141</v>
      </c>
      <c r="I17" s="204" t="s">
        <v>311</v>
      </c>
      <c r="J17" s="205">
        <v>281944.52704888891</v>
      </c>
      <c r="K17" s="174" t="s">
        <v>142</v>
      </c>
      <c r="L17" s="167"/>
      <c r="N17" s="173"/>
    </row>
    <row r="18" spans="2:14" x14ac:dyDescent="0.3">
      <c r="B18" s="163"/>
      <c r="C18" s="163" t="s">
        <v>333</v>
      </c>
      <c r="D18" s="206">
        <v>63</v>
      </c>
      <c r="E18" s="195">
        <f>E10/SUM('REPORT unit OB'!D27:D39)</f>
        <v>78.035003130870393</v>
      </c>
      <c r="F18" s="196">
        <f t="shared" ref="F18" si="1">E18/D18</f>
        <v>1.238650843347149</v>
      </c>
      <c r="G18" s="163"/>
      <c r="H18" s="226"/>
      <c r="I18" s="204" t="s">
        <v>312</v>
      </c>
      <c r="J18" s="205">
        <f>'REPORT unit OB'!G56+'REPORT unit QUARRY'!G41+'REPORT unit DEVELOP'!G11+'REPORT unit ORE GETTING'!G29+'REPORT unit DT HAUL'!H43+'REPORT unit LV &amp; support'!E31</f>
        <v>240666.2104336895</v>
      </c>
      <c r="K18" s="174" t="s">
        <v>142</v>
      </c>
      <c r="L18" s="163"/>
    </row>
    <row r="19" spans="2:14" ht="15" x14ac:dyDescent="0.3">
      <c r="B19" s="163"/>
      <c r="C19" s="164"/>
      <c r="D19" s="164"/>
      <c r="E19" s="175"/>
      <c r="F19" s="163"/>
      <c r="G19" s="163"/>
      <c r="H19" s="226"/>
      <c r="I19" s="204" t="s">
        <v>313</v>
      </c>
      <c r="J19" s="196">
        <f>J17/J18</f>
        <v>1.1715168761780657</v>
      </c>
      <c r="K19" s="174"/>
      <c r="L19" s="163"/>
      <c r="N19" s="176"/>
    </row>
    <row r="20" spans="2:14" ht="7.95" customHeight="1" x14ac:dyDescent="0.3">
      <c r="B20" s="163"/>
      <c r="C20" s="164"/>
      <c r="D20" s="164"/>
      <c r="E20" s="175"/>
      <c r="F20" s="163"/>
      <c r="G20" s="163"/>
      <c r="H20" s="177"/>
      <c r="I20" s="167"/>
      <c r="J20" s="178"/>
      <c r="K20" s="168"/>
      <c r="L20" s="163"/>
    </row>
    <row r="21" spans="2:14" ht="17.399999999999999" x14ac:dyDescent="0.3">
      <c r="B21" s="163"/>
      <c r="C21" s="207" t="s">
        <v>171</v>
      </c>
      <c r="D21" s="207"/>
      <c r="E21" s="208"/>
      <c r="F21" s="163"/>
      <c r="G21" s="163"/>
      <c r="H21" s="209" t="s">
        <v>321</v>
      </c>
      <c r="I21" s="168"/>
      <c r="J21" s="178"/>
      <c r="K21" s="163"/>
      <c r="L21" s="163"/>
    </row>
    <row r="22" spans="2:14" x14ac:dyDescent="0.3">
      <c r="B22" s="163"/>
      <c r="C22" s="210" t="s">
        <v>172</v>
      </c>
      <c r="D22" s="221">
        <f>'REPORT unit OB'!J56</f>
        <v>5129695377.3567467</v>
      </c>
      <c r="E22" s="221"/>
      <c r="F22" s="221"/>
      <c r="G22" s="163"/>
      <c r="H22" s="163" t="s">
        <v>181</v>
      </c>
      <c r="I22" s="211">
        <f>J22/$J$30</f>
        <v>0.40638798125855019</v>
      </c>
      <c r="J22" s="212">
        <f>D22/E11</f>
        <v>59659.795427517442</v>
      </c>
      <c r="K22" s="179">
        <f>J22/$J$32</f>
        <v>4.0180357911851727</v>
      </c>
      <c r="L22" s="179"/>
    </row>
    <row r="23" spans="2:14" x14ac:dyDescent="0.3">
      <c r="B23" s="163"/>
      <c r="C23" s="210" t="s">
        <v>173</v>
      </c>
      <c r="D23" s="221">
        <f>'REPORT unit QUARRY'!J41</f>
        <v>1186422072.9016509</v>
      </c>
      <c r="E23" s="221"/>
      <c r="F23" s="221"/>
      <c r="G23" s="163"/>
      <c r="H23" s="163" t="s">
        <v>182</v>
      </c>
      <c r="I23" s="211">
        <f t="shared" ref="I23:I27" si="2">J23/$J$30</f>
        <v>9.3991482078128713E-2</v>
      </c>
      <c r="J23" s="212">
        <f>D23/E11</f>
        <v>13798.421339490222</v>
      </c>
      <c r="K23" s="179">
        <f t="shared" ref="K23:K27" si="3">J23/$J$32</f>
        <v>0.92931178202385656</v>
      </c>
      <c r="L23" s="179"/>
    </row>
    <row r="24" spans="2:14" x14ac:dyDescent="0.3">
      <c r="B24" s="163"/>
      <c r="C24" s="210" t="s">
        <v>174</v>
      </c>
      <c r="D24" s="221">
        <f>'REPORT unit DEVELOP'!J11</f>
        <v>0</v>
      </c>
      <c r="E24" s="221"/>
      <c r="F24" s="221"/>
      <c r="G24" s="163"/>
      <c r="H24" s="163" t="s">
        <v>177</v>
      </c>
      <c r="I24" s="211">
        <f t="shared" si="2"/>
        <v>0</v>
      </c>
      <c r="J24" s="212">
        <f>D24/E11</f>
        <v>0</v>
      </c>
      <c r="K24" s="179">
        <f t="shared" si="3"/>
        <v>0</v>
      </c>
      <c r="L24" s="179"/>
    </row>
    <row r="25" spans="2:14" x14ac:dyDescent="0.3">
      <c r="B25" s="163"/>
      <c r="C25" s="210" t="s">
        <v>175</v>
      </c>
      <c r="D25" s="221">
        <f>'REPORT unit ORE GETTING'!J29</f>
        <v>1506917780.5151632</v>
      </c>
      <c r="E25" s="221"/>
      <c r="F25" s="221"/>
      <c r="G25" s="163"/>
      <c r="H25" s="163" t="s">
        <v>178</v>
      </c>
      <c r="I25" s="211">
        <f t="shared" si="2"/>
        <v>0.11938199633634562</v>
      </c>
      <c r="J25" s="212">
        <f>D25/E11</f>
        <v>17525.87627492777</v>
      </c>
      <c r="K25" s="179">
        <f t="shared" si="3"/>
        <v>1.1803526586023552</v>
      </c>
      <c r="L25" s="179"/>
    </row>
    <row r="26" spans="2:14" x14ac:dyDescent="0.3">
      <c r="B26" s="163"/>
      <c r="C26" s="210" t="s">
        <v>176</v>
      </c>
      <c r="D26" s="221">
        <f>'REPORT unit DT HAUL'!M43</f>
        <v>4540841500</v>
      </c>
      <c r="E26" s="221"/>
      <c r="F26" s="221"/>
      <c r="G26" s="163"/>
      <c r="H26" s="163" t="s">
        <v>179</v>
      </c>
      <c r="I26" s="211">
        <f t="shared" si="2"/>
        <v>0.35973742584124441</v>
      </c>
      <c r="J26" s="212">
        <f>D26/E11</f>
        <v>52811.259739632915</v>
      </c>
      <c r="K26" s="179">
        <f t="shared" si="3"/>
        <v>3.5567928165162255</v>
      </c>
      <c r="L26" s="179"/>
    </row>
    <row r="27" spans="2:14" x14ac:dyDescent="0.3">
      <c r="B27" s="163"/>
      <c r="C27" s="210" t="s">
        <v>83</v>
      </c>
      <c r="D27" s="221">
        <f>'REPORT unit LV &amp; support'!H31</f>
        <v>258778500</v>
      </c>
      <c r="E27" s="221"/>
      <c r="F27" s="221"/>
      <c r="G27" s="163"/>
      <c r="H27" s="163" t="s">
        <v>180</v>
      </c>
      <c r="I27" s="211">
        <f t="shared" si="2"/>
        <v>2.0501114485730994E-2</v>
      </c>
      <c r="J27" s="212">
        <f>D27/E11</f>
        <v>3009.6665075256637</v>
      </c>
      <c r="K27" s="179">
        <f t="shared" si="3"/>
        <v>0.20269844474176077</v>
      </c>
      <c r="L27" s="179"/>
    </row>
    <row r="28" spans="2:14" ht="15" x14ac:dyDescent="0.3">
      <c r="B28" s="163"/>
      <c r="C28" s="210"/>
      <c r="D28" s="210"/>
      <c r="E28" s="213"/>
      <c r="F28" s="163"/>
      <c r="G28" s="163"/>
      <c r="H28" s="214"/>
      <c r="I28" s="215">
        <f>SUM(I22:I27)</f>
        <v>1</v>
      </c>
      <c r="J28" s="216">
        <f t="shared" ref="J28:K28" si="4">SUM(J22:J27)</f>
        <v>146805.01928909399</v>
      </c>
      <c r="K28" s="217">
        <f t="shared" si="4"/>
        <v>9.8871914930693716</v>
      </c>
      <c r="L28" s="180"/>
    </row>
    <row r="29" spans="2:14" x14ac:dyDescent="0.3">
      <c r="B29" s="163"/>
      <c r="C29" s="181"/>
      <c r="D29" s="181"/>
      <c r="E29" s="182"/>
      <c r="F29" s="163"/>
      <c r="G29" s="163"/>
      <c r="H29" s="187"/>
      <c r="I29" s="211"/>
      <c r="J29" s="218"/>
      <c r="K29" s="183"/>
      <c r="L29" s="183"/>
    </row>
    <row r="30" spans="2:14" ht="17.399999999999999" x14ac:dyDescent="0.3">
      <c r="B30" s="163"/>
      <c r="C30" s="219" t="s">
        <v>46</v>
      </c>
      <c r="D30" s="238">
        <f>SUM(D22:F27)</f>
        <v>12622655230.773561</v>
      </c>
      <c r="E30" s="238"/>
      <c r="F30" s="238"/>
      <c r="G30" s="185"/>
      <c r="H30" s="187" t="s">
        <v>95</v>
      </c>
      <c r="I30" s="186"/>
      <c r="J30" s="230">
        <f>D30/E11</f>
        <v>146805.01928909402</v>
      </c>
      <c r="K30" s="230"/>
      <c r="L30" s="183"/>
    </row>
    <row r="31" spans="2:14" ht="17.399999999999999" x14ac:dyDescent="0.3">
      <c r="B31" s="163"/>
      <c r="C31" s="219" t="s">
        <v>49</v>
      </c>
      <c r="D31" s="231">
        <f>E11*(J33*J32)</f>
        <v>13405007884.799999</v>
      </c>
      <c r="E31" s="231"/>
      <c r="F31" s="231"/>
      <c r="G31" s="185"/>
      <c r="H31" s="187" t="s">
        <v>85</v>
      </c>
      <c r="I31" s="186"/>
      <c r="J31" s="232">
        <f>J30/J32</f>
        <v>9.8871914930693716</v>
      </c>
      <c r="K31" s="232"/>
      <c r="L31" s="187"/>
    </row>
    <row r="32" spans="2:14" ht="17.399999999999999" x14ac:dyDescent="0.3">
      <c r="B32" s="163"/>
      <c r="C32" s="184"/>
      <c r="D32" s="233"/>
      <c r="E32" s="233"/>
      <c r="F32" s="233"/>
      <c r="G32" s="185"/>
      <c r="H32" s="220" t="s">
        <v>80</v>
      </c>
      <c r="I32" s="189"/>
      <c r="J32" s="234">
        <v>14848</v>
      </c>
      <c r="K32" s="234"/>
      <c r="L32" s="163"/>
    </row>
    <row r="33" spans="2:12" ht="17.399999999999999" customHeight="1" x14ac:dyDescent="0.3">
      <c r="B33" s="163"/>
      <c r="C33" s="235" t="s">
        <v>81</v>
      </c>
      <c r="D33" s="236">
        <f>D31-D30</f>
        <v>782352654.02643776</v>
      </c>
      <c r="E33" s="236"/>
      <c r="F33" s="236"/>
      <c r="G33" s="163"/>
      <c r="H33" s="220" t="s">
        <v>86</v>
      </c>
      <c r="I33" s="189"/>
      <c r="J33" s="237">
        <v>10.5</v>
      </c>
      <c r="K33" s="237"/>
      <c r="L33" s="163"/>
    </row>
    <row r="34" spans="2:12" ht="17.399999999999999" customHeight="1" x14ac:dyDescent="0.3">
      <c r="B34" s="163"/>
      <c r="C34" s="235"/>
      <c r="D34" s="236"/>
      <c r="E34" s="236"/>
      <c r="F34" s="236"/>
      <c r="G34" s="163"/>
      <c r="H34" s="188"/>
      <c r="I34" s="189"/>
      <c r="J34" s="190"/>
      <c r="K34" s="163"/>
      <c r="L34" s="163"/>
    </row>
    <row r="35" spans="2:12" ht="14.4" customHeight="1" x14ac:dyDescent="0.3">
      <c r="B35" s="229" t="str">
        <f>IF(D31&lt;D30,("….RUGI …..!!!!!"),("OKE….."))</f>
        <v>OKE…..</v>
      </c>
      <c r="C35" s="229"/>
      <c r="D35" s="229"/>
      <c r="E35" s="229"/>
      <c r="F35" s="229"/>
      <c r="G35" s="229"/>
      <c r="H35" s="229"/>
      <c r="I35" s="229"/>
      <c r="J35" s="229"/>
      <c r="K35" s="229"/>
      <c r="L35" s="229"/>
    </row>
    <row r="36" spans="2:12" ht="14.4" customHeight="1" x14ac:dyDescent="0.3"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</row>
    <row r="37" spans="2:12" ht="14.4" customHeight="1" x14ac:dyDescent="0.3"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</row>
    <row r="39" spans="2:12" x14ac:dyDescent="0.3">
      <c r="H39" s="173"/>
    </row>
  </sheetData>
  <mergeCells count="22"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  <mergeCell ref="D23:F23"/>
    <mergeCell ref="D24:F24"/>
    <mergeCell ref="D25:F25"/>
    <mergeCell ref="D26:F26"/>
    <mergeCell ref="D27:F27"/>
    <mergeCell ref="D22:F22"/>
    <mergeCell ref="B2:L3"/>
    <mergeCell ref="C5:C7"/>
    <mergeCell ref="D5:F7"/>
    <mergeCell ref="H5:J7"/>
    <mergeCell ref="H17:H19"/>
    <mergeCell ref="C15:F16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53" t="s">
        <v>1</v>
      </c>
      <c r="D2" s="253" t="s">
        <v>2</v>
      </c>
      <c r="E2" s="253" t="s">
        <v>3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2" t="s">
        <v>4</v>
      </c>
      <c r="AK2" s="252" t="s">
        <v>57</v>
      </c>
      <c r="AL2" s="3"/>
    </row>
    <row r="3" spans="2:38" s="4" customFormat="1" x14ac:dyDescent="0.3">
      <c r="B3" s="4" t="s">
        <v>5</v>
      </c>
      <c r="C3" s="253"/>
      <c r="D3" s="253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52"/>
      <c r="AK3" s="252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53" t="s">
        <v>21</v>
      </c>
      <c r="C29" s="253"/>
      <c r="D29" s="253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54" t="s">
        <v>12</v>
      </c>
      <c r="AA32" s="254"/>
      <c r="AB32" s="254"/>
      <c r="AG32" s="254" t="s">
        <v>13</v>
      </c>
      <c r="AH32" s="254"/>
      <c r="AI32" s="254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54" t="s">
        <v>19</v>
      </c>
      <c r="AA36" s="254"/>
      <c r="AB36" s="254"/>
      <c r="AG36" s="254" t="s">
        <v>20</v>
      </c>
      <c r="AH36" s="254"/>
      <c r="AI36" s="254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53" t="s">
        <v>1</v>
      </c>
      <c r="E2" s="253" t="s">
        <v>2</v>
      </c>
      <c r="F2" s="253" t="s">
        <v>22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2" t="s">
        <v>23</v>
      </c>
      <c r="AL2" s="252" t="s">
        <v>24</v>
      </c>
      <c r="AN2" s="3"/>
    </row>
    <row r="3" spans="1:40" s="4" customFormat="1" x14ac:dyDescent="0.3">
      <c r="C3" s="4" t="s">
        <v>5</v>
      </c>
      <c r="D3" s="253"/>
      <c r="E3" s="253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52"/>
      <c r="AL3" s="252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54" t="s">
        <v>12</v>
      </c>
      <c r="AB33" s="254"/>
      <c r="AC33" s="254"/>
      <c r="AH33" s="254" t="s">
        <v>13</v>
      </c>
      <c r="AI33" s="254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54" t="s">
        <v>9</v>
      </c>
      <c r="U35" s="254"/>
      <c r="V35" s="254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54" t="s">
        <v>19</v>
      </c>
      <c r="AB37" s="254"/>
      <c r="AC37" s="254"/>
      <c r="AH37" s="254" t="s">
        <v>20</v>
      </c>
      <c r="AI37" s="254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AA33:AC33"/>
    <mergeCell ref="AH33:AI33"/>
    <mergeCell ref="T35:V35"/>
    <mergeCell ref="AA37:AC37"/>
    <mergeCell ref="AH37:AI37"/>
    <mergeCell ref="D2:D3"/>
    <mergeCell ref="E2:E3"/>
    <mergeCell ref="F2:AJ2"/>
    <mergeCell ref="AK2:AK3"/>
    <mergeCell ref="AL2:AL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37"/>
  <sheetViews>
    <sheetView topLeftCell="C88" workbookViewId="0">
      <selection activeCell="O137" sqref="O137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298</v>
      </c>
      <c r="P2" s="64" t="s">
        <v>299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237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245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272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238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246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294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260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247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261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262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273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K21" s="53">
        <v>766205.76574775728</v>
      </c>
      <c r="O21" s="64" t="s">
        <v>263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264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265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266</v>
      </c>
      <c r="P24" s="64" t="s">
        <v>111</v>
      </c>
    </row>
    <row r="25" spans="1:16" x14ac:dyDescent="0.3">
      <c r="A25" s="64">
        <v>20</v>
      </c>
      <c r="B25" s="64" t="s">
        <v>346</v>
      </c>
      <c r="C25" s="65">
        <v>28</v>
      </c>
      <c r="D25" s="66">
        <v>32.42</v>
      </c>
      <c r="E25" s="66">
        <v>34.21</v>
      </c>
      <c r="F25" s="66">
        <v>53.52</v>
      </c>
      <c r="G25" s="65" t="s">
        <v>131</v>
      </c>
      <c r="H25" s="53">
        <v>470090</v>
      </c>
      <c r="I25" s="53">
        <v>496045</v>
      </c>
      <c r="J25" s="53">
        <v>776040</v>
      </c>
      <c r="K25" s="68">
        <v>500000</v>
      </c>
      <c r="O25" s="64" t="s">
        <v>347</v>
      </c>
      <c r="P25" s="64" t="s">
        <v>118</v>
      </c>
    </row>
    <row r="26" spans="1:16" x14ac:dyDescent="0.3">
      <c r="A26" s="64">
        <v>21</v>
      </c>
      <c r="B26" s="64" t="s">
        <v>38</v>
      </c>
      <c r="C26" s="64">
        <v>10</v>
      </c>
      <c r="D26" s="57"/>
      <c r="E26" s="57"/>
      <c r="F26" s="57"/>
      <c r="H26" s="53">
        <v>8000000</v>
      </c>
      <c r="I26" s="53"/>
      <c r="J26" s="53"/>
      <c r="K26" s="53">
        <v>8000000</v>
      </c>
      <c r="O26" s="64" t="s">
        <v>267</v>
      </c>
      <c r="P26" s="64" t="s">
        <v>111</v>
      </c>
    </row>
    <row r="27" spans="1:16" x14ac:dyDescent="0.3">
      <c r="A27" s="64">
        <v>22</v>
      </c>
      <c r="B27" s="64" t="s">
        <v>133</v>
      </c>
      <c r="C27" s="64">
        <v>4</v>
      </c>
      <c r="D27" s="57"/>
      <c r="E27" s="57"/>
      <c r="F27" s="57"/>
      <c r="H27" s="53">
        <v>3000000</v>
      </c>
      <c r="I27" s="53"/>
      <c r="J27" s="53"/>
      <c r="K27" s="53">
        <v>3000000</v>
      </c>
      <c r="O27" s="64" t="s">
        <v>193</v>
      </c>
      <c r="P27" s="64" t="s">
        <v>111</v>
      </c>
    </row>
    <row r="28" spans="1:16" x14ac:dyDescent="0.3">
      <c r="A28" s="64">
        <v>23</v>
      </c>
      <c r="B28" s="64" t="s">
        <v>152</v>
      </c>
      <c r="C28" s="65">
        <v>10</v>
      </c>
      <c r="D28" s="65"/>
      <c r="E28" s="65"/>
      <c r="F28" s="65"/>
      <c r="G28" s="65"/>
      <c r="H28" s="53">
        <v>12000000</v>
      </c>
      <c r="K28" s="53">
        <f>Table2[[#This Row],[Column4]]</f>
        <v>12000000</v>
      </c>
      <c r="O28" s="64" t="s">
        <v>194</v>
      </c>
      <c r="P28" s="64" t="s">
        <v>111</v>
      </c>
    </row>
    <row r="29" spans="1:16" x14ac:dyDescent="0.3">
      <c r="A29" s="255" t="s">
        <v>134</v>
      </c>
      <c r="B29" s="255"/>
      <c r="C29" s="255"/>
      <c r="O29" s="64" t="s">
        <v>295</v>
      </c>
      <c r="P29" s="64" t="s">
        <v>111</v>
      </c>
    </row>
    <row r="30" spans="1:16" x14ac:dyDescent="0.3">
      <c r="J30" s="154" t="s">
        <v>304</v>
      </c>
      <c r="O30" s="64" t="s">
        <v>195</v>
      </c>
      <c r="P30" s="64" t="s">
        <v>109</v>
      </c>
    </row>
    <row r="31" spans="1:16" ht="14.4" thickBot="1" x14ac:dyDescent="0.35">
      <c r="A31" s="58" t="s">
        <v>1</v>
      </c>
      <c r="B31" s="59" t="s">
        <v>88</v>
      </c>
      <c r="C31" s="59" t="s">
        <v>135</v>
      </c>
      <c r="O31" s="64" t="s">
        <v>196</v>
      </c>
      <c r="P31" s="64" t="s">
        <v>114</v>
      </c>
    </row>
    <row r="32" spans="1:16" ht="14.4" thickTop="1" x14ac:dyDescent="0.3">
      <c r="A32" s="64">
        <v>1</v>
      </c>
      <c r="B32" s="64" t="s">
        <v>136</v>
      </c>
      <c r="C32" s="60">
        <v>24</v>
      </c>
      <c r="O32" s="64" t="s">
        <v>248</v>
      </c>
      <c r="P32" s="64" t="s">
        <v>114</v>
      </c>
    </row>
    <row r="33" spans="1:16" x14ac:dyDescent="0.3">
      <c r="A33" s="64">
        <v>2</v>
      </c>
      <c r="B33" s="64" t="s">
        <v>137</v>
      </c>
      <c r="C33" s="60">
        <v>16</v>
      </c>
      <c r="O33" s="64" t="s">
        <v>197</v>
      </c>
      <c r="P33" s="64" t="s">
        <v>114</v>
      </c>
    </row>
    <row r="34" spans="1:16" x14ac:dyDescent="0.3">
      <c r="A34" s="64">
        <v>3</v>
      </c>
      <c r="B34" s="61" t="s">
        <v>138</v>
      </c>
      <c r="C34" s="60">
        <v>8</v>
      </c>
      <c r="O34" s="64" t="s">
        <v>198</v>
      </c>
      <c r="P34" s="64" t="s">
        <v>114</v>
      </c>
    </row>
    <row r="35" spans="1:16" x14ac:dyDescent="0.3">
      <c r="A35" s="64">
        <v>4</v>
      </c>
      <c r="B35" s="64" t="s">
        <v>139</v>
      </c>
      <c r="C35" s="60">
        <v>16</v>
      </c>
      <c r="O35" s="64" t="s">
        <v>199</v>
      </c>
      <c r="P35" s="64" t="s">
        <v>114</v>
      </c>
    </row>
    <row r="36" spans="1:16" x14ac:dyDescent="0.3">
      <c r="A36" s="64">
        <v>5</v>
      </c>
      <c r="B36" s="64" t="s">
        <v>140</v>
      </c>
      <c r="C36" s="60">
        <v>8</v>
      </c>
      <c r="O36" s="64" t="s">
        <v>200</v>
      </c>
      <c r="P36" s="64" t="s">
        <v>114</v>
      </c>
    </row>
    <row r="37" spans="1:16" x14ac:dyDescent="0.3">
      <c r="O37" s="64" t="s">
        <v>201</v>
      </c>
      <c r="P37" s="64" t="s">
        <v>114</v>
      </c>
    </row>
    <row r="38" spans="1:16" x14ac:dyDescent="0.3">
      <c r="O38" s="64" t="s">
        <v>202</v>
      </c>
      <c r="P38" s="64" t="s">
        <v>114</v>
      </c>
    </row>
    <row r="39" spans="1:16" x14ac:dyDescent="0.3">
      <c r="B39" s="64">
        <v>14652.34</v>
      </c>
      <c r="O39" s="64" t="s">
        <v>203</v>
      </c>
      <c r="P39" s="64" t="s">
        <v>114</v>
      </c>
    </row>
    <row r="40" spans="1:16" x14ac:dyDescent="0.3">
      <c r="O40" s="64" t="s">
        <v>204</v>
      </c>
      <c r="P40" s="64" t="s">
        <v>114</v>
      </c>
    </row>
    <row r="41" spans="1:16" x14ac:dyDescent="0.3">
      <c r="O41" s="64" t="s">
        <v>258</v>
      </c>
      <c r="P41" s="64" t="s">
        <v>116</v>
      </c>
    </row>
    <row r="42" spans="1:16" x14ac:dyDescent="0.3">
      <c r="O42" s="64" t="s">
        <v>277</v>
      </c>
      <c r="P42" s="64" t="s">
        <v>116</v>
      </c>
    </row>
    <row r="43" spans="1:16" x14ac:dyDescent="0.3">
      <c r="O43" s="64" t="s">
        <v>249</v>
      </c>
      <c r="P43" s="64" t="s">
        <v>116</v>
      </c>
    </row>
    <row r="44" spans="1:16" x14ac:dyDescent="0.3">
      <c r="O44" s="64" t="s">
        <v>259</v>
      </c>
      <c r="P44" s="64" t="s">
        <v>116</v>
      </c>
    </row>
    <row r="45" spans="1:16" x14ac:dyDescent="0.3">
      <c r="O45" s="64" t="s">
        <v>250</v>
      </c>
      <c r="P45" s="64" t="s">
        <v>116</v>
      </c>
    </row>
    <row r="46" spans="1:16" x14ac:dyDescent="0.3">
      <c r="O46" s="64" t="s">
        <v>251</v>
      </c>
      <c r="P46" s="64" t="s">
        <v>116</v>
      </c>
    </row>
    <row r="47" spans="1:16" x14ac:dyDescent="0.3">
      <c r="O47" s="64" t="s">
        <v>252</v>
      </c>
      <c r="P47" s="64" t="s">
        <v>116</v>
      </c>
    </row>
    <row r="48" spans="1:16" x14ac:dyDescent="0.3">
      <c r="O48" s="64" t="s">
        <v>205</v>
      </c>
      <c r="P48" s="64" t="s">
        <v>116</v>
      </c>
    </row>
    <row r="49" spans="15:16" x14ac:dyDescent="0.3">
      <c r="O49" s="64" t="s">
        <v>206</v>
      </c>
      <c r="P49" s="64" t="s">
        <v>116</v>
      </c>
    </row>
    <row r="50" spans="15:16" x14ac:dyDescent="0.3">
      <c r="O50" s="64" t="s">
        <v>207</v>
      </c>
      <c r="P50" s="64" t="s">
        <v>116</v>
      </c>
    </row>
    <row r="51" spans="15:16" x14ac:dyDescent="0.3">
      <c r="O51" s="64" t="s">
        <v>208</v>
      </c>
      <c r="P51" s="64" t="s">
        <v>116</v>
      </c>
    </row>
    <row r="52" spans="15:16" x14ac:dyDescent="0.3">
      <c r="O52" s="64" t="s">
        <v>209</v>
      </c>
      <c r="P52" s="64" t="s">
        <v>116</v>
      </c>
    </row>
    <row r="53" spans="15:16" x14ac:dyDescent="0.3">
      <c r="O53" s="64" t="s">
        <v>210</v>
      </c>
      <c r="P53" s="64" t="s">
        <v>116</v>
      </c>
    </row>
    <row r="54" spans="15:16" x14ac:dyDescent="0.3">
      <c r="O54" s="64" t="s">
        <v>211</v>
      </c>
      <c r="P54" s="64" t="s">
        <v>116</v>
      </c>
    </row>
    <row r="55" spans="15:16" x14ac:dyDescent="0.3">
      <c r="O55" s="64" t="s">
        <v>212</v>
      </c>
      <c r="P55" s="64" t="s">
        <v>116</v>
      </c>
    </row>
    <row r="56" spans="15:16" x14ac:dyDescent="0.3">
      <c r="O56" s="64" t="s">
        <v>213</v>
      </c>
      <c r="P56" s="64" t="s">
        <v>116</v>
      </c>
    </row>
    <row r="57" spans="15:16" x14ac:dyDescent="0.3">
      <c r="O57" s="64" t="s">
        <v>214</v>
      </c>
      <c r="P57" s="64" t="s">
        <v>116</v>
      </c>
    </row>
    <row r="58" spans="15:16" x14ac:dyDescent="0.3">
      <c r="O58" s="64" t="s">
        <v>215</v>
      </c>
      <c r="P58" s="64" t="s">
        <v>116</v>
      </c>
    </row>
    <row r="59" spans="15:16" x14ac:dyDescent="0.3">
      <c r="O59" s="64" t="s">
        <v>216</v>
      </c>
      <c r="P59" s="64" t="s">
        <v>116</v>
      </c>
    </row>
    <row r="60" spans="15:16" x14ac:dyDescent="0.3">
      <c r="O60" s="64" t="s">
        <v>217</v>
      </c>
      <c r="P60" s="64" t="s">
        <v>116</v>
      </c>
    </row>
    <row r="61" spans="15:16" x14ac:dyDescent="0.3">
      <c r="O61" s="64" t="s">
        <v>218</v>
      </c>
      <c r="P61" s="64" t="s">
        <v>116</v>
      </c>
    </row>
    <row r="62" spans="15:16" x14ac:dyDescent="0.3">
      <c r="O62" s="64" t="s">
        <v>239</v>
      </c>
      <c r="P62" s="64" t="s">
        <v>116</v>
      </c>
    </row>
    <row r="63" spans="15:16" x14ac:dyDescent="0.3">
      <c r="O63" s="64" t="s">
        <v>240</v>
      </c>
      <c r="P63" s="64" t="s">
        <v>116</v>
      </c>
    </row>
    <row r="64" spans="15:16" x14ac:dyDescent="0.3">
      <c r="O64" s="64" t="s">
        <v>241</v>
      </c>
      <c r="P64" s="64" t="s">
        <v>116</v>
      </c>
    </row>
    <row r="65" spans="15:16" x14ac:dyDescent="0.3">
      <c r="O65" s="64" t="s">
        <v>284</v>
      </c>
      <c r="P65" s="64" t="s">
        <v>120</v>
      </c>
    </row>
    <row r="66" spans="15:16" x14ac:dyDescent="0.3">
      <c r="O66" s="64" t="s">
        <v>253</v>
      </c>
      <c r="P66" s="64" t="s">
        <v>120</v>
      </c>
    </row>
    <row r="67" spans="15:16" x14ac:dyDescent="0.3">
      <c r="O67" s="64" t="s">
        <v>254</v>
      </c>
      <c r="P67" s="64" t="s">
        <v>120</v>
      </c>
    </row>
    <row r="68" spans="15:16" x14ac:dyDescent="0.3">
      <c r="O68" s="64" t="s">
        <v>219</v>
      </c>
      <c r="P68" s="64" t="s">
        <v>120</v>
      </c>
    </row>
    <row r="69" spans="15:16" x14ac:dyDescent="0.3">
      <c r="O69" s="64" t="s">
        <v>220</v>
      </c>
      <c r="P69" s="64" t="s">
        <v>120</v>
      </c>
    </row>
    <row r="70" spans="15:16" x14ac:dyDescent="0.3">
      <c r="O70" s="64" t="s">
        <v>221</v>
      </c>
      <c r="P70" s="64" t="s">
        <v>120</v>
      </c>
    </row>
    <row r="71" spans="15:16" x14ac:dyDescent="0.3">
      <c r="O71" s="64" t="s">
        <v>222</v>
      </c>
      <c r="P71" s="64" t="s">
        <v>120</v>
      </c>
    </row>
    <row r="72" spans="15:16" x14ac:dyDescent="0.3">
      <c r="O72" s="64" t="s">
        <v>242</v>
      </c>
      <c r="P72" s="64" t="s">
        <v>120</v>
      </c>
    </row>
    <row r="73" spans="15:16" x14ac:dyDescent="0.3">
      <c r="O73" s="64" t="s">
        <v>268</v>
      </c>
      <c r="P73" s="64" t="s">
        <v>118</v>
      </c>
    </row>
    <row r="74" spans="15:16" x14ac:dyDescent="0.3">
      <c r="O74" s="64" t="s">
        <v>223</v>
      </c>
      <c r="P74" s="64" t="s">
        <v>118</v>
      </c>
    </row>
    <row r="75" spans="15:16" x14ac:dyDescent="0.3">
      <c r="O75" s="64" t="s">
        <v>255</v>
      </c>
      <c r="P75" s="64" t="s">
        <v>118</v>
      </c>
    </row>
    <row r="76" spans="15:16" x14ac:dyDescent="0.3">
      <c r="O76" s="64" t="s">
        <v>224</v>
      </c>
      <c r="P76" s="64" t="s">
        <v>118</v>
      </c>
    </row>
    <row r="77" spans="15:16" x14ac:dyDescent="0.3">
      <c r="O77" s="64" t="s">
        <v>243</v>
      </c>
      <c r="P77" s="64" t="s">
        <v>118</v>
      </c>
    </row>
    <row r="78" spans="15:16" x14ac:dyDescent="0.3">
      <c r="O78" s="64" t="s">
        <v>225</v>
      </c>
      <c r="P78" s="64" t="s">
        <v>121</v>
      </c>
    </row>
    <row r="79" spans="15:16" x14ac:dyDescent="0.3">
      <c r="O79" s="64" t="s">
        <v>274</v>
      </c>
      <c r="P79" s="64" t="s">
        <v>129</v>
      </c>
    </row>
    <row r="80" spans="15:16" x14ac:dyDescent="0.3">
      <c r="O80" s="64" t="s">
        <v>275</v>
      </c>
      <c r="P80" s="64" t="s">
        <v>123</v>
      </c>
    </row>
    <row r="81" spans="15:16" x14ac:dyDescent="0.3">
      <c r="O81" s="64" t="s">
        <v>285</v>
      </c>
      <c r="P81" s="64" t="s">
        <v>123</v>
      </c>
    </row>
    <row r="82" spans="15:16" x14ac:dyDescent="0.3">
      <c r="O82" s="64" t="s">
        <v>226</v>
      </c>
      <c r="P82" s="64" t="s">
        <v>123</v>
      </c>
    </row>
    <row r="83" spans="15:16" x14ac:dyDescent="0.3">
      <c r="O83" s="64" t="s">
        <v>289</v>
      </c>
      <c r="P83" s="64" t="s">
        <v>38</v>
      </c>
    </row>
    <row r="84" spans="15:16" x14ac:dyDescent="0.3">
      <c r="O84" s="64" t="s">
        <v>229</v>
      </c>
      <c r="P84" s="64" t="s">
        <v>38</v>
      </c>
    </row>
    <row r="85" spans="15:16" x14ac:dyDescent="0.3">
      <c r="O85" s="64" t="s">
        <v>230</v>
      </c>
      <c r="P85" s="64" t="s">
        <v>38</v>
      </c>
    </row>
    <row r="86" spans="15:16" x14ac:dyDescent="0.3">
      <c r="O86" s="64" t="s">
        <v>231</v>
      </c>
      <c r="P86" s="64" t="s">
        <v>38</v>
      </c>
    </row>
    <row r="87" spans="15:16" x14ac:dyDescent="0.3">
      <c r="O87" s="64" t="s">
        <v>244</v>
      </c>
      <c r="P87" s="64" t="s">
        <v>38</v>
      </c>
    </row>
    <row r="88" spans="15:16" x14ac:dyDescent="0.3">
      <c r="O88" s="64" t="s">
        <v>290</v>
      </c>
      <c r="P88" s="64" t="s">
        <v>38</v>
      </c>
    </row>
    <row r="89" spans="15:16" x14ac:dyDescent="0.3">
      <c r="O89" s="64" t="s">
        <v>227</v>
      </c>
      <c r="P89" s="64" t="s">
        <v>38</v>
      </c>
    </row>
    <row r="90" spans="15:16" x14ac:dyDescent="0.3">
      <c r="O90" s="64" t="s">
        <v>271</v>
      </c>
      <c r="P90" s="64" t="s">
        <v>38</v>
      </c>
    </row>
    <row r="91" spans="15:16" x14ac:dyDescent="0.3">
      <c r="O91" s="64" t="s">
        <v>278</v>
      </c>
      <c r="P91" s="64" t="s">
        <v>38</v>
      </c>
    </row>
    <row r="92" spans="15:16" x14ac:dyDescent="0.3">
      <c r="O92" s="64" t="s">
        <v>296</v>
      </c>
      <c r="P92" s="64" t="s">
        <v>38</v>
      </c>
    </row>
    <row r="93" spans="15:16" x14ac:dyDescent="0.3">
      <c r="O93" s="64" t="s">
        <v>279</v>
      </c>
      <c r="P93" s="64" t="s">
        <v>38</v>
      </c>
    </row>
    <row r="94" spans="15:16" x14ac:dyDescent="0.3">
      <c r="O94" s="64" t="s">
        <v>280</v>
      </c>
      <c r="P94" s="64" t="s">
        <v>38</v>
      </c>
    </row>
    <row r="95" spans="15:16" x14ac:dyDescent="0.3">
      <c r="O95" s="64" t="s">
        <v>281</v>
      </c>
      <c r="P95" s="64" t="s">
        <v>38</v>
      </c>
    </row>
    <row r="96" spans="15:16" x14ac:dyDescent="0.3">
      <c r="O96" s="64" t="s">
        <v>301</v>
      </c>
      <c r="P96" s="64" t="s">
        <v>38</v>
      </c>
    </row>
    <row r="97" spans="15:16" x14ac:dyDescent="0.3">
      <c r="O97" s="64" t="s">
        <v>228</v>
      </c>
      <c r="P97" s="64" t="s">
        <v>38</v>
      </c>
    </row>
    <row r="98" spans="15:16" x14ac:dyDescent="0.3">
      <c r="O98" s="64" t="s">
        <v>282</v>
      </c>
      <c r="P98" s="64" t="s">
        <v>38</v>
      </c>
    </row>
    <row r="99" spans="15:16" x14ac:dyDescent="0.3">
      <c r="O99" s="64" t="s">
        <v>297</v>
      </c>
      <c r="P99" s="64" t="s">
        <v>38</v>
      </c>
    </row>
    <row r="100" spans="15:16" x14ac:dyDescent="0.3">
      <c r="O100" s="64" t="s">
        <v>256</v>
      </c>
      <c r="P100" s="64" t="s">
        <v>38</v>
      </c>
    </row>
    <row r="101" spans="15:16" x14ac:dyDescent="0.3">
      <c r="O101" s="64" t="s">
        <v>270</v>
      </c>
      <c r="P101" s="64" t="s">
        <v>38</v>
      </c>
    </row>
    <row r="102" spans="15:16" x14ac:dyDescent="0.3">
      <c r="O102" s="64" t="s">
        <v>283</v>
      </c>
      <c r="P102" s="64" t="s">
        <v>38</v>
      </c>
    </row>
    <row r="103" spans="15:16" x14ac:dyDescent="0.3">
      <c r="O103" s="64" t="s">
        <v>232</v>
      </c>
      <c r="P103" s="64" t="s">
        <v>130</v>
      </c>
    </row>
    <row r="104" spans="15:16" x14ac:dyDescent="0.3">
      <c r="O104" s="64" t="s">
        <v>286</v>
      </c>
      <c r="P104" s="64" t="s">
        <v>152</v>
      </c>
    </row>
    <row r="105" spans="15:16" x14ac:dyDescent="0.3">
      <c r="O105" s="64" t="s">
        <v>233</v>
      </c>
      <c r="P105" s="64" t="s">
        <v>130</v>
      </c>
    </row>
    <row r="106" spans="15:16" x14ac:dyDescent="0.3">
      <c r="O106" s="64" t="s">
        <v>234</v>
      </c>
      <c r="P106" s="64" t="s">
        <v>130</v>
      </c>
    </row>
    <row r="107" spans="15:16" x14ac:dyDescent="0.3">
      <c r="O107" s="64" t="s">
        <v>300</v>
      </c>
      <c r="P107" s="64" t="s">
        <v>130</v>
      </c>
    </row>
    <row r="108" spans="15:16" x14ac:dyDescent="0.3">
      <c r="O108" s="64" t="s">
        <v>291</v>
      </c>
      <c r="P108" s="64" t="s">
        <v>152</v>
      </c>
    </row>
    <row r="109" spans="15:16" x14ac:dyDescent="0.3">
      <c r="O109" s="64" t="s">
        <v>235</v>
      </c>
      <c r="P109" s="64" t="s">
        <v>152</v>
      </c>
    </row>
    <row r="110" spans="15:16" x14ac:dyDescent="0.3">
      <c r="O110" s="64" t="s">
        <v>236</v>
      </c>
      <c r="P110" s="64" t="s">
        <v>152</v>
      </c>
    </row>
    <row r="111" spans="15:16" x14ac:dyDescent="0.3">
      <c r="O111" s="64" t="s">
        <v>287</v>
      </c>
      <c r="P111" s="64" t="s">
        <v>152</v>
      </c>
    </row>
    <row r="112" spans="15:16" x14ac:dyDescent="0.3">
      <c r="O112" s="64" t="s">
        <v>293</v>
      </c>
    </row>
    <row r="113" spans="15:16" x14ac:dyDescent="0.3">
      <c r="O113" s="64" t="s">
        <v>305</v>
      </c>
      <c r="P113" s="64" t="s">
        <v>38</v>
      </c>
    </row>
    <row r="114" spans="15:16" x14ac:dyDescent="0.3">
      <c r="O114" s="64" t="s">
        <v>306</v>
      </c>
    </row>
    <row r="115" spans="15:16" x14ac:dyDescent="0.3">
      <c r="O115" s="64" t="s">
        <v>309</v>
      </c>
      <c r="P115" s="64" t="s">
        <v>118</v>
      </c>
    </row>
    <row r="116" spans="15:16" x14ac:dyDescent="0.3">
      <c r="O116" s="64" t="s">
        <v>329</v>
      </c>
      <c r="P116" s="64" t="s">
        <v>112</v>
      </c>
    </row>
    <row r="117" spans="15:16" x14ac:dyDescent="0.3">
      <c r="O117" s="64" t="s">
        <v>330</v>
      </c>
      <c r="P117" s="64" t="s">
        <v>115</v>
      </c>
    </row>
    <row r="118" spans="15:16" x14ac:dyDescent="0.3">
      <c r="O118" s="64" t="s">
        <v>310</v>
      </c>
      <c r="P118" s="64" t="s">
        <v>38</v>
      </c>
    </row>
    <row r="119" spans="15:16" x14ac:dyDescent="0.3">
      <c r="O119" s="64" t="s">
        <v>331</v>
      </c>
      <c r="P119" s="64" t="s">
        <v>152</v>
      </c>
    </row>
    <row r="120" spans="15:16" x14ac:dyDescent="0.3">
      <c r="O120" s="64" t="s">
        <v>334</v>
      </c>
      <c r="P120" s="64" t="s">
        <v>111</v>
      </c>
    </row>
    <row r="121" spans="15:16" x14ac:dyDescent="0.3">
      <c r="O121" s="64" t="s">
        <v>336</v>
      </c>
      <c r="P121" s="64" t="s">
        <v>111</v>
      </c>
    </row>
    <row r="122" spans="15:16" x14ac:dyDescent="0.3">
      <c r="O122" s="64" t="s">
        <v>337</v>
      </c>
      <c r="P122" s="64" t="s">
        <v>38</v>
      </c>
    </row>
    <row r="123" spans="15:16" x14ac:dyDescent="0.3">
      <c r="O123" s="64" t="s">
        <v>335</v>
      </c>
      <c r="P123" s="64" t="s">
        <v>38</v>
      </c>
    </row>
    <row r="124" spans="15:16" x14ac:dyDescent="0.3">
      <c r="O124" s="64" t="s">
        <v>338</v>
      </c>
      <c r="P124" s="64" t="s">
        <v>38</v>
      </c>
    </row>
    <row r="125" spans="15:16" x14ac:dyDescent="0.3">
      <c r="O125" s="64" t="s">
        <v>339</v>
      </c>
    </row>
    <row r="126" spans="15:16" x14ac:dyDescent="0.3">
      <c r="O126" s="64" t="s">
        <v>340</v>
      </c>
      <c r="P126" s="64" t="s">
        <v>113</v>
      </c>
    </row>
    <row r="127" spans="15:16" x14ac:dyDescent="0.3">
      <c r="O127" s="64" t="s">
        <v>341</v>
      </c>
      <c r="P127" s="64" t="s">
        <v>112</v>
      </c>
    </row>
    <row r="128" spans="15:16" x14ac:dyDescent="0.3">
      <c r="O128" s="64" t="s">
        <v>342</v>
      </c>
      <c r="P128" s="64" t="s">
        <v>129</v>
      </c>
    </row>
    <row r="129" spans="15:16" x14ac:dyDescent="0.3">
      <c r="O129" s="64" t="s">
        <v>345</v>
      </c>
      <c r="P129" s="64" t="s">
        <v>121</v>
      </c>
    </row>
    <row r="130" spans="15:16" x14ac:dyDescent="0.3">
      <c r="O130" s="64" t="s">
        <v>349</v>
      </c>
      <c r="P130" s="64" t="s">
        <v>111</v>
      </c>
    </row>
    <row r="131" spans="15:16" x14ac:dyDescent="0.3">
      <c r="O131" s="64" t="s">
        <v>348</v>
      </c>
      <c r="P131" s="64" t="s">
        <v>111</v>
      </c>
    </row>
    <row r="132" spans="15:16" x14ac:dyDescent="0.3">
      <c r="O132" s="64" t="s">
        <v>350</v>
      </c>
      <c r="P132" s="64" t="s">
        <v>38</v>
      </c>
    </row>
    <row r="133" spans="15:16" x14ac:dyDescent="0.3">
      <c r="O133" s="64" t="s">
        <v>351</v>
      </c>
      <c r="P133" s="64" t="s">
        <v>114</v>
      </c>
    </row>
    <row r="134" spans="15:16" x14ac:dyDescent="0.3">
      <c r="O134" s="64" t="s">
        <v>354</v>
      </c>
      <c r="P134" s="64" t="s">
        <v>121</v>
      </c>
    </row>
    <row r="135" spans="15:16" x14ac:dyDescent="0.3">
      <c r="O135" s="64" t="s">
        <v>355</v>
      </c>
      <c r="P135" s="64" t="s">
        <v>123</v>
      </c>
    </row>
    <row r="136" spans="15:16" x14ac:dyDescent="0.3">
      <c r="O136" s="64" t="s">
        <v>356</v>
      </c>
    </row>
    <row r="137" spans="15:16" x14ac:dyDescent="0.3">
      <c r="O137" s="64" t="s">
        <v>360</v>
      </c>
    </row>
  </sheetData>
  <autoFilter ref="O2:P2" xr:uid="{00000000-0001-0000-0000-000000000000}"/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A28" sqref="A28:XFD29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240" t="s">
        <v>307</v>
      </c>
      <c r="C2" s="240"/>
      <c r="D2" s="240"/>
      <c r="E2" s="240"/>
      <c r="F2" s="240"/>
      <c r="G2" s="240"/>
      <c r="H2" s="240"/>
      <c r="I2" s="240"/>
      <c r="J2" s="240"/>
    </row>
    <row r="3" spans="2:10" x14ac:dyDescent="0.3">
      <c r="B3" s="240"/>
      <c r="C3" s="240"/>
      <c r="D3" s="240"/>
      <c r="E3" s="240"/>
      <c r="F3" s="240"/>
      <c r="G3" s="240"/>
      <c r="H3" s="240"/>
      <c r="I3" s="240"/>
      <c r="J3" s="240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243" t="s">
        <v>185</v>
      </c>
      <c r="D5" s="241" t="s">
        <v>308</v>
      </c>
      <c r="E5" s="242"/>
      <c r="F5" s="107"/>
      <c r="G5" s="244" t="s">
        <v>184</v>
      </c>
      <c r="H5" s="245"/>
      <c r="I5" s="245"/>
      <c r="J5" s="107"/>
    </row>
    <row r="6" spans="2:10" ht="14.4" customHeight="1" x14ac:dyDescent="0.3">
      <c r="B6" s="107"/>
      <c r="C6" s="243"/>
      <c r="D6" s="242"/>
      <c r="E6" s="242"/>
      <c r="F6" s="107"/>
      <c r="G6" s="245"/>
      <c r="H6" s="245"/>
      <c r="I6" s="245"/>
      <c r="J6" s="107"/>
    </row>
    <row r="7" spans="2:10" ht="14.4" customHeight="1" x14ac:dyDescent="0.3">
      <c r="B7" s="107"/>
      <c r="C7" s="243"/>
      <c r="D7" s="242"/>
      <c r="E7" s="242"/>
      <c r="F7" s="107"/>
      <c r="G7" s="245"/>
      <c r="H7" s="245"/>
      <c r="I7" s="245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HAUL'!D43</f>
        <v>85982.45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1.9816504414563672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302</v>
      </c>
      <c r="D14" s="109"/>
      <c r="E14" s="113"/>
      <c r="F14" s="107"/>
      <c r="G14" s="114" t="s">
        <v>303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OB'!D8:D54)</f>
        <v>1973.0666934984522</v>
      </c>
      <c r="F15" s="107"/>
      <c r="G15" s="115" t="s">
        <v>141</v>
      </c>
      <c r="H15" s="116" t="s">
        <v>142</v>
      </c>
      <c r="I15" s="117">
        <f>'REPORT unit OB'!G56+'REPORT unit QUARRY'!G41+'REPORT unit DEVELOP'!G11+'REPORT unit ORE GETTING'!G29+'REPORT unit DT HAUL'!H43+'REPORT unit LV &amp; support'!E31</f>
        <v>240666.2104336895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OB'!J56</f>
        <v>5129695377.3567467</v>
      </c>
      <c r="F18" s="107"/>
      <c r="G18" s="109" t="s">
        <v>181</v>
      </c>
      <c r="H18" s="125">
        <f>I18/$I$26</f>
        <v>0.40638798125855019</v>
      </c>
      <c r="I18" s="126">
        <f>E18/E10</f>
        <v>59659.795427517442</v>
      </c>
      <c r="J18" s="127">
        <f>I18/$I$28</f>
        <v>4.0180357911851727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QUARRY'!J41</f>
        <v>1186422072.9016509</v>
      </c>
      <c r="F19" s="107"/>
      <c r="G19" s="109" t="s">
        <v>182</v>
      </c>
      <c r="H19" s="125">
        <f t="shared" ref="H19:H23" si="0">I19/$I$26</f>
        <v>9.3991482078128713E-2</v>
      </c>
      <c r="I19" s="126">
        <f>E19/E10</f>
        <v>13798.421339490222</v>
      </c>
      <c r="J19" s="127">
        <f t="shared" ref="J19:J23" si="1">I19/$I$28</f>
        <v>0.92931178202385656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DEVELOP'!J11</f>
        <v>0</v>
      </c>
      <c r="F20" s="107"/>
      <c r="G20" s="109" t="s">
        <v>177</v>
      </c>
      <c r="H20" s="125">
        <f t="shared" si="0"/>
        <v>0</v>
      </c>
      <c r="I20" s="126">
        <f>E20/E10</f>
        <v>0</v>
      </c>
      <c r="J20" s="127">
        <f t="shared" si="1"/>
        <v>0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GETTING'!J29</f>
        <v>1506917780.5151632</v>
      </c>
      <c r="F21" s="107"/>
      <c r="G21" s="109" t="s">
        <v>178</v>
      </c>
      <c r="H21" s="125">
        <f t="shared" si="0"/>
        <v>0.11938199633634562</v>
      </c>
      <c r="I21" s="126">
        <f>E21/E10</f>
        <v>17525.87627492777</v>
      </c>
      <c r="J21" s="127">
        <f t="shared" si="1"/>
        <v>1.1803526586023552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HAUL'!M43</f>
        <v>4540841500</v>
      </c>
      <c r="F22" s="107"/>
      <c r="G22" s="109" t="s">
        <v>179</v>
      </c>
      <c r="H22" s="125">
        <f t="shared" si="0"/>
        <v>0.35973742584124441</v>
      </c>
      <c r="I22" s="126">
        <f>E22/E10</f>
        <v>52811.259739632915</v>
      </c>
      <c r="J22" s="127">
        <f t="shared" si="1"/>
        <v>3.5567928165162255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support'!H31</f>
        <v>258778500</v>
      </c>
      <c r="F23" s="107"/>
      <c r="G23" s="109" t="s">
        <v>180</v>
      </c>
      <c r="H23" s="125">
        <f t="shared" si="0"/>
        <v>2.0501114485730994E-2</v>
      </c>
      <c r="I23" s="126">
        <f>E23/E10</f>
        <v>3009.6665075256637</v>
      </c>
      <c r="J23" s="127">
        <f t="shared" si="1"/>
        <v>0.20269844474176077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1</v>
      </c>
      <c r="I24" s="129">
        <f t="shared" ref="I24:J24" si="2">SUM(I18:I23)</f>
        <v>146805.01928909399</v>
      </c>
      <c r="J24" s="130">
        <f t="shared" si="2"/>
        <v>9.8871914930693716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12622655230.773561</v>
      </c>
      <c r="F26" s="138"/>
      <c r="G26" s="133" t="s">
        <v>95</v>
      </c>
      <c r="H26" s="139"/>
      <c r="I26" s="134">
        <f>E26/E10</f>
        <v>146805.01928909402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9.8871914930693716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13405007884.799999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782352654.02643776</v>
      </c>
      <c r="F30" s="107"/>
      <c r="G30" s="143"/>
      <c r="H30" s="144"/>
      <c r="I30" s="150"/>
      <c r="J30" s="107"/>
    </row>
    <row r="31" spans="2:10" ht="14.4" customHeight="1" x14ac:dyDescent="0.3">
      <c r="B31" s="239" t="str">
        <f>IF(E28&lt;E26,("….RUGI …..!!!!!"),("OKE….."))</f>
        <v>OKE…..</v>
      </c>
      <c r="C31" s="239"/>
      <c r="D31" s="239"/>
      <c r="E31" s="239"/>
      <c r="F31" s="239"/>
      <c r="G31" s="239"/>
      <c r="H31" s="239"/>
      <c r="I31" s="239"/>
      <c r="J31" s="239"/>
    </row>
    <row r="32" spans="2:10" ht="14.4" customHeight="1" x14ac:dyDescent="0.3">
      <c r="B32" s="239"/>
      <c r="C32" s="239"/>
      <c r="D32" s="239"/>
      <c r="E32" s="239"/>
      <c r="F32" s="239"/>
      <c r="G32" s="239"/>
      <c r="H32" s="239"/>
      <c r="I32" s="239"/>
      <c r="J32" s="239"/>
    </row>
    <row r="33" spans="2:10" ht="14.4" customHeight="1" x14ac:dyDescent="0.3">
      <c r="B33" s="239"/>
      <c r="C33" s="239"/>
      <c r="D33" s="239"/>
      <c r="E33" s="239"/>
      <c r="F33" s="239"/>
      <c r="G33" s="239"/>
      <c r="H33" s="239"/>
      <c r="I33" s="239"/>
      <c r="J33" s="239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74"/>
  <sheetViews>
    <sheetView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I26" sqref="I26"/>
    </sheetView>
  </sheetViews>
  <sheetFormatPr defaultRowHeight="12" x14ac:dyDescent="0.3"/>
  <cols>
    <col min="1" max="1" width="26" style="69" customWidth="1"/>
    <col min="2" max="3" width="17.77734375" style="69" customWidth="1"/>
    <col min="4" max="15" width="15.77734375" style="74" customWidth="1"/>
    <col min="16" max="16" width="17.77734375" style="74" customWidth="1"/>
    <col min="17" max="16384" width="8.88671875" style="74"/>
  </cols>
  <sheetData>
    <row r="1" spans="1:18" x14ac:dyDescent="0.3">
      <c r="D1" s="74">
        <v>1</v>
      </c>
      <c r="E1" s="74">
        <v>2</v>
      </c>
      <c r="F1" s="74">
        <v>3</v>
      </c>
      <c r="G1" s="74">
        <v>4</v>
      </c>
      <c r="H1" s="74">
        <v>5</v>
      </c>
      <c r="I1" s="74">
        <v>6</v>
      </c>
      <c r="J1" s="74">
        <v>7</v>
      </c>
      <c r="K1" s="74">
        <v>8</v>
      </c>
      <c r="L1" s="74">
        <v>9</v>
      </c>
      <c r="M1" s="74">
        <v>10</v>
      </c>
      <c r="N1" s="74">
        <v>11</v>
      </c>
      <c r="O1" s="74">
        <v>12</v>
      </c>
    </row>
    <row r="2" spans="1:18" s="69" customFormat="1" x14ac:dyDescent="0.3">
      <c r="B2" s="70">
        <v>2022</v>
      </c>
      <c r="C2" s="70" t="s">
        <v>358</v>
      </c>
      <c r="D2" s="70" t="s">
        <v>153</v>
      </c>
      <c r="E2" s="70" t="s">
        <v>154</v>
      </c>
      <c r="F2" s="70" t="s">
        <v>155</v>
      </c>
      <c r="G2" s="70" t="s">
        <v>156</v>
      </c>
      <c r="H2" s="70" t="s">
        <v>157</v>
      </c>
      <c r="I2" s="70" t="s">
        <v>158</v>
      </c>
      <c r="J2" s="70" t="s">
        <v>159</v>
      </c>
      <c r="K2" s="70" t="s">
        <v>160</v>
      </c>
      <c r="L2" s="70" t="s">
        <v>161</v>
      </c>
      <c r="M2" s="70" t="s">
        <v>162</v>
      </c>
      <c r="N2" s="70" t="s">
        <v>163</v>
      </c>
      <c r="O2" s="70" t="s">
        <v>164</v>
      </c>
      <c r="P2" s="71" t="s">
        <v>359</v>
      </c>
    </row>
    <row r="3" spans="1:18" x14ac:dyDescent="0.3">
      <c r="A3" s="72" t="s">
        <v>315</v>
      </c>
      <c r="B3" s="91">
        <v>2593394.6799999997</v>
      </c>
      <c r="C3" s="91">
        <v>1762644.37</v>
      </c>
      <c r="D3" s="73">
        <v>96004.7</v>
      </c>
      <c r="E3" s="73">
        <v>64356.6</v>
      </c>
      <c r="F3" s="73">
        <v>103019.79999999999</v>
      </c>
      <c r="G3" s="73">
        <v>91039.4</v>
      </c>
      <c r="H3" s="73">
        <f>SUMMARY!$E$10</f>
        <v>124621.90000000002</v>
      </c>
      <c r="I3" s="73"/>
      <c r="J3" s="73"/>
      <c r="K3" s="73"/>
      <c r="L3" s="73"/>
      <c r="M3" s="73"/>
      <c r="N3" s="73"/>
      <c r="O3" s="73"/>
      <c r="P3" s="91">
        <f>SUM(D3:O3)</f>
        <v>479042.4</v>
      </c>
    </row>
    <row r="4" spans="1:18" x14ac:dyDescent="0.3">
      <c r="A4" s="75" t="s">
        <v>76</v>
      </c>
      <c r="B4" s="92">
        <v>2365922.3199999998</v>
      </c>
      <c r="C4" s="92">
        <v>2351389.8299999996</v>
      </c>
      <c r="D4" s="76">
        <v>139218.54999999999</v>
      </c>
      <c r="E4" s="76">
        <v>135612.64999999997</v>
      </c>
      <c r="F4" s="76">
        <v>139849.34000000003</v>
      </c>
      <c r="G4" s="76">
        <v>37314.719999999994</v>
      </c>
      <c r="H4" s="76">
        <f>SUMMARY!$E$11</f>
        <v>85982.45</v>
      </c>
      <c r="I4" s="76"/>
      <c r="J4" s="76"/>
      <c r="K4" s="76"/>
      <c r="L4" s="76"/>
      <c r="M4" s="76"/>
      <c r="N4" s="76"/>
      <c r="O4" s="76"/>
      <c r="P4" s="92">
        <f>SUM(D4:O4)</f>
        <v>537977.71</v>
      </c>
    </row>
    <row r="5" spans="1:18" x14ac:dyDescent="0.3">
      <c r="A5" s="101" t="s">
        <v>183</v>
      </c>
      <c r="B5" s="103">
        <v>485042.22</v>
      </c>
      <c r="C5" s="103">
        <v>231202.35000000003</v>
      </c>
      <c r="D5" s="102">
        <v>20164.900000000001</v>
      </c>
      <c r="E5" s="102">
        <v>33195.1</v>
      </c>
      <c r="F5" s="102">
        <v>25675.5</v>
      </c>
      <c r="G5" s="102">
        <v>22698.100000000002</v>
      </c>
      <c r="H5" s="102">
        <f>SUMMARY!$E$12</f>
        <v>15925.800000000001</v>
      </c>
      <c r="I5" s="102"/>
      <c r="J5" s="102"/>
      <c r="K5" s="102"/>
      <c r="L5" s="102"/>
      <c r="M5" s="102"/>
      <c r="N5" s="102"/>
      <c r="O5" s="102"/>
      <c r="P5" s="103">
        <f>SUM(D5:O5)</f>
        <v>117659.40000000001</v>
      </c>
    </row>
    <row r="6" spans="1:18" x14ac:dyDescent="0.3">
      <c r="A6" s="77" t="s">
        <v>78</v>
      </c>
      <c r="B6" s="93">
        <v>1.0961453206122169</v>
      </c>
      <c r="C6" s="93">
        <v>0.74961809714044758</v>
      </c>
      <c r="D6" s="78">
        <v>0.68959704004961986</v>
      </c>
      <c r="E6" s="78">
        <v>0.47456192324241148</v>
      </c>
      <c r="F6" s="78">
        <v>0.73664845325691186</v>
      </c>
      <c r="G6" s="78">
        <v>2.4397717576334488</v>
      </c>
      <c r="H6" s="78">
        <f>SUMMARY!$E$13</f>
        <v>1.4493876366630636</v>
      </c>
      <c r="I6" s="78"/>
      <c r="J6" s="78"/>
      <c r="K6" s="78"/>
      <c r="L6" s="78"/>
      <c r="M6" s="78"/>
      <c r="N6" s="78"/>
      <c r="O6" s="78"/>
      <c r="P6" s="93">
        <f>P3/P4</f>
        <v>0.8904502753469099</v>
      </c>
    </row>
    <row r="7" spans="1:18" x14ac:dyDescent="0.3">
      <c r="A7" s="69" t="s">
        <v>323</v>
      </c>
      <c r="B7" s="94"/>
      <c r="C7" s="151">
        <v>0.78268589470443917</v>
      </c>
      <c r="D7" s="155">
        <v>0.61237556448822628</v>
      </c>
      <c r="E7" s="155">
        <v>0.45742556258606226</v>
      </c>
      <c r="F7" s="155">
        <v>1.0399677465379984</v>
      </c>
      <c r="G7" s="155">
        <v>1.0081963215624414</v>
      </c>
      <c r="H7" s="155">
        <f>SUMMARY!$F$10</f>
        <v>1.1503199372929933</v>
      </c>
      <c r="I7" s="108"/>
      <c r="J7" s="108"/>
      <c r="K7" s="108"/>
      <c r="L7" s="108"/>
      <c r="M7" s="108"/>
      <c r="N7" s="108"/>
      <c r="O7" s="108"/>
      <c r="P7" s="151">
        <f t="shared" ref="P7:P9" si="0">AVERAGE(D7:O7)</f>
        <v>0.85365702649354436</v>
      </c>
    </row>
    <row r="8" spans="1:18" x14ac:dyDescent="0.3">
      <c r="A8" s="69" t="s">
        <v>324</v>
      </c>
      <c r="B8" s="94"/>
      <c r="C8" s="151">
        <v>0.76813006959413732</v>
      </c>
      <c r="D8" s="155">
        <v>0.70046751531385376</v>
      </c>
      <c r="E8" s="155">
        <v>0.74603212069480607</v>
      </c>
      <c r="F8" s="155">
        <v>0.92166554901620257</v>
      </c>
      <c r="G8" s="155">
        <v>0.24727914688551178</v>
      </c>
      <c r="H8" s="155">
        <f>SUMMARY!$F$11</f>
        <v>0.56929094022498383</v>
      </c>
      <c r="I8" s="108"/>
      <c r="J8" s="108"/>
      <c r="K8" s="108"/>
      <c r="L8" s="108"/>
      <c r="M8" s="108"/>
      <c r="N8" s="108"/>
      <c r="O8" s="108"/>
      <c r="P8" s="151">
        <f t="shared" si="0"/>
        <v>0.63694705442707156</v>
      </c>
    </row>
    <row r="9" spans="1:18" x14ac:dyDescent="0.3">
      <c r="A9" s="69" t="s">
        <v>325</v>
      </c>
      <c r="B9" s="94"/>
      <c r="C9" s="151">
        <v>0.63743932120077085</v>
      </c>
      <c r="D9" s="155">
        <v>0.6431191400185946</v>
      </c>
      <c r="E9" s="155">
        <v>1.1796993076545836</v>
      </c>
      <c r="F9" s="155">
        <v>1.2959495104939236</v>
      </c>
      <c r="G9" s="155">
        <v>1.2568262162567225</v>
      </c>
      <c r="H9" s="155">
        <f>SUMMARY!$F$12</f>
        <v>0.73501388027869696</v>
      </c>
      <c r="I9" s="108"/>
      <c r="J9" s="108"/>
      <c r="K9" s="108"/>
      <c r="L9" s="108"/>
      <c r="M9" s="108"/>
      <c r="N9" s="108"/>
      <c r="O9" s="108"/>
      <c r="P9" s="151">
        <f t="shared" si="0"/>
        <v>1.0221216109405042</v>
      </c>
    </row>
    <row r="10" spans="1:18" x14ac:dyDescent="0.3">
      <c r="A10" s="69" t="s">
        <v>165</v>
      </c>
      <c r="B10" s="94">
        <v>996.25291105027236</v>
      </c>
      <c r="C10" s="94">
        <v>247.73716078195108</v>
      </c>
      <c r="D10" s="79">
        <v>80.948313659359187</v>
      </c>
      <c r="E10" s="79">
        <v>33.611845197681099</v>
      </c>
      <c r="F10" s="79">
        <v>70.803986254295523</v>
      </c>
      <c r="G10" s="79">
        <v>74.56134316134316</v>
      </c>
      <c r="H10" s="79">
        <f>SUMMARY!$E$18</f>
        <v>78.035003130870393</v>
      </c>
      <c r="I10" s="79"/>
      <c r="J10" s="79"/>
      <c r="K10" s="79"/>
      <c r="L10" s="79"/>
      <c r="M10" s="79"/>
      <c r="N10" s="79"/>
      <c r="O10" s="79"/>
      <c r="P10" s="94">
        <f>AVERAGE(D10:O10)</f>
        <v>67.592098280709877</v>
      </c>
    </row>
    <row r="11" spans="1:18" x14ac:dyDescent="0.3">
      <c r="A11" s="94" t="str">
        <f>'SUMMARY 2'!C18</f>
        <v>COST OB REMOVAL</v>
      </c>
      <c r="B11" s="95">
        <v>117351549119.59256</v>
      </c>
      <c r="C11" s="95">
        <v>89114970157.492325</v>
      </c>
      <c r="D11" s="80">
        <v>6960925765.63799</v>
      </c>
      <c r="E11" s="80">
        <v>5222995676.1752787</v>
      </c>
      <c r="F11" s="80">
        <v>5827686516.535533</v>
      </c>
      <c r="G11" s="80">
        <v>4200363392.4252195</v>
      </c>
      <c r="H11" s="80">
        <f>SUMMARY!$D$22</f>
        <v>5129695377.3567467</v>
      </c>
      <c r="I11" s="80"/>
      <c r="J11" s="80"/>
      <c r="K11" s="80"/>
      <c r="L11" s="80"/>
      <c r="M11" s="80"/>
      <c r="N11" s="80"/>
      <c r="O11" s="80"/>
      <c r="P11" s="95">
        <f t="shared" ref="P11:P27" si="1">SUM(D11:O11)</f>
        <v>27341666728.130768</v>
      </c>
      <c r="R11" s="108"/>
    </row>
    <row r="12" spans="1:18" x14ac:dyDescent="0.3">
      <c r="A12" s="94" t="str">
        <f>'SUMMARY 2'!C19</f>
        <v>COST QUARRY HAULING</v>
      </c>
      <c r="B12" s="95">
        <v>15778967244.113117</v>
      </c>
      <c r="C12" s="95">
        <v>11003332333.603985</v>
      </c>
      <c r="D12" s="80">
        <v>307546487.40771598</v>
      </c>
      <c r="E12" s="80">
        <v>1007714291.9115051</v>
      </c>
      <c r="F12" s="80">
        <v>1652176858.1483157</v>
      </c>
      <c r="G12" s="80">
        <v>1531554207.0121827</v>
      </c>
      <c r="H12" s="80">
        <f>SUMMARY!$D$23</f>
        <v>1186422072.9016509</v>
      </c>
      <c r="I12" s="80"/>
      <c r="J12" s="80"/>
      <c r="K12" s="80"/>
      <c r="L12" s="80"/>
      <c r="M12" s="80"/>
      <c r="N12" s="80"/>
      <c r="O12" s="80"/>
      <c r="P12" s="95">
        <f t="shared" si="1"/>
        <v>5685413917.3813705</v>
      </c>
      <c r="R12" s="108"/>
    </row>
    <row r="13" spans="1:18" x14ac:dyDescent="0.3">
      <c r="A13" s="94" t="str">
        <f>'SUMMARY 2'!C20</f>
        <v>COST DEVELOP ACT.</v>
      </c>
      <c r="B13" s="95">
        <v>279499500</v>
      </c>
      <c r="C13" s="95">
        <v>1511876000</v>
      </c>
      <c r="D13" s="80">
        <v>29087910.582822084</v>
      </c>
      <c r="E13" s="80">
        <v>7937511.7300924268</v>
      </c>
      <c r="F13" s="80">
        <v>4814495.4411341771</v>
      </c>
      <c r="G13" s="80">
        <v>0</v>
      </c>
      <c r="H13" s="80">
        <f>SUMMARY!$D$24</f>
        <v>0</v>
      </c>
      <c r="I13" s="80"/>
      <c r="J13" s="80"/>
      <c r="K13" s="80"/>
      <c r="L13" s="80"/>
      <c r="M13" s="80"/>
      <c r="N13" s="80"/>
      <c r="O13" s="80"/>
      <c r="P13" s="95">
        <f t="shared" si="1"/>
        <v>41839917.75404869</v>
      </c>
      <c r="R13" s="108"/>
    </row>
    <row r="14" spans="1:18" x14ac:dyDescent="0.3">
      <c r="A14" s="94" t="str">
        <f>'SUMMARY 2'!C21</f>
        <v>COST ORE GETTING</v>
      </c>
      <c r="B14" s="95">
        <v>36943314302.027191</v>
      </c>
      <c r="C14" s="95">
        <v>29478347836.00732</v>
      </c>
      <c r="D14" s="80">
        <v>1659006090.9508765</v>
      </c>
      <c r="E14" s="80">
        <v>1909600441.3110747</v>
      </c>
      <c r="F14" s="80">
        <v>1805188806.0275915</v>
      </c>
      <c r="G14" s="80">
        <v>877810447.92170036</v>
      </c>
      <c r="H14" s="80">
        <f>SUMMARY!$D$25</f>
        <v>1506917780.5151632</v>
      </c>
      <c r="I14" s="80"/>
      <c r="J14" s="80"/>
      <c r="K14" s="80"/>
      <c r="L14" s="80"/>
      <c r="M14" s="80"/>
      <c r="N14" s="80"/>
      <c r="O14" s="80"/>
      <c r="P14" s="95">
        <f t="shared" si="1"/>
        <v>7758523566.7264071</v>
      </c>
      <c r="R14" s="108"/>
    </row>
    <row r="15" spans="1:18" x14ac:dyDescent="0.3">
      <c r="A15" s="94" t="str">
        <f>'SUMMARY 2'!C22</f>
        <v>COST ORE HAULING</v>
      </c>
      <c r="B15" s="95">
        <v>97545270500</v>
      </c>
      <c r="C15" s="95">
        <v>100875347500</v>
      </c>
      <c r="D15" s="80">
        <v>8167942000</v>
      </c>
      <c r="E15" s="80">
        <v>8818596000</v>
      </c>
      <c r="F15" s="80">
        <v>6809658000</v>
      </c>
      <c r="G15" s="80">
        <v>3762316000</v>
      </c>
      <c r="H15" s="80">
        <f>SUMMARY!$D$26</f>
        <v>4540841500</v>
      </c>
      <c r="I15" s="80"/>
      <c r="J15" s="80"/>
      <c r="K15" s="80"/>
      <c r="L15" s="80"/>
      <c r="M15" s="80"/>
      <c r="N15" s="80"/>
      <c r="O15" s="80"/>
      <c r="P15" s="95">
        <f t="shared" si="1"/>
        <v>32099353500</v>
      </c>
      <c r="R15" s="108"/>
    </row>
    <row r="16" spans="1:18" x14ac:dyDescent="0.3">
      <c r="A16" s="94" t="str">
        <f>'SUMMARY 2'!C23</f>
        <v>COST UNIT SUPPORT</v>
      </c>
      <c r="B16" s="95">
        <v>4177854000</v>
      </c>
      <c r="C16" s="95">
        <v>3796676000</v>
      </c>
      <c r="D16" s="80">
        <v>274029000</v>
      </c>
      <c r="E16" s="80">
        <v>252883000</v>
      </c>
      <c r="F16" s="80">
        <v>230297000</v>
      </c>
      <c r="G16" s="80">
        <v>206696000</v>
      </c>
      <c r="H16" s="80">
        <f>SUMMARY!$D$27</f>
        <v>258778500</v>
      </c>
      <c r="I16" s="80"/>
      <c r="J16" s="80"/>
      <c r="K16" s="80"/>
      <c r="L16" s="80"/>
      <c r="M16" s="80"/>
      <c r="N16" s="80"/>
      <c r="O16" s="80"/>
      <c r="P16" s="95">
        <f t="shared" si="1"/>
        <v>1222683500</v>
      </c>
      <c r="R16" s="108"/>
    </row>
    <row r="17" spans="1:16" x14ac:dyDescent="0.3">
      <c r="A17" s="69" t="s">
        <v>46</v>
      </c>
      <c r="B17" s="95">
        <v>272076454665.73285</v>
      </c>
      <c r="C17" s="95">
        <v>235780549827.10361</v>
      </c>
      <c r="D17" s="80">
        <v>17398537254.579407</v>
      </c>
      <c r="E17" s="80">
        <v>17219726921.127953</v>
      </c>
      <c r="F17" s="80">
        <v>16329821676.152575</v>
      </c>
      <c r="G17" s="80">
        <v>10578740047.359104</v>
      </c>
      <c r="H17" s="80">
        <f>SUMMARY!$D$30</f>
        <v>12622655230.773561</v>
      </c>
      <c r="I17" s="80"/>
      <c r="J17" s="80"/>
      <c r="K17" s="80"/>
      <c r="L17" s="80"/>
      <c r="M17" s="80"/>
      <c r="N17" s="80"/>
      <c r="O17" s="80"/>
      <c r="P17" s="95">
        <f t="shared" si="1"/>
        <v>74149481129.992599</v>
      </c>
    </row>
    <row r="18" spans="1:16" x14ac:dyDescent="0.3">
      <c r="A18" s="69" t="s">
        <v>49</v>
      </c>
      <c r="B18" s="95">
        <v>368856753377.27997</v>
      </c>
      <c r="C18" s="95">
        <v>366591080056.31995</v>
      </c>
      <c r="D18" s="80">
        <v>21704728819.199997</v>
      </c>
      <c r="E18" s="80">
        <v>21142554585.599995</v>
      </c>
      <c r="F18" s="80">
        <v>21803071503.360004</v>
      </c>
      <c r="G18" s="80">
        <v>5817514106.8799992</v>
      </c>
      <c r="H18" s="80">
        <f>SUMMARY!$D$31</f>
        <v>13405007884.799999</v>
      </c>
      <c r="I18" s="80"/>
      <c r="J18" s="80"/>
      <c r="K18" s="80"/>
      <c r="L18" s="80"/>
      <c r="M18" s="80"/>
      <c r="N18" s="80"/>
      <c r="O18" s="80"/>
      <c r="P18" s="95">
        <f t="shared" si="1"/>
        <v>83872876899.839996</v>
      </c>
    </row>
    <row r="19" spans="1:16" x14ac:dyDescent="0.3">
      <c r="A19" s="71" t="s">
        <v>166</v>
      </c>
      <c r="B19" s="96">
        <v>96780298711.547134</v>
      </c>
      <c r="C19" s="96">
        <v>130810530229.21634</v>
      </c>
      <c r="D19" s="81">
        <v>4306191564.6205902</v>
      </c>
      <c r="E19" s="81">
        <v>3922827664.4720421</v>
      </c>
      <c r="F19" s="81">
        <v>5473249827.2074299</v>
      </c>
      <c r="G19" s="81">
        <v>-4761225940.479105</v>
      </c>
      <c r="H19" s="81">
        <f>H18-H17</f>
        <v>782352654.02643776</v>
      </c>
      <c r="I19" s="81"/>
      <c r="J19" s="81"/>
      <c r="K19" s="81"/>
      <c r="L19" s="81"/>
      <c r="M19" s="81"/>
      <c r="N19" s="81"/>
      <c r="O19" s="81"/>
      <c r="P19" s="96">
        <f t="shared" si="1"/>
        <v>9723395769.8473949</v>
      </c>
    </row>
    <row r="20" spans="1:16" x14ac:dyDescent="0.3">
      <c r="A20" s="86" t="s">
        <v>292</v>
      </c>
      <c r="B20" s="88">
        <v>0.73762091157225806</v>
      </c>
      <c r="C20" s="87">
        <v>0.64317044973074711</v>
      </c>
      <c r="D20" s="87">
        <v>0.80160122706479819</v>
      </c>
      <c r="E20" s="87">
        <v>0.81445819857814883</v>
      </c>
      <c r="F20" s="87">
        <v>0.74896886310885302</v>
      </c>
      <c r="G20" s="87">
        <v>1.8184296338617056</v>
      </c>
      <c r="H20" s="87">
        <f>H17/H18</f>
        <v>0.94163728505422584</v>
      </c>
      <c r="I20" s="87"/>
      <c r="J20" s="87"/>
      <c r="K20" s="87"/>
      <c r="L20" s="87"/>
      <c r="M20" s="87"/>
      <c r="N20" s="87"/>
      <c r="O20" s="87"/>
      <c r="P20" s="87">
        <f t="shared" ref="P20" si="2">P17/P18</f>
        <v>0.88406984320498549</v>
      </c>
    </row>
    <row r="21" spans="1:16" x14ac:dyDescent="0.3">
      <c r="A21" s="86" t="s">
        <v>167</v>
      </c>
      <c r="B21" s="88">
        <v>0.26237908842774194</v>
      </c>
      <c r="C21" s="88">
        <v>0.35682955026925289</v>
      </c>
      <c r="D21" s="87">
        <v>0.19839877293520178</v>
      </c>
      <c r="E21" s="87">
        <v>0.18554180142185112</v>
      </c>
      <c r="F21" s="87">
        <v>0.25103113689114692</v>
      </c>
      <c r="G21" s="87">
        <v>-0.81842963386170564</v>
      </c>
      <c r="H21" s="87">
        <f>IFERROR(H19/H18,"")</f>
        <v>5.8362714945774191E-2</v>
      </c>
      <c r="I21" s="87"/>
      <c r="J21" s="87"/>
      <c r="K21" s="87"/>
      <c r="L21" s="87"/>
      <c r="M21" s="87"/>
      <c r="N21" s="87"/>
      <c r="O21" s="87"/>
      <c r="P21" s="88">
        <f t="shared" ref="P21" si="3">P19/P18</f>
        <v>0.11593015679501444</v>
      </c>
    </row>
    <row r="22" spans="1:16" x14ac:dyDescent="0.3">
      <c r="A22" s="89" t="s">
        <v>276</v>
      </c>
      <c r="B22" s="97">
        <v>2.4824366268315292</v>
      </c>
      <c r="C22" s="97">
        <v>2.1978896953952911</v>
      </c>
      <c r="D22" s="90">
        <v>1.9117495477434583</v>
      </c>
      <c r="E22" s="90">
        <v>2.1517682900525879</v>
      </c>
      <c r="F22" s="90">
        <v>2.299202842144267</v>
      </c>
      <c r="G22" s="90">
        <v>4.3520121892665893</v>
      </c>
      <c r="H22" s="90">
        <f t="shared" ref="G22:H22" si="4">IFERROR(H27/H4,0)</f>
        <v>2.7990155018110032</v>
      </c>
      <c r="I22" s="90"/>
      <c r="J22" s="90"/>
      <c r="K22" s="90"/>
      <c r="L22" s="90"/>
      <c r="M22" s="90"/>
      <c r="N22" s="90"/>
      <c r="O22" s="90"/>
      <c r="P22" s="97">
        <f t="shared" ref="P22" si="5">IFERROR(P27/P4,0)</f>
        <v>2.3840399014166578</v>
      </c>
    </row>
    <row r="23" spans="1:16" x14ac:dyDescent="0.3">
      <c r="A23" s="89" t="s">
        <v>326</v>
      </c>
      <c r="B23" s="97"/>
      <c r="C23" s="157">
        <v>1.0138022678498653</v>
      </c>
      <c r="D23" s="160">
        <v>1.3757567517908926</v>
      </c>
      <c r="E23" s="160">
        <v>1.2106440598255119</v>
      </c>
      <c r="F23" s="156">
        <v>1.20377816778011</v>
      </c>
      <c r="G23" s="160">
        <v>0.38925901985818295</v>
      </c>
      <c r="H23" s="160">
        <f>SUMMARY!$F$14</f>
        <v>0.66693394392884697</v>
      </c>
      <c r="I23" s="90"/>
      <c r="J23" s="90"/>
      <c r="K23" s="90"/>
      <c r="L23" s="90"/>
      <c r="M23" s="90"/>
      <c r="N23" s="90"/>
      <c r="O23" s="90"/>
      <c r="P23" s="157">
        <f>AVERAGE(D23:O23)</f>
        <v>0.96927438863670901</v>
      </c>
    </row>
    <row r="24" spans="1:16" x14ac:dyDescent="0.3">
      <c r="A24" s="69" t="s">
        <v>73</v>
      </c>
      <c r="B24" s="69">
        <v>367</v>
      </c>
      <c r="C24" s="69">
        <v>365</v>
      </c>
      <c r="D24" s="74">
        <v>31</v>
      </c>
      <c r="E24" s="74">
        <v>29</v>
      </c>
      <c r="F24" s="74">
        <v>31</v>
      </c>
      <c r="G24" s="74">
        <v>30</v>
      </c>
      <c r="H24" s="74">
        <f>SUMMARY!$J$9</f>
        <v>31</v>
      </c>
      <c r="P24" s="69">
        <f t="shared" si="1"/>
        <v>152</v>
      </c>
    </row>
    <row r="25" spans="1:16" x14ac:dyDescent="0.3">
      <c r="A25" s="69" t="s">
        <v>75</v>
      </c>
      <c r="B25" s="69">
        <v>3303</v>
      </c>
      <c r="C25" s="69">
        <v>3294</v>
      </c>
      <c r="D25" s="74">
        <v>279</v>
      </c>
      <c r="E25" s="74">
        <v>261</v>
      </c>
      <c r="F25" s="74">
        <v>279</v>
      </c>
      <c r="G25" s="74">
        <v>270</v>
      </c>
      <c r="H25" s="74">
        <f>SUMMARY!$J$10</f>
        <v>279</v>
      </c>
      <c r="P25" s="69">
        <f t="shared" si="1"/>
        <v>1368</v>
      </c>
    </row>
    <row r="26" spans="1:16" x14ac:dyDescent="0.3">
      <c r="A26" s="69" t="s">
        <v>77</v>
      </c>
      <c r="B26" s="98">
        <v>0.84999999999999976</v>
      </c>
      <c r="C26" s="98">
        <v>0.8849999999999999</v>
      </c>
      <c r="D26" s="82">
        <v>0.92</v>
      </c>
      <c r="E26" s="82">
        <v>0.92</v>
      </c>
      <c r="F26" s="82">
        <v>0.92</v>
      </c>
      <c r="G26" s="82">
        <v>0.92</v>
      </c>
      <c r="H26" s="82">
        <f>SUMMARY!$J$11</f>
        <v>0.92</v>
      </c>
      <c r="I26" s="82"/>
      <c r="J26" s="82"/>
      <c r="K26" s="82"/>
      <c r="L26" s="82"/>
      <c r="M26" s="82"/>
      <c r="N26" s="82"/>
      <c r="O26" s="82"/>
      <c r="P26" s="98">
        <f>AVERAGE(D26:O26)</f>
        <v>0.92000000000000015</v>
      </c>
    </row>
    <row r="27" spans="1:16" x14ac:dyDescent="0.3">
      <c r="A27" s="69" t="s">
        <v>141</v>
      </c>
      <c r="B27" s="99">
        <v>5873252.2234062254</v>
      </c>
      <c r="C27" s="99">
        <v>5168095.4772142842</v>
      </c>
      <c r="D27" s="83">
        <v>266151</v>
      </c>
      <c r="E27" s="83">
        <v>291807</v>
      </c>
      <c r="F27" s="83">
        <v>321542</v>
      </c>
      <c r="G27" s="83">
        <v>162394.11627906977</v>
      </c>
      <c r="H27" s="83">
        <f>SUMMARY!$J$18</f>
        <v>240666.2104336895</v>
      </c>
      <c r="I27" s="83"/>
      <c r="J27" s="83"/>
      <c r="K27" s="83"/>
      <c r="L27" s="83"/>
      <c r="M27" s="83"/>
      <c r="N27" s="83"/>
      <c r="O27" s="83"/>
      <c r="P27" s="99">
        <f t="shared" si="1"/>
        <v>1282560.3267127592</v>
      </c>
    </row>
    <row r="28" spans="1:16" x14ac:dyDescent="0.3">
      <c r="A28" s="69" t="s">
        <v>327</v>
      </c>
      <c r="B28" s="99"/>
      <c r="C28" s="98">
        <v>1.3276128123623614</v>
      </c>
      <c r="D28" s="82">
        <v>1.9640550371196965</v>
      </c>
      <c r="E28" s="82">
        <v>1.6227773928795399</v>
      </c>
      <c r="F28" s="108">
        <v>1.3060900117890248</v>
      </c>
      <c r="G28" s="82">
        <v>1.5741684034457086</v>
      </c>
      <c r="H28" s="82">
        <f>SUMMARY!$J$19</f>
        <v>1.1715168761780657</v>
      </c>
      <c r="I28" s="83"/>
      <c r="J28" s="83"/>
      <c r="K28" s="83"/>
      <c r="L28" s="83"/>
      <c r="M28" s="83"/>
      <c r="N28" s="83"/>
      <c r="O28" s="83"/>
      <c r="P28" s="98">
        <f>AVERAGE(D28:O28)</f>
        <v>1.5277215442824073</v>
      </c>
    </row>
    <row r="29" spans="1:16" s="106" customFormat="1" x14ac:dyDescent="0.3">
      <c r="A29" s="104" t="s">
        <v>95</v>
      </c>
      <c r="B29" s="100">
        <v>127919.31197297059</v>
      </c>
      <c r="C29" s="104">
        <v>102888.03974021979</v>
      </c>
      <c r="D29" s="105">
        <v>124972.8377043103</v>
      </c>
      <c r="E29" s="105">
        <v>126977.29099112772</v>
      </c>
      <c r="F29" s="85">
        <v>116767.24163412263</v>
      </c>
      <c r="G29" s="105">
        <v>283500.45363757538</v>
      </c>
      <c r="H29" s="105">
        <f>SUMMARY!$J$30</f>
        <v>146805.01928909402</v>
      </c>
      <c r="I29" s="85"/>
      <c r="J29" s="85"/>
      <c r="K29" s="85"/>
      <c r="L29" s="85"/>
      <c r="M29" s="105"/>
      <c r="N29" s="105"/>
      <c r="O29" s="105"/>
      <c r="P29" s="104">
        <f>AVERAGE(D29:O29)</f>
        <v>159804.56865124599</v>
      </c>
    </row>
    <row r="30" spans="1:16" x14ac:dyDescent="0.3">
      <c r="A30" s="84" t="str">
        <f>[1]SUMMARY!G21</f>
        <v>( USD / Ton )</v>
      </c>
      <c r="B30" s="100">
        <v>8.7326730317623653</v>
      </c>
      <c r="C30" s="100">
        <v>6.9294207799178196</v>
      </c>
      <c r="D30" s="85">
        <v>8.4168128841803806</v>
      </c>
      <c r="E30" s="85">
        <v>8.5518110850705629</v>
      </c>
      <c r="F30" s="85">
        <v>7.8641730626429576</v>
      </c>
      <c r="G30" s="85">
        <v>19.093511155547912</v>
      </c>
      <c r="H30" s="85">
        <f>SUMMARY!$J$31</f>
        <v>9.8871914930693716</v>
      </c>
      <c r="I30" s="85"/>
      <c r="J30" s="85"/>
      <c r="K30" s="85"/>
      <c r="L30" s="85"/>
      <c r="M30" s="85"/>
      <c r="N30" s="85"/>
      <c r="O30" s="85"/>
      <c r="P30" s="100">
        <f>AVERAGE(D30:O30)</f>
        <v>10.762699936102237</v>
      </c>
    </row>
    <row r="31" spans="1:16" x14ac:dyDescent="0.3">
      <c r="J31" s="79"/>
      <c r="K31" s="82"/>
    </row>
    <row r="41" spans="1:3" x14ac:dyDescent="0.3">
      <c r="A41" s="151"/>
      <c r="B41" s="151"/>
      <c r="C41" s="151"/>
    </row>
    <row r="43" spans="1:3" x14ac:dyDescent="0.3">
      <c r="A43" s="152"/>
      <c r="B43" s="152"/>
      <c r="C43" s="152"/>
    </row>
    <row r="59" spans="10:11" x14ac:dyDescent="0.3">
      <c r="J59" s="158"/>
    </row>
    <row r="61" spans="10:11" x14ac:dyDescent="0.3">
      <c r="K61" s="159"/>
    </row>
    <row r="67" spans="1:3" x14ac:dyDescent="0.3">
      <c r="A67" s="69" t="s">
        <v>328</v>
      </c>
      <c r="B67" s="74"/>
      <c r="C67" s="74"/>
    </row>
    <row r="68" spans="1:3" x14ac:dyDescent="0.3">
      <c r="A68" s="69" t="s">
        <v>323</v>
      </c>
      <c r="B68" s="159"/>
      <c r="C68" s="159"/>
    </row>
    <row r="69" spans="1:3" x14ac:dyDescent="0.3">
      <c r="A69" s="69" t="s">
        <v>324</v>
      </c>
      <c r="B69" s="159" t="s">
        <v>352</v>
      </c>
      <c r="C69" s="159"/>
    </row>
    <row r="70" spans="1:3" x14ac:dyDescent="0.3">
      <c r="A70" s="69" t="s">
        <v>325</v>
      </c>
      <c r="B70" s="159" t="s">
        <v>353</v>
      </c>
      <c r="C70" s="159"/>
    </row>
    <row r="71" spans="1:3" x14ac:dyDescent="0.3">
      <c r="A71" s="69" t="s">
        <v>326</v>
      </c>
      <c r="B71" s="159" t="s">
        <v>343</v>
      </c>
      <c r="C71" s="159"/>
    </row>
    <row r="72" spans="1:3" x14ac:dyDescent="0.3">
      <c r="A72" s="69" t="s">
        <v>327</v>
      </c>
      <c r="B72" s="159" t="s">
        <v>344</v>
      </c>
      <c r="C72" s="159"/>
    </row>
    <row r="73" spans="1:3" x14ac:dyDescent="0.3">
      <c r="B73" s="74"/>
      <c r="C73" s="74"/>
    </row>
    <row r="74" spans="1:3" x14ac:dyDescent="0.3">
      <c r="B74" s="74"/>
      <c r="C74" s="74"/>
    </row>
  </sheetData>
  <printOptions horizontalCentered="1"/>
  <pageMargins left="0.45" right="0.45" top="0.5" bottom="0.5" header="0.3" footer="0.3"/>
  <pageSetup paperSize="8"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61"/>
  <sheetViews>
    <sheetView zoomScaleNormal="100" workbookViewId="0">
      <pane xSplit="3" ySplit="7" topLeftCell="D35" activePane="bottomRight" state="frozenSplit"/>
      <selection activeCell="B47" sqref="B47"/>
      <selection pane="topRight" activeCell="B47" sqref="B47"/>
      <selection pane="bottomLeft" activeCell="B47" sqref="B47"/>
      <selection pane="bottomRight" activeCell="H17" sqref="H17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50" t="s">
        <v>168</v>
      </c>
      <c r="C2" s="25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50"/>
      <c r="C3" s="25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7" t="s">
        <v>1</v>
      </c>
      <c r="C5" s="247" t="s">
        <v>88</v>
      </c>
      <c r="D5" s="248" t="s">
        <v>36</v>
      </c>
      <c r="E5" s="248"/>
      <c r="F5" s="248"/>
      <c r="G5" s="249" t="s">
        <v>37</v>
      </c>
      <c r="H5" s="249"/>
      <c r="I5" s="247" t="s">
        <v>54</v>
      </c>
      <c r="J5" s="251" t="s">
        <v>82</v>
      </c>
      <c r="K5" s="31"/>
      <c r="L5" s="247" t="s">
        <v>47</v>
      </c>
      <c r="M5" s="247" t="s">
        <v>89</v>
      </c>
      <c r="N5" s="247"/>
    </row>
    <row r="6" spans="2:15" ht="15" customHeight="1" x14ac:dyDescent="0.3">
      <c r="B6" s="247"/>
      <c r="C6" s="247"/>
      <c r="D6" s="39" t="s">
        <v>26</v>
      </c>
      <c r="E6" s="40" t="s">
        <v>31</v>
      </c>
      <c r="F6" s="247" t="s">
        <v>28</v>
      </c>
      <c r="G6" s="39" t="s">
        <v>27</v>
      </c>
      <c r="H6" s="247" t="s">
        <v>28</v>
      </c>
      <c r="I6" s="247"/>
      <c r="J6" s="251"/>
      <c r="K6" s="31"/>
      <c r="L6" s="247"/>
      <c r="M6" s="247"/>
      <c r="N6" s="247"/>
    </row>
    <row r="7" spans="2:15" ht="15" customHeight="1" x14ac:dyDescent="0.3">
      <c r="B7" s="247"/>
      <c r="C7" s="247"/>
      <c r="D7" s="39" t="s">
        <v>29</v>
      </c>
      <c r="E7" s="40" t="s">
        <v>30</v>
      </c>
      <c r="F7" s="247"/>
      <c r="G7" s="39" t="s">
        <v>32</v>
      </c>
      <c r="H7" s="247"/>
      <c r="I7" s="39" t="s">
        <v>33</v>
      </c>
      <c r="J7" s="251"/>
      <c r="K7" s="31"/>
      <c r="L7" s="247"/>
      <c r="M7" s="247"/>
      <c r="N7" s="247"/>
    </row>
    <row r="8" spans="2:15" x14ac:dyDescent="0.3">
      <c r="B8" s="41">
        <f>ROW(B8)-7</f>
        <v>1</v>
      </c>
      <c r="C8" s="41" t="s">
        <v>186</v>
      </c>
      <c r="D8" s="42">
        <v>195</v>
      </c>
      <c r="E8" s="62">
        <f>IF(O8="K",VLOOKUP(M8,Table2[[#All],[UNIT]:[Column7]],10,FALSE),0)</f>
        <v>1000000</v>
      </c>
      <c r="F8" s="43">
        <f>D8*E8</f>
        <v>195000000</v>
      </c>
      <c r="G8" s="42">
        <v>5647.7777777777774</v>
      </c>
      <c r="H8" s="44">
        <f>G8*$C$59</f>
        <v>64949444.44444444</v>
      </c>
      <c r="I8" s="42">
        <f t="shared" ref="I8:I56" si="0">IFERROR(G8/D8,0)</f>
        <v>28.962962962962962</v>
      </c>
      <c r="J8" s="45">
        <f>F8+H8</f>
        <v>259949444.44444445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f t="shared" ref="B9:B54" si="1">ROW(B9)-7</f>
        <v>2</v>
      </c>
      <c r="C9" s="41" t="s">
        <v>187</v>
      </c>
      <c r="D9" s="42">
        <v>211</v>
      </c>
      <c r="E9" s="62">
        <f>IF(O9="K",VLOOKUP(M9,Table2[[#All],[UNIT]:[Column7]],10,FALSE),0)</f>
        <v>1000000</v>
      </c>
      <c r="F9" s="43">
        <f t="shared" ref="F9:F17" si="2">D9*E9</f>
        <v>211000000</v>
      </c>
      <c r="G9" s="42">
        <v>4790.659090909091</v>
      </c>
      <c r="H9" s="44">
        <f>G9*$C$59</f>
        <v>55092579.545454547</v>
      </c>
      <c r="I9" s="42">
        <f t="shared" ref="I9:I17" si="3">IFERROR(G9/D9,0)</f>
        <v>22.704545454545453</v>
      </c>
      <c r="J9" s="45">
        <f t="shared" ref="J9:J17" si="4">F9+H9</f>
        <v>266092579.54545456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:N17" si="5">C9</f>
        <v>KOMATSU PC 500 - 02</v>
      </c>
      <c r="O9" s="15" t="s">
        <v>56</v>
      </c>
    </row>
    <row r="10" spans="2:15" x14ac:dyDescent="0.3">
      <c r="B10" s="41">
        <f t="shared" si="1"/>
        <v>3</v>
      </c>
      <c r="C10" s="41" t="s">
        <v>237</v>
      </c>
      <c r="D10" s="42">
        <v>61</v>
      </c>
      <c r="E10" s="62">
        <f>IF(O10="K",VLOOKUP(M10,Table2[[#All],[UNIT]:[Column7]],10,FALSE),0)</f>
        <v>1000000</v>
      </c>
      <c r="F10" s="43">
        <f t="shared" si="2"/>
        <v>61000000</v>
      </c>
      <c r="G10" s="42">
        <v>1867.0231213872833</v>
      </c>
      <c r="H10" s="44">
        <f>G10*$C$59</f>
        <v>21470765.895953756</v>
      </c>
      <c r="I10" s="42">
        <f t="shared" si="3"/>
        <v>30.606936416184972</v>
      </c>
      <c r="J10" s="45">
        <f t="shared" si="4"/>
        <v>82470765.89595376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si="5"/>
        <v>KOMATSU PC 500 - 04</v>
      </c>
      <c r="O10" s="15" t="s">
        <v>56</v>
      </c>
    </row>
    <row r="11" spans="2:15" x14ac:dyDescent="0.3">
      <c r="B11" s="41">
        <f t="shared" si="1"/>
        <v>4</v>
      </c>
      <c r="C11" s="41" t="s">
        <v>340</v>
      </c>
      <c r="D11" s="42">
        <v>14</v>
      </c>
      <c r="E11" s="62">
        <f>IF(O11="K",VLOOKUP(M11,Table2[[#All],[UNIT]:[Column7]],10,FALSE),0)</f>
        <v>950000</v>
      </c>
      <c r="F11" s="43">
        <f t="shared" si="2"/>
        <v>13300000</v>
      </c>
      <c r="G11" s="42">
        <v>526</v>
      </c>
      <c r="H11" s="44">
        <f>G11*$C$59</f>
        <v>6049000</v>
      </c>
      <c r="I11" s="42">
        <f t="shared" si="3"/>
        <v>37.571428571428569</v>
      </c>
      <c r="J11" s="45">
        <f t="shared" si="4"/>
        <v>19349000</v>
      </c>
      <c r="K11" s="36"/>
      <c r="L11" s="41" t="s">
        <v>257</v>
      </c>
      <c r="M11" s="41" t="str">
        <f>VLOOKUP(N11,'list rate unit'!O:P,2,FALSE)</f>
        <v>PC 400 LC SE-8</v>
      </c>
      <c r="N11" s="41" t="str">
        <f t="shared" si="5"/>
        <v>KOMATSU PC 400 - 02</v>
      </c>
      <c r="O11" s="15" t="s">
        <v>56</v>
      </c>
    </row>
    <row r="12" spans="2:15" x14ac:dyDescent="0.3">
      <c r="B12" s="41">
        <f t="shared" si="1"/>
        <v>5</v>
      </c>
      <c r="C12" s="41" t="s">
        <v>329</v>
      </c>
      <c r="D12" s="42">
        <v>51</v>
      </c>
      <c r="E12" s="62">
        <f>IF(O12="K",VLOOKUP(M12,Table2[[#All],[UNIT]:[Column7]],10,FALSE),0)</f>
        <v>400000</v>
      </c>
      <c r="F12" s="43">
        <f t="shared" si="2"/>
        <v>20400000</v>
      </c>
      <c r="G12" s="42">
        <v>763</v>
      </c>
      <c r="H12" s="44">
        <f>G12*$C$59</f>
        <v>8774500</v>
      </c>
      <c r="I12" s="42">
        <f t="shared" si="3"/>
        <v>14.96078431372549</v>
      </c>
      <c r="J12" s="45">
        <f t="shared" si="4"/>
        <v>29174500</v>
      </c>
      <c r="K12" s="36"/>
      <c r="L12" s="41" t="s">
        <v>257</v>
      </c>
      <c r="M12" s="41" t="str">
        <f>VLOOKUP(N12,'list rate unit'!O:P,2,FALSE)</f>
        <v>PC 300 SE-8</v>
      </c>
      <c r="N12" s="41" t="str">
        <f t="shared" si="5"/>
        <v>KOMATSU PC 300 - 07</v>
      </c>
      <c r="O12" s="15" t="s">
        <v>56</v>
      </c>
    </row>
    <row r="13" spans="2:15" x14ac:dyDescent="0.3">
      <c r="B13" s="41">
        <f t="shared" si="1"/>
        <v>6</v>
      </c>
      <c r="C13" s="41" t="s">
        <v>190</v>
      </c>
      <c r="D13" s="42">
        <v>89</v>
      </c>
      <c r="E13" s="62">
        <f>IF(O13="K",VLOOKUP(M13,Table2[[#All],[UNIT]:[Column7]],10,FALSE),0)</f>
        <v>400000</v>
      </c>
      <c r="F13" s="43">
        <f t="shared" si="2"/>
        <v>35600000</v>
      </c>
      <c r="G13" s="42">
        <v>1951.257575757576</v>
      </c>
      <c r="H13" s="44">
        <f>G13*$C$59</f>
        <v>22439462.121212125</v>
      </c>
      <c r="I13" s="42">
        <f t="shared" si="3"/>
        <v>21.924242424242426</v>
      </c>
      <c r="J13" s="45">
        <f t="shared" si="4"/>
        <v>58039462.121212125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5"/>
        <v>KOMATSU PC 300 - 10</v>
      </c>
      <c r="O13" s="15" t="s">
        <v>56</v>
      </c>
    </row>
    <row r="14" spans="2:15" x14ac:dyDescent="0.3">
      <c r="B14" s="41">
        <f t="shared" si="1"/>
        <v>7</v>
      </c>
      <c r="C14" s="41" t="s">
        <v>294</v>
      </c>
      <c r="D14" s="42">
        <v>30</v>
      </c>
      <c r="E14" s="62">
        <f>IF(O14="K",VLOOKUP(M14,Table2[[#All],[UNIT]:[Column7]],10,FALSE),0)</f>
        <v>400000</v>
      </c>
      <c r="F14" s="43">
        <f t="shared" si="2"/>
        <v>12000000</v>
      </c>
      <c r="G14" s="42">
        <v>583.63636363636363</v>
      </c>
      <c r="H14" s="44">
        <f>G14*$C$59</f>
        <v>6711818.1818181816</v>
      </c>
      <c r="I14" s="42">
        <f t="shared" si="3"/>
        <v>19.454545454545453</v>
      </c>
      <c r="J14" s="45">
        <f t="shared" si="4"/>
        <v>18711818.18181818</v>
      </c>
      <c r="K14" s="36"/>
      <c r="L14" s="41" t="s">
        <v>257</v>
      </c>
      <c r="M14" s="41" t="str">
        <f>VLOOKUP(N14,'list rate unit'!O:P,2,FALSE)</f>
        <v>PC 300 SE-8</v>
      </c>
      <c r="N14" s="41" t="str">
        <f t="shared" si="5"/>
        <v>KOMATSU PC 300 - 11</v>
      </c>
      <c r="O14" s="15" t="s">
        <v>56</v>
      </c>
    </row>
    <row r="15" spans="2:15" x14ac:dyDescent="0.3">
      <c r="B15" s="41">
        <f t="shared" si="1"/>
        <v>8</v>
      </c>
      <c r="C15" s="41" t="s">
        <v>247</v>
      </c>
      <c r="D15" s="42">
        <v>37</v>
      </c>
      <c r="E15" s="62">
        <f>IF(O15="K",VLOOKUP(M15,Table2[[#All],[UNIT]:[Column7]],10,FALSE),0)</f>
        <v>400000</v>
      </c>
      <c r="F15" s="43">
        <f t="shared" si="2"/>
        <v>14800000</v>
      </c>
      <c r="G15" s="42">
        <v>967.03755868544602</v>
      </c>
      <c r="H15" s="44">
        <f>G15*$C$59</f>
        <v>11120931.92488263</v>
      </c>
      <c r="I15" s="42">
        <f t="shared" si="3"/>
        <v>26.136150234741784</v>
      </c>
      <c r="J15" s="45">
        <f t="shared" si="4"/>
        <v>25920931.924882628</v>
      </c>
      <c r="K15" s="36"/>
      <c r="L15" s="41" t="s">
        <v>257</v>
      </c>
      <c r="M15" s="41" t="str">
        <f>VLOOKUP(N15,'list rate unit'!O:P,2,FALSE)</f>
        <v>PC 300 SE-8</v>
      </c>
      <c r="N15" s="41" t="str">
        <f t="shared" si="5"/>
        <v>KOMATSU PC 300 - 14</v>
      </c>
      <c r="O15" s="15" t="s">
        <v>56</v>
      </c>
    </row>
    <row r="16" spans="2:15" x14ac:dyDescent="0.3">
      <c r="B16" s="41">
        <f t="shared" si="1"/>
        <v>9</v>
      </c>
      <c r="C16" s="41" t="s">
        <v>261</v>
      </c>
      <c r="D16" s="42">
        <v>41</v>
      </c>
      <c r="E16" s="62">
        <f>IF(O16="K",VLOOKUP(M16,Table2[[#All],[UNIT]:[Column7]],10,FALSE),0)</f>
        <v>400000</v>
      </c>
      <c r="F16" s="43">
        <f t="shared" si="2"/>
        <v>16400000</v>
      </c>
      <c r="G16" s="42">
        <v>945.7828054298642</v>
      </c>
      <c r="H16" s="44">
        <f>G16*$C$59</f>
        <v>10876502.262443438</v>
      </c>
      <c r="I16" s="42">
        <f t="shared" si="3"/>
        <v>23.067873303167421</v>
      </c>
      <c r="J16" s="45">
        <f t="shared" si="4"/>
        <v>27276502.262443438</v>
      </c>
      <c r="K16" s="36"/>
      <c r="L16" s="41" t="s">
        <v>257</v>
      </c>
      <c r="M16" s="41" t="str">
        <f>VLOOKUP(N16,'list rate unit'!O:P,2,FALSE)</f>
        <v>PC 300 SE-8</v>
      </c>
      <c r="N16" s="41" t="str">
        <f t="shared" si="5"/>
        <v>KOMATSU PC 300 - 15</v>
      </c>
      <c r="O16" s="15" t="s">
        <v>56</v>
      </c>
    </row>
    <row r="17" spans="2:15" x14ac:dyDescent="0.3">
      <c r="B17" s="41">
        <f t="shared" si="1"/>
        <v>10</v>
      </c>
      <c r="C17" s="41" t="s">
        <v>191</v>
      </c>
      <c r="D17" s="42">
        <v>14</v>
      </c>
      <c r="E17" s="62">
        <f>IF(O17="K",VLOOKUP(M17,Table2[[#All],[UNIT]:[Column7]],10,FALSE),0)</f>
        <v>400000</v>
      </c>
      <c r="F17" s="43">
        <f t="shared" si="2"/>
        <v>5600000</v>
      </c>
      <c r="G17" s="42">
        <v>240.43157894736839</v>
      </c>
      <c r="H17" s="44">
        <f>G17*$C$59</f>
        <v>2764963.1578947366</v>
      </c>
      <c r="I17" s="42">
        <f t="shared" si="3"/>
        <v>17.173684210526314</v>
      </c>
      <c r="J17" s="45">
        <f t="shared" si="4"/>
        <v>8364963.1578947362</v>
      </c>
      <c r="K17" s="36"/>
      <c r="L17" s="41" t="s">
        <v>257</v>
      </c>
      <c r="M17" s="41" t="str">
        <f>VLOOKUP(N17,'list rate unit'!O:P,2,FALSE)</f>
        <v>SK 330-8</v>
      </c>
      <c r="N17" s="41" t="str">
        <f t="shared" si="5"/>
        <v>KOBELCO SK 330 - 10</v>
      </c>
      <c r="O17" s="15" t="s">
        <v>56</v>
      </c>
    </row>
    <row r="18" spans="2:15" x14ac:dyDescent="0.3">
      <c r="B18" s="41">
        <f t="shared" si="1"/>
        <v>11</v>
      </c>
      <c r="C18" s="41" t="s">
        <v>192</v>
      </c>
      <c r="D18" s="42">
        <v>15</v>
      </c>
      <c r="E18" s="62">
        <f>IF(O18="K",VLOOKUP(M18,Table2[[#All],[UNIT]:[Column7]],10,FALSE),0)</f>
        <v>400000</v>
      </c>
      <c r="F18" s="43">
        <f t="shared" ref="F18" si="6">D18*E18</f>
        <v>6000000</v>
      </c>
      <c r="G18" s="42">
        <v>205.64338235294116</v>
      </c>
      <c r="H18" s="44">
        <f>G18*$C$59</f>
        <v>2364898.8970588231</v>
      </c>
      <c r="I18" s="42">
        <f t="shared" ref="I18" si="7">IFERROR(G18/D18,0)</f>
        <v>13.709558823529411</v>
      </c>
      <c r="J18" s="45">
        <f t="shared" ref="J18" si="8">F18+H18</f>
        <v>8364898.8970588231</v>
      </c>
      <c r="K18" s="36"/>
      <c r="L18" s="41" t="s">
        <v>257</v>
      </c>
      <c r="M18" s="41" t="str">
        <f>VLOOKUP(N18,'list rate unit'!O:P,2,FALSE)</f>
        <v>SK 330-8</v>
      </c>
      <c r="N18" s="41" t="str">
        <f t="shared" ref="N18" si="9">C18</f>
        <v>KOBELCO SK 330 - 11</v>
      </c>
      <c r="O18" s="15" t="s">
        <v>56</v>
      </c>
    </row>
    <row r="19" spans="2:15" x14ac:dyDescent="0.3">
      <c r="B19" s="41">
        <f t="shared" si="1"/>
        <v>12</v>
      </c>
      <c r="C19" s="41" t="s">
        <v>330</v>
      </c>
      <c r="D19" s="42">
        <v>7</v>
      </c>
      <c r="E19" s="62">
        <f>IF(O19="K",VLOOKUP(M19,Table2[[#All],[UNIT]:[Column7]],10,FALSE),0)</f>
        <v>400000</v>
      </c>
      <c r="F19" s="43">
        <f t="shared" ref="F19:F29" si="10">D19*E19</f>
        <v>2800000</v>
      </c>
      <c r="G19" s="42">
        <v>124.36036036036037</v>
      </c>
      <c r="H19" s="44">
        <f>G19*$C$59</f>
        <v>1430144.1441441444</v>
      </c>
      <c r="I19" s="42">
        <f t="shared" ref="I19:I29" si="11">IFERROR(G19/D19,0)</f>
        <v>17.765765765765767</v>
      </c>
      <c r="J19" s="45">
        <f t="shared" ref="J19:J29" si="12">F19+H19</f>
        <v>4230144.1441441439</v>
      </c>
      <c r="K19" s="36"/>
      <c r="L19" s="41" t="s">
        <v>257</v>
      </c>
      <c r="M19" s="41" t="str">
        <f>VLOOKUP(N19,'list rate unit'!O:P,2,FALSE)</f>
        <v>SK 330-8</v>
      </c>
      <c r="N19" s="41" t="str">
        <f t="shared" ref="N19:N29" si="13">C19</f>
        <v>KOBELCO SK 330 - 12</v>
      </c>
      <c r="O19" s="15" t="s">
        <v>56</v>
      </c>
    </row>
    <row r="20" spans="2:15" x14ac:dyDescent="0.3">
      <c r="B20" s="41">
        <f t="shared" si="1"/>
        <v>13</v>
      </c>
      <c r="C20" s="41" t="s">
        <v>264</v>
      </c>
      <c r="D20" s="42">
        <v>7</v>
      </c>
      <c r="E20" s="62">
        <f>IF(O20="K",VLOOKUP(M20,Table2[[#All],[UNIT]:[Column7]],10,FALSE),0)</f>
        <v>275000</v>
      </c>
      <c r="F20" s="43">
        <f t="shared" ref="F20" si="14">D20*E20</f>
        <v>1925000</v>
      </c>
      <c r="G20" s="42">
        <v>103.29816513761467</v>
      </c>
      <c r="H20" s="44">
        <f>G20*$C$59</f>
        <v>1187928.8990825687</v>
      </c>
      <c r="I20" s="42">
        <f t="shared" ref="I20" si="15">IFERROR(G20/D20,0)</f>
        <v>14.756880733944953</v>
      </c>
      <c r="J20" s="45">
        <f t="shared" ref="J20" si="16">F20+H20</f>
        <v>3112928.8990825685</v>
      </c>
      <c r="K20" s="36"/>
      <c r="L20" s="41" t="s">
        <v>257</v>
      </c>
      <c r="M20" s="41" t="str">
        <f>VLOOKUP(N20,'list rate unit'!O:P,2,FALSE)</f>
        <v>PC 200-8 MO</v>
      </c>
      <c r="N20" s="41" t="str">
        <f t="shared" ref="N20" si="17">C20</f>
        <v>KOMATSU PC 200 - 12</v>
      </c>
      <c r="O20" s="15" t="s">
        <v>56</v>
      </c>
    </row>
    <row r="21" spans="2:15" x14ac:dyDescent="0.3">
      <c r="B21" s="41">
        <f t="shared" si="1"/>
        <v>14</v>
      </c>
      <c r="C21" s="41" t="s">
        <v>348</v>
      </c>
      <c r="D21" s="42">
        <v>8</v>
      </c>
      <c r="E21" s="62">
        <f>IF(O21="K",VLOOKUP(M21,Table2[[#All],[UNIT]:[Column7]],10,FALSE),0)</f>
        <v>275000</v>
      </c>
      <c r="F21" s="43">
        <f t="shared" si="10"/>
        <v>2200000</v>
      </c>
      <c r="G21" s="42">
        <v>109.68571428571428</v>
      </c>
      <c r="H21" s="44">
        <f>G21*$C$59</f>
        <v>1261385.7142857143</v>
      </c>
      <c r="I21" s="42">
        <f t="shared" si="11"/>
        <v>13.710714285714285</v>
      </c>
      <c r="J21" s="45">
        <f t="shared" si="12"/>
        <v>3461385.7142857146</v>
      </c>
      <c r="K21" s="36"/>
      <c r="L21" s="41" t="s">
        <v>257</v>
      </c>
      <c r="M21" s="41" t="str">
        <f>VLOOKUP(N21,'list rate unit'!O:P,2,FALSE)</f>
        <v>PC 200-8 MO</v>
      </c>
      <c r="N21" s="41" t="str">
        <f t="shared" si="13"/>
        <v>KOMATSU PC 200 - 20</v>
      </c>
      <c r="O21" s="15" t="s">
        <v>56</v>
      </c>
    </row>
    <row r="22" spans="2:15" x14ac:dyDescent="0.3">
      <c r="B22" s="41">
        <f t="shared" si="1"/>
        <v>15</v>
      </c>
      <c r="C22" s="41" t="s">
        <v>193</v>
      </c>
      <c r="D22" s="42">
        <v>19</v>
      </c>
      <c r="E22" s="62">
        <f>IF(O22="K",VLOOKUP(M22,Table2[[#All],[UNIT]:[Column7]],10,FALSE),0)</f>
        <v>275000</v>
      </c>
      <c r="F22" s="43">
        <f t="shared" si="10"/>
        <v>5225000</v>
      </c>
      <c r="G22" s="42">
        <v>289.35416666666663</v>
      </c>
      <c r="H22" s="44">
        <f>G22*$C$59</f>
        <v>3327572.916666666</v>
      </c>
      <c r="I22" s="42">
        <f t="shared" si="11"/>
        <v>15.229166666666664</v>
      </c>
      <c r="J22" s="45">
        <f t="shared" si="12"/>
        <v>8552572.916666666</v>
      </c>
      <c r="K22" s="36"/>
      <c r="L22" s="41" t="s">
        <v>257</v>
      </c>
      <c r="M22" s="41" t="str">
        <f>VLOOKUP(N22,'list rate unit'!O:P,2,FALSE)</f>
        <v>PC 200-8 MO</v>
      </c>
      <c r="N22" s="41" t="str">
        <f t="shared" si="13"/>
        <v>KOMATSU PC 200 - 22</v>
      </c>
      <c r="O22" s="15" t="s">
        <v>56</v>
      </c>
    </row>
    <row r="23" spans="2:15" x14ac:dyDescent="0.3">
      <c r="B23" s="41">
        <f t="shared" si="1"/>
        <v>16</v>
      </c>
      <c r="C23" s="41" t="s">
        <v>197</v>
      </c>
      <c r="D23" s="42">
        <v>32</v>
      </c>
      <c r="E23" s="62">
        <f>IF(O23="K",VLOOKUP(M23,Table2[[#All],[UNIT]:[Column7]],10,FALSE),0)</f>
        <v>275000</v>
      </c>
      <c r="F23" s="43">
        <f t="shared" si="10"/>
        <v>8800000</v>
      </c>
      <c r="G23" s="42">
        <v>448.81218274111677</v>
      </c>
      <c r="H23" s="44">
        <f>G23*$C$59</f>
        <v>5161340.1015228424</v>
      </c>
      <c r="I23" s="42">
        <f t="shared" si="11"/>
        <v>14.025380710659899</v>
      </c>
      <c r="J23" s="45">
        <f t="shared" si="12"/>
        <v>13961340.101522842</v>
      </c>
      <c r="K23" s="36"/>
      <c r="L23" s="41" t="s">
        <v>257</v>
      </c>
      <c r="M23" s="41" t="str">
        <f>VLOOKUP(N23,'list rate unit'!O:P,2,FALSE)</f>
        <v>SK 200-8 SX</v>
      </c>
      <c r="N23" s="41" t="str">
        <f t="shared" si="13"/>
        <v>KOBELCO SK 200 - 10</v>
      </c>
      <c r="O23" s="15" t="s">
        <v>56</v>
      </c>
    </row>
    <row r="24" spans="2:15" x14ac:dyDescent="0.3">
      <c r="B24" s="41">
        <f t="shared" si="1"/>
        <v>17</v>
      </c>
      <c r="C24" s="41" t="s">
        <v>198</v>
      </c>
      <c r="D24" s="42">
        <v>21</v>
      </c>
      <c r="E24" s="62">
        <f>IF(O24="K",VLOOKUP(M24,Table2[[#All],[UNIT]:[Column7]],10,FALSE),0)</f>
        <v>275000</v>
      </c>
      <c r="F24" s="43">
        <f t="shared" si="10"/>
        <v>5775000</v>
      </c>
      <c r="G24" s="42">
        <v>206.3478260869565</v>
      </c>
      <c r="H24" s="44">
        <f>G24*$C$59</f>
        <v>2373000</v>
      </c>
      <c r="I24" s="42">
        <f t="shared" si="11"/>
        <v>9.8260869565217384</v>
      </c>
      <c r="J24" s="45">
        <f t="shared" si="12"/>
        <v>8148000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si="13"/>
        <v>KOBELCO SK 200 - 11</v>
      </c>
      <c r="O24" s="15" t="s">
        <v>56</v>
      </c>
    </row>
    <row r="25" spans="2:15" x14ac:dyDescent="0.3">
      <c r="B25" s="41">
        <f t="shared" si="1"/>
        <v>18</v>
      </c>
      <c r="C25" s="41" t="s">
        <v>199</v>
      </c>
      <c r="D25" s="42">
        <v>21</v>
      </c>
      <c r="E25" s="62">
        <f>IF(O25="K",VLOOKUP(M25,Table2[[#All],[UNIT]:[Column7]],10,FALSE),0)</f>
        <v>275000</v>
      </c>
      <c r="F25" s="43">
        <f t="shared" si="10"/>
        <v>5775000</v>
      </c>
      <c r="G25" s="42">
        <v>245.9470588235294</v>
      </c>
      <c r="H25" s="44">
        <f>G25*$C$59</f>
        <v>2828391.176470588</v>
      </c>
      <c r="I25" s="42">
        <f t="shared" si="11"/>
        <v>11.711764705882352</v>
      </c>
      <c r="J25" s="45">
        <f t="shared" si="12"/>
        <v>8603391.1764705889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13"/>
        <v>KOBELCO SK 200 - 13</v>
      </c>
      <c r="O25" s="15" t="s">
        <v>56</v>
      </c>
    </row>
    <row r="26" spans="2:15" x14ac:dyDescent="0.3">
      <c r="B26" s="41">
        <f t="shared" si="1"/>
        <v>19</v>
      </c>
      <c r="C26" s="41" t="s">
        <v>204</v>
      </c>
      <c r="D26" s="42">
        <v>29</v>
      </c>
      <c r="E26" s="62">
        <f>IF(O26="K",VLOOKUP(M26,Table2[[#All],[UNIT]:[Column7]],10,FALSE),0)</f>
        <v>275000</v>
      </c>
      <c r="F26" s="43">
        <f t="shared" si="10"/>
        <v>7975000</v>
      </c>
      <c r="G26" s="42">
        <v>427.98692810457521</v>
      </c>
      <c r="H26" s="44">
        <f>G26*$C$59</f>
        <v>4921849.6732026152</v>
      </c>
      <c r="I26" s="42">
        <f t="shared" si="11"/>
        <v>14.758169934640524</v>
      </c>
      <c r="J26" s="45">
        <f t="shared" si="12"/>
        <v>12896849.673202615</v>
      </c>
      <c r="K26" s="36"/>
      <c r="L26" s="41" t="s">
        <v>257</v>
      </c>
      <c r="M26" s="41" t="str">
        <f>VLOOKUP(N26,'list rate unit'!O:P,2,FALSE)</f>
        <v>SK 200-8 SX</v>
      </c>
      <c r="N26" s="41" t="str">
        <f t="shared" si="13"/>
        <v>KOBELCO SK 200 - 20</v>
      </c>
      <c r="O26" s="15" t="s">
        <v>56</v>
      </c>
    </row>
    <row r="27" spans="2:15" x14ac:dyDescent="0.3">
      <c r="B27" s="41">
        <f t="shared" si="1"/>
        <v>20</v>
      </c>
      <c r="C27" s="41" t="s">
        <v>207</v>
      </c>
      <c r="D27" s="42">
        <v>99</v>
      </c>
      <c r="E27" s="62">
        <f>IF(O27="K",VLOOKUP(M27,Table2[[#All],[UNIT]:[Column7]],10,FALSE),0)</f>
        <v>1424304.3667884208</v>
      </c>
      <c r="F27" s="43">
        <f t="shared" si="10"/>
        <v>141006132.31205365</v>
      </c>
      <c r="G27" s="42">
        <v>1625.8</v>
      </c>
      <c r="H27" s="44">
        <f>G27*$C$59</f>
        <v>18696700</v>
      </c>
      <c r="I27" s="42">
        <f t="shared" si="11"/>
        <v>16.422222222222221</v>
      </c>
      <c r="J27" s="45">
        <f t="shared" si="12"/>
        <v>159702832.31205365</v>
      </c>
      <c r="K27" s="36"/>
      <c r="L27" s="41" t="s">
        <v>257</v>
      </c>
      <c r="M27" s="41" t="str">
        <f>VLOOKUP(N27,'list rate unit'!O:P,2,FALSE)</f>
        <v>HM 400-3R</v>
      </c>
      <c r="N27" s="41" t="str">
        <f t="shared" si="13"/>
        <v>KOMATSU HM 400 - 11</v>
      </c>
      <c r="O27" s="15" t="s">
        <v>56</v>
      </c>
    </row>
    <row r="28" spans="2:15" x14ac:dyDescent="0.3">
      <c r="B28" s="41">
        <f t="shared" si="1"/>
        <v>21</v>
      </c>
      <c r="C28" s="41" t="s">
        <v>208</v>
      </c>
      <c r="D28" s="42">
        <v>29</v>
      </c>
      <c r="E28" s="62">
        <f>IF(O28="K",VLOOKUP(M28,Table2[[#All],[UNIT]:[Column7]],10,FALSE),0)</f>
        <v>1424304.3667884208</v>
      </c>
      <c r="F28" s="43">
        <f t="shared" si="10"/>
        <v>41304826.6368642</v>
      </c>
      <c r="G28" s="42">
        <v>675.28571428571422</v>
      </c>
      <c r="H28" s="44">
        <f>G28*$C$59</f>
        <v>7765785.7142857136</v>
      </c>
      <c r="I28" s="42">
        <f t="shared" si="11"/>
        <v>23.285714285714285</v>
      </c>
      <c r="J28" s="45">
        <f t="shared" si="12"/>
        <v>49070612.351149917</v>
      </c>
      <c r="K28" s="36"/>
      <c r="L28" s="41" t="s">
        <v>257</v>
      </c>
      <c r="M28" s="41" t="str">
        <f>VLOOKUP(N28,'list rate unit'!O:P,2,FALSE)</f>
        <v>HM 400-3R</v>
      </c>
      <c r="N28" s="41" t="str">
        <f t="shared" si="13"/>
        <v>KOMATSU HM 400 - 12</v>
      </c>
      <c r="O28" s="15" t="s">
        <v>56</v>
      </c>
    </row>
    <row r="29" spans="2:15" x14ac:dyDescent="0.3">
      <c r="B29" s="41">
        <f t="shared" si="1"/>
        <v>22</v>
      </c>
      <c r="C29" s="41" t="s">
        <v>209</v>
      </c>
      <c r="D29" s="42">
        <v>155</v>
      </c>
      <c r="E29" s="62">
        <f>IF(O29="K",VLOOKUP(M29,Table2[[#All],[UNIT]:[Column7]],10,FALSE),0)</f>
        <v>1424304.3667884208</v>
      </c>
      <c r="F29" s="43">
        <f t="shared" si="10"/>
        <v>220767176.85220522</v>
      </c>
      <c r="G29" s="42">
        <v>2638.542857142857</v>
      </c>
      <c r="H29" s="44">
        <f>G29*$C$59</f>
        <v>30343242.857142854</v>
      </c>
      <c r="I29" s="42">
        <f t="shared" si="11"/>
        <v>17.022857142857141</v>
      </c>
      <c r="J29" s="45">
        <f t="shared" si="12"/>
        <v>251110419.70934808</v>
      </c>
      <c r="K29" s="36"/>
      <c r="L29" s="41" t="s">
        <v>257</v>
      </c>
      <c r="M29" s="41" t="str">
        <f>VLOOKUP(N29,'list rate unit'!O:P,2,FALSE)</f>
        <v>HM 400-3R</v>
      </c>
      <c r="N29" s="41" t="str">
        <f t="shared" si="13"/>
        <v>KOMATSU HM 400 - 13</v>
      </c>
      <c r="O29" s="15" t="s">
        <v>56</v>
      </c>
    </row>
    <row r="30" spans="2:15" x14ac:dyDescent="0.3">
      <c r="B30" s="41">
        <f t="shared" si="1"/>
        <v>23</v>
      </c>
      <c r="C30" s="41" t="s">
        <v>210</v>
      </c>
      <c r="D30" s="42">
        <v>131</v>
      </c>
      <c r="E30" s="62">
        <f>IF(O30="K",VLOOKUP(M30,Table2[[#All],[UNIT]:[Column7]],10,FALSE),0)</f>
        <v>1424304.3667884208</v>
      </c>
      <c r="F30" s="43">
        <f t="shared" ref="F30:F33" si="18">D30*E30</f>
        <v>186583872.04928312</v>
      </c>
      <c r="G30" s="42">
        <v>2096</v>
      </c>
      <c r="H30" s="44">
        <f>G30*$C$59</f>
        <v>24104000</v>
      </c>
      <c r="I30" s="42">
        <f t="shared" ref="I30:I33" si="19">IFERROR(G30/D30,0)</f>
        <v>16</v>
      </c>
      <c r="J30" s="45">
        <f t="shared" ref="J30:J33" si="20">F30+H30</f>
        <v>210687872.04928312</v>
      </c>
      <c r="K30" s="36"/>
      <c r="L30" s="41" t="s">
        <v>257</v>
      </c>
      <c r="M30" s="41" t="str">
        <f>VLOOKUP(N30,'list rate unit'!O:P,2,FALSE)</f>
        <v>HM 400-3R</v>
      </c>
      <c r="N30" s="41" t="str">
        <f t="shared" ref="N30:N33" si="21">C30</f>
        <v>KOMATSU HM 400 - 14</v>
      </c>
      <c r="O30" s="15" t="s">
        <v>56</v>
      </c>
    </row>
    <row r="31" spans="2:15" x14ac:dyDescent="0.3">
      <c r="B31" s="41">
        <f t="shared" si="1"/>
        <v>24</v>
      </c>
      <c r="C31" s="41" t="s">
        <v>211</v>
      </c>
      <c r="D31" s="42">
        <v>121</v>
      </c>
      <c r="E31" s="62">
        <f>IF(O31="K",VLOOKUP(M31,Table2[[#All],[UNIT]:[Column7]],10,FALSE),0)</f>
        <v>1424304.3667884208</v>
      </c>
      <c r="F31" s="43">
        <f t="shared" si="18"/>
        <v>172340828.38139892</v>
      </c>
      <c r="G31" s="42">
        <v>2008.1027397260275</v>
      </c>
      <c r="H31" s="44">
        <f>G31*$C$59</f>
        <v>23093181.506849315</v>
      </c>
      <c r="I31" s="42">
        <f t="shared" si="19"/>
        <v>16.595890410958905</v>
      </c>
      <c r="J31" s="45">
        <f t="shared" si="20"/>
        <v>195434009.88824823</v>
      </c>
      <c r="K31" s="36"/>
      <c r="L31" s="41" t="s">
        <v>257</v>
      </c>
      <c r="M31" s="41" t="str">
        <f>VLOOKUP(N31,'list rate unit'!O:P,2,FALSE)</f>
        <v>HM 400-3R</v>
      </c>
      <c r="N31" s="41" t="str">
        <f t="shared" si="21"/>
        <v>KOMATSU HM 400 - 15</v>
      </c>
      <c r="O31" s="15" t="s">
        <v>56</v>
      </c>
    </row>
    <row r="32" spans="2:15" x14ac:dyDescent="0.3">
      <c r="B32" s="41">
        <f t="shared" si="1"/>
        <v>25</v>
      </c>
      <c r="C32" s="41" t="s">
        <v>212</v>
      </c>
      <c r="D32" s="42">
        <v>175</v>
      </c>
      <c r="E32" s="62">
        <f>IF(O32="K",VLOOKUP(M32,Table2[[#All],[UNIT]:[Column7]],10,FALSE),0)</f>
        <v>1424304.3667884208</v>
      </c>
      <c r="F32" s="43">
        <f t="shared" si="18"/>
        <v>249253264.18797365</v>
      </c>
      <c r="G32" s="42">
        <v>3344.3370165745855</v>
      </c>
      <c r="H32" s="44">
        <f>G32*$C$59</f>
        <v>38459875.690607734</v>
      </c>
      <c r="I32" s="42">
        <f t="shared" si="19"/>
        <v>19.11049723756906</v>
      </c>
      <c r="J32" s="45">
        <f t="shared" si="20"/>
        <v>287713139.8785814</v>
      </c>
      <c r="K32" s="36"/>
      <c r="L32" s="41" t="s">
        <v>257</v>
      </c>
      <c r="M32" s="41" t="str">
        <f>VLOOKUP(N32,'list rate unit'!O:P,2,FALSE)</f>
        <v>HM 400-3R</v>
      </c>
      <c r="N32" s="41" t="str">
        <f t="shared" si="21"/>
        <v>KOMATSU HM 400 - 16</v>
      </c>
      <c r="O32" s="15" t="s">
        <v>56</v>
      </c>
    </row>
    <row r="33" spans="2:15" x14ac:dyDescent="0.3">
      <c r="B33" s="41">
        <f t="shared" si="1"/>
        <v>26</v>
      </c>
      <c r="C33" s="41" t="s">
        <v>213</v>
      </c>
      <c r="D33" s="42">
        <v>163</v>
      </c>
      <c r="E33" s="62">
        <f>IF(O33="K",VLOOKUP(M33,Table2[[#All],[UNIT]:[Column7]],10,FALSE),0)</f>
        <v>1424304.3667884208</v>
      </c>
      <c r="F33" s="43">
        <f t="shared" si="18"/>
        <v>232161611.78651258</v>
      </c>
      <c r="G33" s="42">
        <v>2270.4123222748813</v>
      </c>
      <c r="H33" s="44">
        <f>G33*$C$59</f>
        <v>26109741.706161134</v>
      </c>
      <c r="I33" s="42">
        <f t="shared" si="19"/>
        <v>13.928909952606633</v>
      </c>
      <c r="J33" s="45">
        <f t="shared" si="20"/>
        <v>258271353.49267372</v>
      </c>
      <c r="K33" s="36"/>
      <c r="L33" s="41" t="s">
        <v>257</v>
      </c>
      <c r="M33" s="41" t="str">
        <f>VLOOKUP(N33,'list rate unit'!O:P,2,FALSE)</f>
        <v>HM 400-3R</v>
      </c>
      <c r="N33" s="41" t="str">
        <f t="shared" si="21"/>
        <v>KOMATSU HM 400 - 17</v>
      </c>
      <c r="O33" s="15" t="s">
        <v>56</v>
      </c>
    </row>
    <row r="34" spans="2:15" x14ac:dyDescent="0.3">
      <c r="B34" s="41">
        <f t="shared" si="1"/>
        <v>27</v>
      </c>
      <c r="C34" s="41" t="s">
        <v>214</v>
      </c>
      <c r="D34" s="42">
        <v>159</v>
      </c>
      <c r="E34" s="62">
        <f>IF(O34="K",VLOOKUP(M34,Table2[[#All],[UNIT]:[Column7]],10,FALSE),0)</f>
        <v>1424304.3667884208</v>
      </c>
      <c r="F34" s="43">
        <f t="shared" ref="F34:F52" si="22">D34*E34</f>
        <v>226464394.31935892</v>
      </c>
      <c r="G34" s="42">
        <v>2847.3793103448274</v>
      </c>
      <c r="H34" s="44">
        <f>G34*$C$59</f>
        <v>32744862.068965517</v>
      </c>
      <c r="I34" s="42">
        <f t="shared" ref="I34:I52" si="23">IFERROR(G34/D34,0)</f>
        <v>17.908045977011493</v>
      </c>
      <c r="J34" s="45">
        <f t="shared" ref="J34:J52" si="24">F34+H34</f>
        <v>259209256.38832444</v>
      </c>
      <c r="K34" s="36"/>
      <c r="L34" s="41" t="s">
        <v>257</v>
      </c>
      <c r="M34" s="41" t="str">
        <f>VLOOKUP(N34,'list rate unit'!O:P,2,FALSE)</f>
        <v>HM 400-3R</v>
      </c>
      <c r="N34" s="41" t="str">
        <f t="shared" ref="N34:N52" si="25">C34</f>
        <v>KOMATSU HM 400 - 18</v>
      </c>
      <c r="O34" s="15" t="s">
        <v>56</v>
      </c>
    </row>
    <row r="35" spans="2:15" x14ac:dyDescent="0.3">
      <c r="B35" s="41">
        <f t="shared" si="1"/>
        <v>28</v>
      </c>
      <c r="C35" s="41" t="s">
        <v>215</v>
      </c>
      <c r="D35" s="42">
        <v>133</v>
      </c>
      <c r="E35" s="62">
        <f>IF(O35="K",VLOOKUP(M35,Table2[[#All],[UNIT]:[Column7]],10,FALSE),0)</f>
        <v>1424304.3667884208</v>
      </c>
      <c r="F35" s="43">
        <f t="shared" si="22"/>
        <v>189432480.78285998</v>
      </c>
      <c r="G35" s="42">
        <v>2237.4861878453039</v>
      </c>
      <c r="H35" s="44">
        <f>G35*$C$59</f>
        <v>25731091.160220996</v>
      </c>
      <c r="I35" s="42">
        <f t="shared" si="23"/>
        <v>16.823204419889503</v>
      </c>
      <c r="J35" s="45">
        <f t="shared" si="24"/>
        <v>215163571.94308096</v>
      </c>
      <c r="K35" s="36"/>
      <c r="L35" s="41" t="s">
        <v>257</v>
      </c>
      <c r="M35" s="41" t="str">
        <f>VLOOKUP(N35,'list rate unit'!O:P,2,FALSE)</f>
        <v>HM 400-3R</v>
      </c>
      <c r="N35" s="41" t="str">
        <f t="shared" si="25"/>
        <v>KOMATSU HM 400 - 19</v>
      </c>
      <c r="O35" s="15" t="s">
        <v>56</v>
      </c>
    </row>
    <row r="36" spans="2:15" x14ac:dyDescent="0.3">
      <c r="B36" s="41">
        <f t="shared" si="1"/>
        <v>29</v>
      </c>
      <c r="C36" s="41" t="s">
        <v>216</v>
      </c>
      <c r="D36" s="42">
        <v>36</v>
      </c>
      <c r="E36" s="62">
        <f>IF(O36="K",VLOOKUP(M36,Table2[[#All],[UNIT]:[Column7]],10,FALSE),0)</f>
        <v>1424304.3667884208</v>
      </c>
      <c r="F36" s="43">
        <f t="shared" si="22"/>
        <v>51274957.20438315</v>
      </c>
      <c r="G36" s="42">
        <v>500.55652173913046</v>
      </c>
      <c r="H36" s="44">
        <f>G36*$C$59</f>
        <v>5756400</v>
      </c>
      <c r="I36" s="42">
        <f t="shared" si="23"/>
        <v>13.904347826086957</v>
      </c>
      <c r="J36" s="45">
        <f t="shared" si="24"/>
        <v>57031357.20438315</v>
      </c>
      <c r="K36" s="36"/>
      <c r="L36" s="41" t="s">
        <v>257</v>
      </c>
      <c r="M36" s="41" t="str">
        <f>VLOOKUP(N36,'list rate unit'!O:P,2,FALSE)</f>
        <v>HM 400-3R</v>
      </c>
      <c r="N36" s="41" t="str">
        <f t="shared" si="25"/>
        <v>KOMATSU HM 400 - 20</v>
      </c>
      <c r="O36" s="15" t="s">
        <v>56</v>
      </c>
    </row>
    <row r="37" spans="2:15" x14ac:dyDescent="0.3">
      <c r="B37" s="41">
        <f t="shared" si="1"/>
        <v>30</v>
      </c>
      <c r="C37" s="41" t="s">
        <v>217</v>
      </c>
      <c r="D37" s="42">
        <v>171</v>
      </c>
      <c r="E37" s="62">
        <f>IF(O37="K",VLOOKUP(M37,Table2[[#All],[UNIT]:[Column7]],10,FALSE),0)</f>
        <v>1424304.3667884208</v>
      </c>
      <c r="F37" s="43">
        <f t="shared" si="22"/>
        <v>243556046.72081995</v>
      </c>
      <c r="G37" s="42">
        <v>3524.8674033149173</v>
      </c>
      <c r="H37" s="44">
        <f>G37*$C$59</f>
        <v>40535975.138121545</v>
      </c>
      <c r="I37" s="42">
        <f t="shared" si="23"/>
        <v>20.613259668508288</v>
      </c>
      <c r="J37" s="45">
        <f t="shared" si="24"/>
        <v>284092021.8589415</v>
      </c>
      <c r="K37" s="36"/>
      <c r="L37" s="41" t="s">
        <v>257</v>
      </c>
      <c r="M37" s="41" t="str">
        <f>VLOOKUP(N37,'list rate unit'!O:P,2,FALSE)</f>
        <v>HM 400-3R</v>
      </c>
      <c r="N37" s="41" t="str">
        <f t="shared" si="25"/>
        <v>KOMATSU HM 400 - 21</v>
      </c>
      <c r="O37" s="15" t="s">
        <v>56</v>
      </c>
    </row>
    <row r="38" spans="2:15" x14ac:dyDescent="0.3">
      <c r="B38" s="41">
        <f t="shared" si="1"/>
        <v>31</v>
      </c>
      <c r="C38" s="41" t="s">
        <v>218</v>
      </c>
      <c r="D38" s="42">
        <v>92</v>
      </c>
      <c r="E38" s="62">
        <f>IF(O38="K",VLOOKUP(M38,Table2[[#All],[UNIT]:[Column7]],10,FALSE),0)</f>
        <v>1424304.3667884208</v>
      </c>
      <c r="F38" s="43">
        <f t="shared" si="22"/>
        <v>131036001.74453472</v>
      </c>
      <c r="G38" s="42">
        <v>1557.8031088082901</v>
      </c>
      <c r="H38" s="44">
        <f>G38*$C$59</f>
        <v>17914735.751295336</v>
      </c>
      <c r="I38" s="42">
        <f t="shared" si="23"/>
        <v>16.932642487046632</v>
      </c>
      <c r="J38" s="45">
        <f t="shared" si="24"/>
        <v>148950737.49583006</v>
      </c>
      <c r="K38" s="36"/>
      <c r="L38" s="41" t="s">
        <v>257</v>
      </c>
      <c r="M38" s="41" t="str">
        <f>VLOOKUP(N38,'list rate unit'!O:P,2,FALSE)</f>
        <v>HM 400-3R</v>
      </c>
      <c r="N38" s="41" t="str">
        <f t="shared" si="25"/>
        <v>KOMATSU HM 400 - 22</v>
      </c>
      <c r="O38" s="15" t="s">
        <v>56</v>
      </c>
    </row>
    <row r="39" spans="2:15" x14ac:dyDescent="0.3">
      <c r="B39" s="41">
        <f t="shared" si="1"/>
        <v>32</v>
      </c>
      <c r="C39" s="41" t="s">
        <v>239</v>
      </c>
      <c r="D39" s="42">
        <v>133</v>
      </c>
      <c r="E39" s="62">
        <f>IF(O39="K",VLOOKUP(M39,Table2[[#All],[UNIT]:[Column7]],10,FALSE),0)</f>
        <v>1424304.3667884208</v>
      </c>
      <c r="F39" s="43">
        <f t="shared" si="22"/>
        <v>189432480.78285998</v>
      </c>
      <c r="G39" s="42">
        <v>2767.118918918919</v>
      </c>
      <c r="H39" s="44">
        <f>G39*$C$59</f>
        <v>31821867.567567568</v>
      </c>
      <c r="I39" s="42">
        <f t="shared" si="23"/>
        <v>20.805405405405406</v>
      </c>
      <c r="J39" s="45">
        <f t="shared" si="24"/>
        <v>221254348.35042754</v>
      </c>
      <c r="K39" s="36"/>
      <c r="L39" s="41" t="s">
        <v>257</v>
      </c>
      <c r="M39" s="41" t="str">
        <f>VLOOKUP(N39,'list rate unit'!O:P,2,FALSE)</f>
        <v>HM 400-3R</v>
      </c>
      <c r="N39" s="41" t="str">
        <f t="shared" si="25"/>
        <v>KOMATSU HM 400 - 23</v>
      </c>
      <c r="O39" s="15" t="s">
        <v>56</v>
      </c>
    </row>
    <row r="40" spans="2:15" x14ac:dyDescent="0.3">
      <c r="B40" s="41">
        <f t="shared" si="1"/>
        <v>33</v>
      </c>
      <c r="C40" s="41" t="s">
        <v>240</v>
      </c>
      <c r="D40" s="42">
        <v>156</v>
      </c>
      <c r="E40" s="62">
        <f>IF(O40="K",VLOOKUP(M40,Table2[[#All],[UNIT]:[Column7]],10,FALSE),0)</f>
        <v>1424304.3667884208</v>
      </c>
      <c r="F40" s="43">
        <f t="shared" si="22"/>
        <v>222191481.21899366</v>
      </c>
      <c r="G40" s="42">
        <v>2380.1142857142859</v>
      </c>
      <c r="H40" s="44">
        <f>G40*$C$59</f>
        <v>27371314.285714287</v>
      </c>
      <c r="I40" s="42">
        <f t="shared" si="23"/>
        <v>15.257142857142858</v>
      </c>
      <c r="J40" s="45">
        <f t="shared" si="24"/>
        <v>249562795.50470796</v>
      </c>
      <c r="K40" s="36"/>
      <c r="L40" s="41" t="s">
        <v>257</v>
      </c>
      <c r="M40" s="41" t="str">
        <f>VLOOKUP(N40,'list rate unit'!O:P,2,FALSE)</f>
        <v>HM 400-3R</v>
      </c>
      <c r="N40" s="41" t="str">
        <f t="shared" si="25"/>
        <v>KOMATSU HM 400 - 24</v>
      </c>
      <c r="O40" s="15" t="s">
        <v>56</v>
      </c>
    </row>
    <row r="41" spans="2:15" x14ac:dyDescent="0.3">
      <c r="B41" s="41">
        <f t="shared" si="1"/>
        <v>34</v>
      </c>
      <c r="C41" s="41" t="s">
        <v>241</v>
      </c>
      <c r="D41" s="42">
        <v>151</v>
      </c>
      <c r="E41" s="62">
        <f>IF(O41="K",VLOOKUP(M41,Table2[[#All],[UNIT]:[Column7]],10,FALSE),0)</f>
        <v>1424304.3667884208</v>
      </c>
      <c r="F41" s="43">
        <f t="shared" si="22"/>
        <v>215069959.38505155</v>
      </c>
      <c r="G41" s="42">
        <v>2471.6759776536314</v>
      </c>
      <c r="H41" s="44">
        <f>G41*$C$59</f>
        <v>28424273.743016761</v>
      </c>
      <c r="I41" s="42">
        <f t="shared" si="23"/>
        <v>16.368715083798882</v>
      </c>
      <c r="J41" s="45">
        <f t="shared" si="24"/>
        <v>243494233.1280683</v>
      </c>
      <c r="K41" s="36"/>
      <c r="L41" s="41" t="s">
        <v>257</v>
      </c>
      <c r="M41" s="41" t="str">
        <f>VLOOKUP(N41,'list rate unit'!O:P,2,FALSE)</f>
        <v>HM 400-3R</v>
      </c>
      <c r="N41" s="41" t="str">
        <f t="shared" si="25"/>
        <v>KOMATSU HM 400 - 25</v>
      </c>
      <c r="O41" s="15" t="s">
        <v>56</v>
      </c>
    </row>
    <row r="42" spans="2:15" x14ac:dyDescent="0.3">
      <c r="B42" s="41">
        <f t="shared" si="1"/>
        <v>35</v>
      </c>
      <c r="C42" s="41" t="s">
        <v>253</v>
      </c>
      <c r="D42" s="42">
        <v>164</v>
      </c>
      <c r="E42" s="62">
        <f>IF(O42="K",VLOOKUP(M42,Table2[[#All],[UNIT]:[Column7]],10,FALSE),0)</f>
        <v>425000</v>
      </c>
      <c r="F42" s="43">
        <f t="shared" si="22"/>
        <v>69700000</v>
      </c>
      <c r="G42" s="42">
        <v>4005.7471264367814</v>
      </c>
      <c r="H42" s="44">
        <f>G42*$C$59</f>
        <v>46066091.954022989</v>
      </c>
      <c r="I42" s="42">
        <f t="shared" si="23"/>
        <v>24.425287356321839</v>
      </c>
      <c r="J42" s="45">
        <f t="shared" si="24"/>
        <v>115766091.95402299</v>
      </c>
      <c r="K42" s="36"/>
      <c r="L42" s="41" t="s">
        <v>257</v>
      </c>
      <c r="M42" s="41" t="str">
        <f>VLOOKUP(N42,'list rate unit'!O:P,2,FALSE)</f>
        <v>D 65 P-12</v>
      </c>
      <c r="N42" s="41" t="str">
        <f t="shared" si="25"/>
        <v>KOMATSU DOZER D65 - 10</v>
      </c>
      <c r="O42" s="15" t="s">
        <v>56</v>
      </c>
    </row>
    <row r="43" spans="2:15" x14ac:dyDescent="0.3">
      <c r="B43" s="41">
        <f t="shared" si="1"/>
        <v>36</v>
      </c>
      <c r="C43" s="41" t="s">
        <v>220</v>
      </c>
      <c r="D43" s="42">
        <v>78</v>
      </c>
      <c r="E43" s="62">
        <f>IF(O43="K",VLOOKUP(M43,Table2[[#All],[UNIT]:[Column7]],10,FALSE),0)</f>
        <v>425000</v>
      </c>
      <c r="F43" s="43">
        <f t="shared" si="22"/>
        <v>33150000</v>
      </c>
      <c r="G43" s="42">
        <v>1102</v>
      </c>
      <c r="H43" s="44">
        <f>G43*$C$59</f>
        <v>12673000</v>
      </c>
      <c r="I43" s="42">
        <f t="shared" si="23"/>
        <v>14.128205128205128</v>
      </c>
      <c r="J43" s="45">
        <f t="shared" si="24"/>
        <v>45823000</v>
      </c>
      <c r="K43" s="36"/>
      <c r="L43" s="41" t="s">
        <v>257</v>
      </c>
      <c r="M43" s="41" t="str">
        <f>VLOOKUP(N43,'list rate unit'!O:P,2,FALSE)</f>
        <v>D 65 P-12</v>
      </c>
      <c r="N43" s="41" t="str">
        <f t="shared" si="25"/>
        <v>KOMATSU DOZER D65 - 13</v>
      </c>
      <c r="O43" s="15" t="s">
        <v>56</v>
      </c>
    </row>
    <row r="44" spans="2:15" x14ac:dyDescent="0.3">
      <c r="B44" s="41">
        <f t="shared" si="1"/>
        <v>37</v>
      </c>
      <c r="C44" s="41" t="s">
        <v>221</v>
      </c>
      <c r="D44" s="42">
        <v>225</v>
      </c>
      <c r="E44" s="62">
        <f>IF(O44="K",VLOOKUP(M44,Table2[[#All],[UNIT]:[Column7]],10,FALSE),0)</f>
        <v>425000</v>
      </c>
      <c r="F44" s="43">
        <f t="shared" si="22"/>
        <v>95625000</v>
      </c>
      <c r="G44" s="42">
        <v>3725.9999999999995</v>
      </c>
      <c r="H44" s="44">
        <f>G44*$C$59</f>
        <v>42848999.999999993</v>
      </c>
      <c r="I44" s="42">
        <f t="shared" si="23"/>
        <v>16.559999999999999</v>
      </c>
      <c r="J44" s="45">
        <f t="shared" si="24"/>
        <v>138474000</v>
      </c>
      <c r="K44" s="36"/>
      <c r="L44" s="41" t="s">
        <v>257</v>
      </c>
      <c r="M44" s="41" t="str">
        <f>VLOOKUP(N44,'list rate unit'!O:P,2,FALSE)</f>
        <v>D 65 P-12</v>
      </c>
      <c r="N44" s="41" t="str">
        <f t="shared" si="25"/>
        <v>KOMATSU DOZER D65 - 15</v>
      </c>
      <c r="O44" s="15" t="s">
        <v>56</v>
      </c>
    </row>
    <row r="45" spans="2:15" x14ac:dyDescent="0.3">
      <c r="B45" s="41">
        <f t="shared" si="1"/>
        <v>38</v>
      </c>
      <c r="C45" s="41" t="s">
        <v>222</v>
      </c>
      <c r="D45" s="42">
        <v>270</v>
      </c>
      <c r="E45" s="62">
        <f>IF(O45="K",VLOOKUP(M45,Table2[[#All],[UNIT]:[Column7]],10,FALSE),0)</f>
        <v>425000</v>
      </c>
      <c r="F45" s="43">
        <f t="shared" si="22"/>
        <v>114750000</v>
      </c>
      <c r="G45" s="42">
        <v>5049</v>
      </c>
      <c r="H45" s="44">
        <f>G45*$C$59</f>
        <v>58063500</v>
      </c>
      <c r="I45" s="42">
        <f t="shared" si="23"/>
        <v>18.7</v>
      </c>
      <c r="J45" s="45">
        <f t="shared" si="24"/>
        <v>172813500</v>
      </c>
      <c r="K45" s="36"/>
      <c r="L45" s="41" t="s">
        <v>257</v>
      </c>
      <c r="M45" s="41" t="str">
        <f>VLOOKUP(N45,'list rate unit'!O:P,2,FALSE)</f>
        <v>D 65 P-12</v>
      </c>
      <c r="N45" s="41" t="str">
        <f t="shared" si="25"/>
        <v>KOMATSU DOZER D65 - 16</v>
      </c>
      <c r="O45" s="15" t="s">
        <v>56</v>
      </c>
    </row>
    <row r="46" spans="2:15" x14ac:dyDescent="0.3">
      <c r="B46" s="41">
        <f t="shared" si="1"/>
        <v>39</v>
      </c>
      <c r="C46" s="41" t="s">
        <v>242</v>
      </c>
      <c r="D46" s="42">
        <v>228</v>
      </c>
      <c r="E46" s="62">
        <f>IF(O46="K",VLOOKUP(M46,Table2[[#All],[UNIT]:[Column7]],10,FALSE),0)</f>
        <v>425000</v>
      </c>
      <c r="F46" s="43">
        <f t="shared" si="22"/>
        <v>96900000</v>
      </c>
      <c r="G46" s="42">
        <v>4457</v>
      </c>
      <c r="H46" s="44">
        <f>G46*$C$59</f>
        <v>51255500</v>
      </c>
      <c r="I46" s="42">
        <f t="shared" si="23"/>
        <v>19.548245614035089</v>
      </c>
      <c r="J46" s="45">
        <f t="shared" si="24"/>
        <v>148155500</v>
      </c>
      <c r="K46" s="36"/>
      <c r="L46" s="41" t="s">
        <v>257</v>
      </c>
      <c r="M46" s="41" t="str">
        <f>VLOOKUP(N46,'list rate unit'!O:P,2,FALSE)</f>
        <v>D 65 P-12</v>
      </c>
      <c r="N46" s="41" t="str">
        <f t="shared" si="25"/>
        <v>KOMATSU DOZER D65 - 18</v>
      </c>
      <c r="O46" s="15" t="s">
        <v>56</v>
      </c>
    </row>
    <row r="47" spans="2:15" x14ac:dyDescent="0.3">
      <c r="B47" s="41">
        <f t="shared" si="1"/>
        <v>40</v>
      </c>
      <c r="C47" s="41" t="s">
        <v>309</v>
      </c>
      <c r="D47" s="42">
        <v>110</v>
      </c>
      <c r="E47" s="62">
        <f>IF(O47="K",VLOOKUP(M47,Table2[[#All],[UNIT]:[Column7]],10,FALSE),0)</f>
        <v>425000</v>
      </c>
      <c r="F47" s="43">
        <f t="shared" si="22"/>
        <v>46750000</v>
      </c>
      <c r="G47" s="42">
        <v>1498.6666666666667</v>
      </c>
      <c r="H47" s="44">
        <f>G47*$C$59</f>
        <v>17234666.666666668</v>
      </c>
      <c r="I47" s="42">
        <f t="shared" si="23"/>
        <v>13.624242424242425</v>
      </c>
      <c r="J47" s="45">
        <f t="shared" si="24"/>
        <v>63984666.666666672</v>
      </c>
      <c r="K47" s="36"/>
      <c r="L47" s="41" t="s">
        <v>257</v>
      </c>
      <c r="M47" s="41" t="str">
        <f>VLOOKUP(N47,'list rate unit'!O:P,2,FALSE)</f>
        <v>D 85 ESS-2</v>
      </c>
      <c r="N47" s="41" t="str">
        <f t="shared" si="25"/>
        <v>KOMATSU DOZER D85SS - 06</v>
      </c>
      <c r="O47" s="15" t="s">
        <v>56</v>
      </c>
    </row>
    <row r="48" spans="2:15" x14ac:dyDescent="0.3">
      <c r="B48" s="41">
        <f t="shared" si="1"/>
        <v>41</v>
      </c>
      <c r="C48" s="41" t="s">
        <v>347</v>
      </c>
      <c r="D48" s="42">
        <v>105</v>
      </c>
      <c r="E48" s="62">
        <f>IF(O48="K",VLOOKUP(M48,Table2[[#All],[UNIT]:[Column7]],10,FALSE),0)</f>
        <v>425000</v>
      </c>
      <c r="F48" s="43">
        <f t="shared" si="22"/>
        <v>44625000</v>
      </c>
      <c r="G48" s="42">
        <v>1537.3584905660377</v>
      </c>
      <c r="H48" s="44">
        <f>G48*$C$59</f>
        <v>17679622.641509432</v>
      </c>
      <c r="I48" s="42">
        <f t="shared" si="23"/>
        <v>14.641509433962264</v>
      </c>
      <c r="J48" s="45">
        <f t="shared" si="24"/>
        <v>62304622.641509429</v>
      </c>
      <c r="K48" s="36"/>
      <c r="L48" s="41" t="s">
        <v>257</v>
      </c>
      <c r="M48" s="41" t="str">
        <f>VLOOKUP(N48,'list rate unit'!O:P,2,FALSE)</f>
        <v>D 85 ESS-2</v>
      </c>
      <c r="N48" s="41" t="str">
        <f t="shared" si="25"/>
        <v>KOMATSU DOZER D85SS - 10</v>
      </c>
      <c r="O48" s="15" t="s">
        <v>56</v>
      </c>
    </row>
    <row r="49" spans="2:15" x14ac:dyDescent="0.3">
      <c r="B49" s="41">
        <f t="shared" si="1"/>
        <v>42</v>
      </c>
      <c r="C49" s="41" t="s">
        <v>224</v>
      </c>
      <c r="D49" s="42">
        <v>174</v>
      </c>
      <c r="E49" s="62">
        <f>IF(O49="K",VLOOKUP(M49,Table2[[#All],[UNIT]:[Column7]],10,FALSE),0)</f>
        <v>425000</v>
      </c>
      <c r="F49" s="43">
        <f t="shared" si="22"/>
        <v>73950000</v>
      </c>
      <c r="G49" s="42">
        <v>1770.753488372093</v>
      </c>
      <c r="H49" s="44">
        <f>G49*$C$59</f>
        <v>20363665.116279069</v>
      </c>
      <c r="I49" s="42">
        <f t="shared" si="23"/>
        <v>10.176744186046511</v>
      </c>
      <c r="J49" s="45">
        <f t="shared" si="24"/>
        <v>94313665.116279066</v>
      </c>
      <c r="K49" s="36"/>
      <c r="L49" s="41" t="s">
        <v>257</v>
      </c>
      <c r="M49" s="41" t="str">
        <f>VLOOKUP(N49,'list rate unit'!O:P,2,FALSE)</f>
        <v>D 85 ESS-2</v>
      </c>
      <c r="N49" s="41" t="str">
        <f t="shared" si="25"/>
        <v>KOMATSU DOZER D85SS - 18</v>
      </c>
      <c r="O49" s="15" t="s">
        <v>56</v>
      </c>
    </row>
    <row r="50" spans="2:15" x14ac:dyDescent="0.3">
      <c r="B50" s="41">
        <f t="shared" si="1"/>
        <v>43</v>
      </c>
      <c r="C50" s="41" t="s">
        <v>243</v>
      </c>
      <c r="D50" s="42">
        <v>219</v>
      </c>
      <c r="E50" s="62">
        <f>IF(O50="K",VLOOKUP(M50,Table2[[#All],[UNIT]:[Column7]],10,FALSE),0)</f>
        <v>425000</v>
      </c>
      <c r="F50" s="43">
        <f t="shared" si="22"/>
        <v>93075000</v>
      </c>
      <c r="G50" s="42">
        <v>4535.3259911894274</v>
      </c>
      <c r="H50" s="44">
        <f>G50*$C$59</f>
        <v>52156248.898678415</v>
      </c>
      <c r="I50" s="42">
        <f t="shared" si="23"/>
        <v>20.709251101321588</v>
      </c>
      <c r="J50" s="45">
        <f t="shared" si="24"/>
        <v>145231248.89867842</v>
      </c>
      <c r="K50" s="36"/>
      <c r="L50" s="41" t="s">
        <v>257</v>
      </c>
      <c r="M50" s="41" t="str">
        <f>VLOOKUP(N50,'list rate unit'!O:P,2,FALSE)</f>
        <v>D 85 ESS-2</v>
      </c>
      <c r="N50" s="41" t="str">
        <f t="shared" si="25"/>
        <v>KOMATSU DOZER D85SS - 20</v>
      </c>
      <c r="O50" s="15" t="s">
        <v>56</v>
      </c>
    </row>
    <row r="51" spans="2:15" x14ac:dyDescent="0.3">
      <c r="B51" s="41">
        <f t="shared" si="1"/>
        <v>44</v>
      </c>
      <c r="C51" s="41" t="s">
        <v>354</v>
      </c>
      <c r="D51" s="42">
        <v>219</v>
      </c>
      <c r="E51" s="62">
        <f>IF(O51="K",VLOOKUP(M51,Table2[[#All],[UNIT]:[Column7]],10,FALSE),0)</f>
        <v>350000</v>
      </c>
      <c r="F51" s="43">
        <f t="shared" si="22"/>
        <v>76650000</v>
      </c>
      <c r="G51" s="42">
        <v>2830.5991189427314</v>
      </c>
      <c r="H51" s="44">
        <f>G51*$C$59</f>
        <v>32551889.867841411</v>
      </c>
      <c r="I51" s="42">
        <f t="shared" si="23"/>
        <v>12.92511013215859</v>
      </c>
      <c r="J51" s="45">
        <f t="shared" si="24"/>
        <v>109201889.86784141</v>
      </c>
      <c r="K51" s="36"/>
      <c r="L51" s="41" t="s">
        <v>257</v>
      </c>
      <c r="M51" s="41" t="str">
        <f>VLOOKUP(N51,'list rate unit'!O:P,2,FALSE)</f>
        <v>GD 511 A-1</v>
      </c>
      <c r="N51" s="41" t="str">
        <f t="shared" si="25"/>
        <v>GRADER GD535 - 10</v>
      </c>
      <c r="O51" s="15" t="s">
        <v>56</v>
      </c>
    </row>
    <row r="52" spans="2:15" x14ac:dyDescent="0.3">
      <c r="B52" s="41">
        <f t="shared" si="1"/>
        <v>45</v>
      </c>
      <c r="C52" s="41" t="s">
        <v>275</v>
      </c>
      <c r="D52" s="42">
        <v>24</v>
      </c>
      <c r="E52" s="62">
        <f>IF(O52="K",VLOOKUP(M52,Table2[[#All],[UNIT]:[Column7]],10,FALSE),0)</f>
        <v>220000</v>
      </c>
      <c r="F52" s="43">
        <f t="shared" si="22"/>
        <v>5280000</v>
      </c>
      <c r="G52" s="42">
        <v>147.46820809248555</v>
      </c>
      <c r="H52" s="44">
        <f>G52*$C$59</f>
        <v>1695884.3930635839</v>
      </c>
      <c r="I52" s="42">
        <f t="shared" si="23"/>
        <v>6.1445086705202314</v>
      </c>
      <c r="J52" s="45">
        <f t="shared" si="24"/>
        <v>6975884.3930635843</v>
      </c>
      <c r="K52" s="36"/>
      <c r="L52" s="41" t="s">
        <v>257</v>
      </c>
      <c r="M52" s="41" t="str">
        <f>VLOOKUP(N52,'list rate unit'!O:P,2,FALSE)</f>
        <v>SV 525 D</v>
      </c>
      <c r="N52" s="41" t="str">
        <f t="shared" si="25"/>
        <v>SAKAI - 02</v>
      </c>
      <c r="O52" s="15" t="s">
        <v>56</v>
      </c>
    </row>
    <row r="53" spans="2:15" x14ac:dyDescent="0.3">
      <c r="B53" s="41">
        <f t="shared" si="1"/>
        <v>46</v>
      </c>
      <c r="C53" s="41" t="s">
        <v>226</v>
      </c>
      <c r="D53" s="42">
        <v>214</v>
      </c>
      <c r="E53" s="62">
        <f>IF(O53="K",VLOOKUP(M53,Table2[[#All],[UNIT]:[Column7]],10,FALSE),0)</f>
        <v>220000</v>
      </c>
      <c r="F53" s="43">
        <f t="shared" ref="F53:F54" si="26">D53*E53</f>
        <v>47080000</v>
      </c>
      <c r="G53" s="42">
        <v>1279.1801801801803</v>
      </c>
      <c r="H53" s="44">
        <f>G53*$C$59</f>
        <v>14710572.072072074</v>
      </c>
      <c r="I53" s="42">
        <f t="shared" ref="I53:I54" si="27">IFERROR(G53/D53,0)</f>
        <v>5.9774774774774784</v>
      </c>
      <c r="J53" s="45">
        <f t="shared" ref="J53:J54" si="28">F53+H53</f>
        <v>61790572.072072074</v>
      </c>
      <c r="K53" s="36"/>
      <c r="L53" s="41" t="s">
        <v>257</v>
      </c>
      <c r="M53" s="41" t="str">
        <f>VLOOKUP(N53,'list rate unit'!O:P,2,FALSE)</f>
        <v>SV 525 D</v>
      </c>
      <c r="N53" s="41" t="str">
        <f t="shared" ref="N53:N54" si="29">C53</f>
        <v>SAKAI - 07</v>
      </c>
      <c r="O53" s="15" t="s">
        <v>56</v>
      </c>
    </row>
    <row r="54" spans="2:15" x14ac:dyDescent="0.3">
      <c r="B54" s="41">
        <f t="shared" si="1"/>
        <v>47</v>
      </c>
      <c r="C54" s="41" t="s">
        <v>342</v>
      </c>
      <c r="D54" s="42">
        <v>9</v>
      </c>
      <c r="E54" s="62">
        <f>IF(O54="K",VLOOKUP(M54,Table2[[#All],[UNIT]:[Column7]],10,FALSE),0)</f>
        <v>766205.76574775728</v>
      </c>
      <c r="F54" s="43">
        <f t="shared" si="26"/>
        <v>6895851.8917298159</v>
      </c>
      <c r="G54" s="42">
        <v>46.508108108108104</v>
      </c>
      <c r="H54" s="44">
        <f>G54*$C$59</f>
        <v>534843.2432432432</v>
      </c>
      <c r="I54" s="42">
        <f t="shared" si="27"/>
        <v>5.1675675675675672</v>
      </c>
      <c r="J54" s="45">
        <f t="shared" si="28"/>
        <v>7430695.1349730594</v>
      </c>
      <c r="K54" s="36"/>
      <c r="L54" s="41" t="s">
        <v>257</v>
      </c>
      <c r="M54" s="41" t="str">
        <f>VLOOKUP(N54,'list rate unit'!O:P,2,FALSE)</f>
        <v>WA 380-3</v>
      </c>
      <c r="N54" s="41" t="str">
        <f t="shared" si="29"/>
        <v>LOADER - 02</v>
      </c>
      <c r="O54" s="15" t="s">
        <v>56</v>
      </c>
    </row>
    <row r="55" spans="2:15" x14ac:dyDescent="0.3">
      <c r="D55" s="18"/>
      <c r="F55" s="32"/>
      <c r="G55" s="18"/>
      <c r="H55" s="30"/>
      <c r="I55" s="18"/>
      <c r="J55" s="33"/>
      <c r="K55" s="18"/>
    </row>
    <row r="56" spans="2:15" s="1" customFormat="1" ht="15.75" customHeight="1" x14ac:dyDescent="0.3">
      <c r="B56" s="246" t="s">
        <v>21</v>
      </c>
      <c r="C56" s="246"/>
      <c r="D56" s="46">
        <f>SUM(D8:D55)</f>
        <v>4845</v>
      </c>
      <c r="E56" s="63">
        <f>AVERAGE(E8:E55)</f>
        <v>762144.06952285254</v>
      </c>
      <c r="F56" s="47">
        <f>SUM(F8:F55)</f>
        <v>4147881366.2568831</v>
      </c>
      <c r="G56" s="46">
        <f>SUM(G8:G55)</f>
        <v>85375.131399988139</v>
      </c>
      <c r="H56" s="47">
        <f>SUM(H8:H55)</f>
        <v>981814011.09986305</v>
      </c>
      <c r="I56" s="46">
        <f t="shared" si="0"/>
        <v>17.621286150668347</v>
      </c>
      <c r="J56" s="48">
        <f>SUM(J8:J55)</f>
        <v>5129695377.3567467</v>
      </c>
      <c r="K56" s="37"/>
    </row>
    <row r="58" spans="2:15" x14ac:dyDescent="0.3">
      <c r="B58" s="35" t="s">
        <v>34</v>
      </c>
      <c r="C58" s="29">
        <f>'SUMMARY 2'!I28</f>
        <v>14848</v>
      </c>
    </row>
    <row r="59" spans="2:15" x14ac:dyDescent="0.3">
      <c r="B59" s="35" t="s">
        <v>35</v>
      </c>
      <c r="C59" s="29">
        <f>SUMMARY!J13</f>
        <v>11500</v>
      </c>
      <c r="F59" s="30"/>
      <c r="G59" s="18"/>
    </row>
    <row r="61" spans="2:15" x14ac:dyDescent="0.3">
      <c r="F61" s="18"/>
    </row>
  </sheetData>
  <autoFilter ref="B7:O56" xr:uid="{00000000-0009-0000-0000-000003000000}"/>
  <mergeCells count="13">
    <mergeCell ref="B2:C3"/>
    <mergeCell ref="M5:M7"/>
    <mergeCell ref="N5:N7"/>
    <mergeCell ref="I5:I6"/>
    <mergeCell ref="L5:L7"/>
    <mergeCell ref="J5:J7"/>
    <mergeCell ref="B56:C56"/>
    <mergeCell ref="C5:C7"/>
    <mergeCell ref="B5:B7"/>
    <mergeCell ref="D5:F5"/>
    <mergeCell ref="G5:H5"/>
    <mergeCell ref="F6:F7"/>
    <mergeCell ref="H6:H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4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6" sqref="H1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50" t="s">
        <v>169</v>
      </c>
      <c r="C2" s="25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50"/>
      <c r="C3" s="25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7" t="s">
        <v>1</v>
      </c>
      <c r="C5" s="247" t="s">
        <v>88</v>
      </c>
      <c r="D5" s="248" t="s">
        <v>36</v>
      </c>
      <c r="E5" s="248"/>
      <c r="F5" s="248"/>
      <c r="G5" s="249" t="s">
        <v>37</v>
      </c>
      <c r="H5" s="249"/>
      <c r="I5" s="247" t="s">
        <v>54</v>
      </c>
      <c r="J5" s="251" t="s">
        <v>82</v>
      </c>
      <c r="K5" s="31"/>
      <c r="L5" s="247" t="s">
        <v>47</v>
      </c>
      <c r="M5" s="247" t="s">
        <v>89</v>
      </c>
      <c r="N5" s="247"/>
    </row>
    <row r="6" spans="2:15" ht="15" customHeight="1" x14ac:dyDescent="0.3">
      <c r="B6" s="247"/>
      <c r="C6" s="247"/>
      <c r="D6" s="39" t="s">
        <v>26</v>
      </c>
      <c r="E6" s="40" t="s">
        <v>31</v>
      </c>
      <c r="F6" s="247" t="s">
        <v>28</v>
      </c>
      <c r="G6" s="39" t="s">
        <v>27</v>
      </c>
      <c r="H6" s="247" t="s">
        <v>28</v>
      </c>
      <c r="I6" s="247"/>
      <c r="J6" s="251"/>
      <c r="K6" s="31"/>
      <c r="L6" s="247"/>
      <c r="M6" s="247"/>
      <c r="N6" s="247"/>
    </row>
    <row r="7" spans="2:15" ht="15" customHeight="1" x14ac:dyDescent="0.3">
      <c r="B7" s="247"/>
      <c r="C7" s="247"/>
      <c r="D7" s="39" t="s">
        <v>29</v>
      </c>
      <c r="E7" s="40" t="s">
        <v>30</v>
      </c>
      <c r="F7" s="247"/>
      <c r="G7" s="39" t="s">
        <v>32</v>
      </c>
      <c r="H7" s="247"/>
      <c r="I7" s="39" t="s">
        <v>33</v>
      </c>
      <c r="J7" s="251"/>
      <c r="K7" s="31"/>
      <c r="L7" s="247"/>
      <c r="M7" s="247"/>
      <c r="N7" s="247"/>
    </row>
    <row r="8" spans="2:15" x14ac:dyDescent="0.3">
      <c r="B8" s="41">
        <f t="shared" ref="B8:B16" si="0">ROW(B8)-7</f>
        <v>1</v>
      </c>
      <c r="C8" s="41" t="s">
        <v>186</v>
      </c>
      <c r="D8" s="42">
        <v>21</v>
      </c>
      <c r="E8" s="62">
        <f>IF(O8="K",VLOOKUP(M8,Table2[[#All],[UNIT]:[Column7]],10,FALSE),0)</f>
        <v>1000000</v>
      </c>
      <c r="F8" s="43">
        <f>D8*E8</f>
        <v>21000000</v>
      </c>
      <c r="G8" s="42">
        <v>608.22222222222217</v>
      </c>
      <c r="H8" s="44">
        <f>G8*$C$44</f>
        <v>6994555.555555555</v>
      </c>
      <c r="I8" s="42">
        <f t="shared" ref="I8:I9" si="1">IFERROR(G8/D8,0)</f>
        <v>28.962962962962962</v>
      </c>
      <c r="J8" s="45">
        <f>F8+H8</f>
        <v>27994555.555555556</v>
      </c>
      <c r="K8" s="36"/>
      <c r="L8" s="41" t="s">
        <v>257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f t="shared" si="0"/>
        <v>2</v>
      </c>
      <c r="C9" s="41" t="s">
        <v>187</v>
      </c>
      <c r="D9" s="42">
        <v>9</v>
      </c>
      <c r="E9" s="62">
        <f>IF(O9="K",VLOOKUP(M9,Table2[[#All],[UNIT]:[Column7]],10,FALSE),0)</f>
        <v>1000000</v>
      </c>
      <c r="F9" s="43">
        <f t="shared" ref="F9" si="2">D9*E9</f>
        <v>9000000</v>
      </c>
      <c r="G9" s="42">
        <v>204.34090909090907</v>
      </c>
      <c r="H9" s="44">
        <f>G9*$C$44</f>
        <v>2349920.4545454541</v>
      </c>
      <c r="I9" s="42">
        <f t="shared" si="1"/>
        <v>22.704545454545453</v>
      </c>
      <c r="J9" s="45">
        <f t="shared" ref="J9" si="3">F9+H9</f>
        <v>11349920.454545453</v>
      </c>
      <c r="K9" s="36"/>
      <c r="L9" s="41" t="s">
        <v>257</v>
      </c>
      <c r="M9" s="41" t="str">
        <f>VLOOKUP(N9,'list rate unit'!O:P,2,FALSE)</f>
        <v>PC 500 LCE-10R</v>
      </c>
      <c r="N9" s="41" t="str">
        <f t="shared" ref="N9" si="4">C9</f>
        <v>KOMATSU PC 500 - 02</v>
      </c>
      <c r="O9" s="15" t="s">
        <v>56</v>
      </c>
    </row>
    <row r="10" spans="2:15" x14ac:dyDescent="0.3">
      <c r="B10" s="41">
        <f t="shared" si="0"/>
        <v>3</v>
      </c>
      <c r="C10" s="41" t="s">
        <v>237</v>
      </c>
      <c r="D10" s="42">
        <v>112</v>
      </c>
      <c r="E10" s="62">
        <f>IF(O10="K",VLOOKUP(M10,Table2[[#All],[UNIT]:[Column7]],10,FALSE),0)</f>
        <v>1000000</v>
      </c>
      <c r="F10" s="43">
        <f t="shared" ref="F10:F16" si="5">D10*E10</f>
        <v>112000000</v>
      </c>
      <c r="G10" s="42">
        <v>3427.976878612717</v>
      </c>
      <c r="H10" s="44">
        <f>G10*$C$44</f>
        <v>39421734.104046248</v>
      </c>
      <c r="I10" s="42">
        <f t="shared" ref="I10:I16" si="6">IFERROR(G10/D10,0)</f>
        <v>30.606936416184972</v>
      </c>
      <c r="J10" s="45">
        <f t="shared" ref="J10:J16" si="7">F10+H10</f>
        <v>151421734.10404626</v>
      </c>
      <c r="K10" s="36"/>
      <c r="L10" s="41" t="s">
        <v>257</v>
      </c>
      <c r="M10" s="41" t="str">
        <f>VLOOKUP(N10,'list rate unit'!O:P,2,FALSE)</f>
        <v>PC 500 LCE-10R</v>
      </c>
      <c r="N10" s="41" t="str">
        <f t="shared" ref="N10:N16" si="8">C10</f>
        <v>KOMATSU PC 500 - 04</v>
      </c>
      <c r="O10" s="15" t="s">
        <v>56</v>
      </c>
    </row>
    <row r="11" spans="2:15" x14ac:dyDescent="0.3">
      <c r="B11" s="41">
        <f t="shared" si="0"/>
        <v>4</v>
      </c>
      <c r="C11" s="41" t="s">
        <v>190</v>
      </c>
      <c r="D11" s="42">
        <v>29</v>
      </c>
      <c r="E11" s="62">
        <f>IF(O11="K",VLOOKUP(M11,Table2[[#All],[UNIT]:[Column7]],10,FALSE),0)</f>
        <v>400000</v>
      </c>
      <c r="F11" s="43">
        <f t="shared" si="5"/>
        <v>11600000</v>
      </c>
      <c r="G11" s="42">
        <v>635.80303030303037</v>
      </c>
      <c r="H11" s="44">
        <f>G11*$C$44</f>
        <v>7311734.8484848496</v>
      </c>
      <c r="I11" s="42">
        <f t="shared" si="6"/>
        <v>21.924242424242426</v>
      </c>
      <c r="J11" s="45">
        <f t="shared" si="7"/>
        <v>18911734.848484851</v>
      </c>
      <c r="K11" s="36"/>
      <c r="L11" s="41" t="s">
        <v>257</v>
      </c>
      <c r="M11" s="41" t="str">
        <f>VLOOKUP(N11,'list rate unit'!O:P,2,FALSE)</f>
        <v>PC 300 SE-8</v>
      </c>
      <c r="N11" s="41" t="str">
        <f t="shared" si="8"/>
        <v>KOMATSU PC 300 - 10</v>
      </c>
      <c r="O11" s="15" t="s">
        <v>56</v>
      </c>
    </row>
    <row r="12" spans="2:15" x14ac:dyDescent="0.3">
      <c r="B12" s="41">
        <f t="shared" si="0"/>
        <v>5</v>
      </c>
      <c r="C12" s="41" t="s">
        <v>247</v>
      </c>
      <c r="D12" s="42">
        <v>46</v>
      </c>
      <c r="E12" s="62">
        <f>IF(O12="K",VLOOKUP(M12,Table2[[#All],[UNIT]:[Column7]],10,FALSE),0)</f>
        <v>400000</v>
      </c>
      <c r="F12" s="43">
        <f t="shared" si="5"/>
        <v>18400000</v>
      </c>
      <c r="G12" s="42">
        <v>1202.262910798122</v>
      </c>
      <c r="H12" s="44">
        <f>G12*$C$44</f>
        <v>13826023.474178404</v>
      </c>
      <c r="I12" s="42">
        <f t="shared" si="6"/>
        <v>26.136150234741784</v>
      </c>
      <c r="J12" s="45">
        <f t="shared" si="7"/>
        <v>32226023.474178404</v>
      </c>
      <c r="K12" s="36"/>
      <c r="L12" s="41" t="s">
        <v>257</v>
      </c>
      <c r="M12" s="41" t="str">
        <f>VLOOKUP(N12,'list rate unit'!O:P,2,FALSE)</f>
        <v>PC 300 SE-8</v>
      </c>
      <c r="N12" s="41" t="str">
        <f t="shared" si="8"/>
        <v>KOMATSU PC 300 - 14</v>
      </c>
      <c r="O12" s="15" t="s">
        <v>56</v>
      </c>
    </row>
    <row r="13" spans="2:15" x14ac:dyDescent="0.3">
      <c r="B13" s="41">
        <f t="shared" si="0"/>
        <v>6</v>
      </c>
      <c r="C13" s="41" t="s">
        <v>261</v>
      </c>
      <c r="D13" s="42">
        <v>7</v>
      </c>
      <c r="E13" s="62">
        <f>IF(O13="K",VLOOKUP(M13,Table2[[#All],[UNIT]:[Column7]],10,FALSE),0)</f>
        <v>400000</v>
      </c>
      <c r="F13" s="43">
        <f t="shared" si="5"/>
        <v>2800000</v>
      </c>
      <c r="G13" s="42">
        <v>161.47511312217193</v>
      </c>
      <c r="H13" s="44">
        <f>G13*$C$44</f>
        <v>1856963.8009049771</v>
      </c>
      <c r="I13" s="42">
        <f t="shared" si="6"/>
        <v>23.067873303167421</v>
      </c>
      <c r="J13" s="45">
        <f t="shared" si="7"/>
        <v>4656963.8009049771</v>
      </c>
      <c r="K13" s="36"/>
      <c r="L13" s="41" t="s">
        <v>257</v>
      </c>
      <c r="M13" s="41" t="str">
        <f>VLOOKUP(N13,'list rate unit'!O:P,2,FALSE)</f>
        <v>PC 300 SE-8</v>
      </c>
      <c r="N13" s="41" t="str">
        <f t="shared" si="8"/>
        <v>KOMATSU PC 300 - 15</v>
      </c>
      <c r="O13" s="15" t="s">
        <v>56</v>
      </c>
    </row>
    <row r="14" spans="2:15" x14ac:dyDescent="0.3">
      <c r="B14" s="41">
        <f t="shared" si="0"/>
        <v>7</v>
      </c>
      <c r="C14" s="41" t="s">
        <v>330</v>
      </c>
      <c r="D14" s="42">
        <v>19</v>
      </c>
      <c r="E14" s="62">
        <f>IF(O14="K",VLOOKUP(M14,Table2[[#All],[UNIT]:[Column7]],10,FALSE),0)</f>
        <v>400000</v>
      </c>
      <c r="F14" s="43">
        <f t="shared" si="5"/>
        <v>7600000</v>
      </c>
      <c r="G14" s="42">
        <v>337.54954954954957</v>
      </c>
      <c r="H14" s="44">
        <f>G14*$C$44</f>
        <v>3881819.8198198201</v>
      </c>
      <c r="I14" s="42">
        <f t="shared" si="6"/>
        <v>17.765765765765767</v>
      </c>
      <c r="J14" s="45">
        <f t="shared" si="7"/>
        <v>11481819.819819819</v>
      </c>
      <c r="K14" s="36"/>
      <c r="L14" s="41" t="s">
        <v>257</v>
      </c>
      <c r="M14" s="41" t="str">
        <f>VLOOKUP(N14,'list rate unit'!O:P,2,FALSE)</f>
        <v>SK 330-8</v>
      </c>
      <c r="N14" s="41" t="str">
        <f t="shared" si="8"/>
        <v>KOBELCO SK 330 - 12</v>
      </c>
      <c r="O14" s="15" t="s">
        <v>56</v>
      </c>
    </row>
    <row r="15" spans="2:15" x14ac:dyDescent="0.3">
      <c r="B15" s="41">
        <f t="shared" si="0"/>
        <v>8</v>
      </c>
      <c r="C15" s="41" t="s">
        <v>348</v>
      </c>
      <c r="D15" s="42">
        <v>8</v>
      </c>
      <c r="E15" s="62">
        <f>IF(O15="K",VLOOKUP(M15,Table2[[#All],[UNIT]:[Column7]],10,FALSE),0)</f>
        <v>275000</v>
      </c>
      <c r="F15" s="43">
        <f t="shared" si="5"/>
        <v>2200000</v>
      </c>
      <c r="G15" s="42">
        <v>109.68571428571428</v>
      </c>
      <c r="H15" s="44">
        <f>G15*$C$44</f>
        <v>1261385.7142857143</v>
      </c>
      <c r="I15" s="42">
        <f t="shared" si="6"/>
        <v>13.710714285714285</v>
      </c>
      <c r="J15" s="45">
        <f t="shared" si="7"/>
        <v>3461385.7142857146</v>
      </c>
      <c r="K15" s="36"/>
      <c r="L15" s="41" t="s">
        <v>257</v>
      </c>
      <c r="M15" s="41" t="str">
        <f>VLOOKUP(N15,'list rate unit'!O:P,2,FALSE)</f>
        <v>PC 200-8 MO</v>
      </c>
      <c r="N15" s="41" t="str">
        <f t="shared" si="8"/>
        <v>KOMATSU PC 200 - 20</v>
      </c>
      <c r="O15" s="15" t="s">
        <v>56</v>
      </c>
    </row>
    <row r="16" spans="2:15" x14ac:dyDescent="0.3">
      <c r="B16" s="41">
        <f t="shared" si="0"/>
        <v>9</v>
      </c>
      <c r="C16" s="41" t="s">
        <v>199</v>
      </c>
      <c r="D16" s="42">
        <v>3</v>
      </c>
      <c r="E16" s="62">
        <f>IF(O16="K",VLOOKUP(M16,Table2[[#All],[UNIT]:[Column7]],10,FALSE),0)</f>
        <v>275000</v>
      </c>
      <c r="F16" s="43">
        <f t="shared" si="5"/>
        <v>825000</v>
      </c>
      <c r="G16" s="42">
        <v>35.135294117647057</v>
      </c>
      <c r="H16" s="44">
        <f>G16*$C$44</f>
        <v>404055.88235294115</v>
      </c>
      <c r="I16" s="42">
        <f t="shared" si="6"/>
        <v>11.711764705882352</v>
      </c>
      <c r="J16" s="45">
        <f t="shared" si="7"/>
        <v>1229055.8823529412</v>
      </c>
      <c r="K16" s="36"/>
      <c r="L16" s="41" t="s">
        <v>257</v>
      </c>
      <c r="M16" s="41" t="str">
        <f>VLOOKUP(N16,'list rate unit'!O:P,2,FALSE)</f>
        <v>SK 200-8 SX</v>
      </c>
      <c r="N16" s="41" t="str">
        <f t="shared" si="8"/>
        <v>KOBELCO SK 200 - 13</v>
      </c>
      <c r="O16" s="15" t="s">
        <v>56</v>
      </c>
    </row>
    <row r="17" spans="2:15" x14ac:dyDescent="0.3">
      <c r="B17" s="41">
        <f t="shared" ref="B17:B38" si="9">ROW(B17)-7</f>
        <v>10</v>
      </c>
      <c r="C17" s="41" t="s">
        <v>207</v>
      </c>
      <c r="D17" s="42">
        <v>32</v>
      </c>
      <c r="E17" s="62">
        <f>IF(O17="K",VLOOKUP(M17,Table2[[#All],[UNIT]:[Column7]],10,FALSE),0)</f>
        <v>1424304.3667884208</v>
      </c>
      <c r="F17" s="43">
        <f t="shared" ref="F17:F38" si="10">D17*E17</f>
        <v>45577739.737229466</v>
      </c>
      <c r="G17" s="42">
        <v>525.51111111111106</v>
      </c>
      <c r="H17" s="44">
        <f>G17*$C$44</f>
        <v>6043377.7777777771</v>
      </c>
      <c r="I17" s="42">
        <f t="shared" ref="I17:I38" si="11">IFERROR(G17/D17,0)</f>
        <v>16.422222222222221</v>
      </c>
      <c r="J17" s="45">
        <f t="shared" ref="J17:J38" si="12">F17+H17</f>
        <v>51621117.515007243</v>
      </c>
      <c r="K17" s="36"/>
      <c r="L17" s="41" t="s">
        <v>257</v>
      </c>
      <c r="M17" s="41" t="str">
        <f>VLOOKUP(N17,'list rate unit'!O:P,2,FALSE)</f>
        <v>HM 400-3R</v>
      </c>
      <c r="N17" s="41" t="str">
        <f t="shared" ref="N17:N38" si="13">C17</f>
        <v>KOMATSU HM 400 - 11</v>
      </c>
      <c r="O17" s="15" t="s">
        <v>56</v>
      </c>
    </row>
    <row r="18" spans="2:15" x14ac:dyDescent="0.3">
      <c r="B18" s="41">
        <f t="shared" si="9"/>
        <v>11</v>
      </c>
      <c r="C18" s="41" t="s">
        <v>208</v>
      </c>
      <c r="D18" s="42">
        <v>6</v>
      </c>
      <c r="E18" s="62">
        <f>IF(O18="K",VLOOKUP(M18,Table2[[#All],[UNIT]:[Column7]],10,FALSE),0)</f>
        <v>1424304.3667884208</v>
      </c>
      <c r="F18" s="43">
        <f t="shared" si="10"/>
        <v>8545826.200730525</v>
      </c>
      <c r="G18" s="42">
        <v>139.71428571428572</v>
      </c>
      <c r="H18" s="44">
        <f>G18*$C$44</f>
        <v>1606714.2857142859</v>
      </c>
      <c r="I18" s="42">
        <f t="shared" si="11"/>
        <v>23.285714285714288</v>
      </c>
      <c r="J18" s="45">
        <f t="shared" si="12"/>
        <v>10152540.48644481</v>
      </c>
      <c r="K18" s="36"/>
      <c r="L18" s="41" t="s">
        <v>257</v>
      </c>
      <c r="M18" s="41" t="str">
        <f>VLOOKUP(N18,'list rate unit'!O:P,2,FALSE)</f>
        <v>HM 400-3R</v>
      </c>
      <c r="N18" s="41" t="str">
        <f t="shared" si="13"/>
        <v>KOMATSU HM 400 - 12</v>
      </c>
      <c r="O18" s="15" t="s">
        <v>56</v>
      </c>
    </row>
    <row r="19" spans="2:15" x14ac:dyDescent="0.3">
      <c r="B19" s="41">
        <f t="shared" si="9"/>
        <v>12</v>
      </c>
      <c r="C19" s="41" t="s">
        <v>209</v>
      </c>
      <c r="D19" s="42">
        <v>20</v>
      </c>
      <c r="E19" s="62">
        <f>IF(O19="K",VLOOKUP(M19,Table2[[#All],[UNIT]:[Column7]],10,FALSE),0)</f>
        <v>1424304.3667884208</v>
      </c>
      <c r="F19" s="43">
        <f t="shared" si="10"/>
        <v>28486087.335768417</v>
      </c>
      <c r="G19" s="42">
        <v>340.4571428571428</v>
      </c>
      <c r="H19" s="44">
        <f>G19*$C$44</f>
        <v>3915257.1428571423</v>
      </c>
      <c r="I19" s="42">
        <f t="shared" si="11"/>
        <v>17.022857142857141</v>
      </c>
      <c r="J19" s="45">
        <f t="shared" si="12"/>
        <v>32401344.478625558</v>
      </c>
      <c r="K19" s="36"/>
      <c r="L19" s="41" t="s">
        <v>257</v>
      </c>
      <c r="M19" s="41" t="str">
        <f>VLOOKUP(N19,'list rate unit'!O:P,2,FALSE)</f>
        <v>HM 400-3R</v>
      </c>
      <c r="N19" s="41" t="str">
        <f t="shared" si="13"/>
        <v>KOMATSU HM 400 - 13</v>
      </c>
      <c r="O19" s="15" t="s">
        <v>56</v>
      </c>
    </row>
    <row r="20" spans="2:15" x14ac:dyDescent="0.3">
      <c r="B20" s="41">
        <f t="shared" si="9"/>
        <v>13</v>
      </c>
      <c r="C20" s="41" t="s">
        <v>210</v>
      </c>
      <c r="D20" s="42">
        <v>21</v>
      </c>
      <c r="E20" s="62">
        <f>IF(O20="K",VLOOKUP(M20,Table2[[#All],[UNIT]:[Column7]],10,FALSE),0)</f>
        <v>1424304.3667884208</v>
      </c>
      <c r="F20" s="43">
        <f t="shared" si="10"/>
        <v>29910391.702556837</v>
      </c>
      <c r="G20" s="42">
        <v>336</v>
      </c>
      <c r="H20" s="44">
        <f>G20*$C$44</f>
        <v>3864000</v>
      </c>
      <c r="I20" s="42">
        <f t="shared" si="11"/>
        <v>16</v>
      </c>
      <c r="J20" s="45">
        <f t="shared" si="12"/>
        <v>33774391.702556834</v>
      </c>
      <c r="K20" s="36"/>
      <c r="L20" s="41" t="s">
        <v>257</v>
      </c>
      <c r="M20" s="41" t="str">
        <f>VLOOKUP(N20,'list rate unit'!O:P,2,FALSE)</f>
        <v>HM 400-3R</v>
      </c>
      <c r="N20" s="41" t="str">
        <f t="shared" si="13"/>
        <v>KOMATSU HM 400 - 14</v>
      </c>
      <c r="O20" s="15" t="s">
        <v>56</v>
      </c>
    </row>
    <row r="21" spans="2:15" x14ac:dyDescent="0.3">
      <c r="B21" s="41">
        <f t="shared" si="9"/>
        <v>14</v>
      </c>
      <c r="C21" s="41" t="s">
        <v>211</v>
      </c>
      <c r="D21" s="42">
        <v>25</v>
      </c>
      <c r="E21" s="62">
        <f>IF(O21="K",VLOOKUP(M21,Table2[[#All],[UNIT]:[Column7]],10,FALSE),0)</f>
        <v>1424304.3667884208</v>
      </c>
      <c r="F21" s="43">
        <f t="shared" si="10"/>
        <v>35607609.169710517</v>
      </c>
      <c r="G21" s="42">
        <v>414.89726027397262</v>
      </c>
      <c r="H21" s="44">
        <f>G21*$C$44</f>
        <v>4771318.493150685</v>
      </c>
      <c r="I21" s="42">
        <f t="shared" si="11"/>
        <v>16.595890410958905</v>
      </c>
      <c r="J21" s="45">
        <f t="shared" si="12"/>
        <v>40378927.662861198</v>
      </c>
      <c r="K21" s="36"/>
      <c r="L21" s="41" t="s">
        <v>257</v>
      </c>
      <c r="M21" s="41" t="str">
        <f>VLOOKUP(N21,'list rate unit'!O:P,2,FALSE)</f>
        <v>HM 400-3R</v>
      </c>
      <c r="N21" s="41" t="str">
        <f t="shared" si="13"/>
        <v>KOMATSU HM 400 - 15</v>
      </c>
      <c r="O21" s="15" t="s">
        <v>56</v>
      </c>
    </row>
    <row r="22" spans="2:15" x14ac:dyDescent="0.3">
      <c r="B22" s="41">
        <f t="shared" si="9"/>
        <v>15</v>
      </c>
      <c r="C22" s="41" t="s">
        <v>212</v>
      </c>
      <c r="D22" s="42">
        <v>6</v>
      </c>
      <c r="E22" s="62">
        <f>IF(O22="K",VLOOKUP(M22,Table2[[#All],[UNIT]:[Column7]],10,FALSE),0)</f>
        <v>1424304.3667884208</v>
      </c>
      <c r="F22" s="43">
        <f t="shared" si="10"/>
        <v>8545826.200730525</v>
      </c>
      <c r="G22" s="42">
        <v>114.66298342541435</v>
      </c>
      <c r="H22" s="44">
        <f>G22*$C$44</f>
        <v>1318624.309392265</v>
      </c>
      <c r="I22" s="42">
        <f t="shared" si="11"/>
        <v>19.11049723756906</v>
      </c>
      <c r="J22" s="45">
        <f t="shared" si="12"/>
        <v>9864450.5101227909</v>
      </c>
      <c r="K22" s="36"/>
      <c r="L22" s="41" t="s">
        <v>257</v>
      </c>
      <c r="M22" s="41" t="str">
        <f>VLOOKUP(N22,'list rate unit'!O:P,2,FALSE)</f>
        <v>HM 400-3R</v>
      </c>
      <c r="N22" s="41" t="str">
        <f t="shared" si="13"/>
        <v>KOMATSU HM 400 - 16</v>
      </c>
      <c r="O22" s="15" t="s">
        <v>56</v>
      </c>
    </row>
    <row r="23" spans="2:15" x14ac:dyDescent="0.3">
      <c r="B23" s="41">
        <f t="shared" si="9"/>
        <v>16</v>
      </c>
      <c r="C23" s="41" t="s">
        <v>213</v>
      </c>
      <c r="D23" s="42">
        <v>48</v>
      </c>
      <c r="E23" s="62">
        <f>IF(O23="K",VLOOKUP(M23,Table2[[#All],[UNIT]:[Column7]],10,FALSE),0)</f>
        <v>1424304.3667884208</v>
      </c>
      <c r="F23" s="43">
        <f t="shared" si="10"/>
        <v>68366609.6058442</v>
      </c>
      <c r="G23" s="42">
        <v>668.58767772511851</v>
      </c>
      <c r="H23" s="44">
        <f>G23*$C$44</f>
        <v>7688758.2938388633</v>
      </c>
      <c r="I23" s="42">
        <f t="shared" si="11"/>
        <v>13.928909952606636</v>
      </c>
      <c r="J23" s="45">
        <f t="shared" si="12"/>
        <v>76055367.899683058</v>
      </c>
      <c r="K23" s="36"/>
      <c r="L23" s="41" t="s">
        <v>257</v>
      </c>
      <c r="M23" s="41" t="str">
        <f>VLOOKUP(N23,'list rate unit'!O:P,2,FALSE)</f>
        <v>HM 400-3R</v>
      </c>
      <c r="N23" s="41" t="str">
        <f t="shared" si="13"/>
        <v>KOMATSU HM 400 - 17</v>
      </c>
      <c r="O23" s="15" t="s">
        <v>56</v>
      </c>
    </row>
    <row r="24" spans="2:15" x14ac:dyDescent="0.3">
      <c r="B24" s="41">
        <f t="shared" si="9"/>
        <v>17</v>
      </c>
      <c r="C24" s="41" t="s">
        <v>214</v>
      </c>
      <c r="D24" s="42">
        <v>15</v>
      </c>
      <c r="E24" s="62">
        <f>IF(O24="K",VLOOKUP(M24,Table2[[#All],[UNIT]:[Column7]],10,FALSE),0)</f>
        <v>1424304.3667884208</v>
      </c>
      <c r="F24" s="43">
        <f t="shared" ref="F24:F37" si="14">D24*E24</f>
        <v>21364565.501826312</v>
      </c>
      <c r="G24" s="42">
        <v>268.62068965517238</v>
      </c>
      <c r="H24" s="44">
        <f>G24*$C$44</f>
        <v>3089137.9310344825</v>
      </c>
      <c r="I24" s="42">
        <f t="shared" ref="I24:I37" si="15">IFERROR(G24/D24,0)</f>
        <v>17.908045977011493</v>
      </c>
      <c r="J24" s="45">
        <f t="shared" ref="J24:J37" si="16">F24+H24</f>
        <v>24453703.432860795</v>
      </c>
      <c r="K24" s="36"/>
      <c r="L24" s="41" t="s">
        <v>257</v>
      </c>
      <c r="M24" s="41" t="str">
        <f>VLOOKUP(N24,'list rate unit'!O:P,2,FALSE)</f>
        <v>HM 400-3R</v>
      </c>
      <c r="N24" s="41" t="str">
        <f t="shared" ref="N24:N37" si="17">C24</f>
        <v>KOMATSU HM 400 - 18</v>
      </c>
      <c r="O24" s="15" t="s">
        <v>56</v>
      </c>
    </row>
    <row r="25" spans="2:15" x14ac:dyDescent="0.3">
      <c r="B25" s="41">
        <f t="shared" si="9"/>
        <v>18</v>
      </c>
      <c r="C25" s="41" t="s">
        <v>215</v>
      </c>
      <c r="D25" s="42">
        <v>48</v>
      </c>
      <c r="E25" s="62">
        <f>IF(O25="K",VLOOKUP(M25,Table2[[#All],[UNIT]:[Column7]],10,FALSE),0)</f>
        <v>1424304.3667884208</v>
      </c>
      <c r="F25" s="43">
        <f t="shared" si="14"/>
        <v>68366609.6058442</v>
      </c>
      <c r="G25" s="42">
        <v>807.5138121546961</v>
      </c>
      <c r="H25" s="44">
        <f>G25*$C$44</f>
        <v>9286408.8397790045</v>
      </c>
      <c r="I25" s="42">
        <f t="shared" si="15"/>
        <v>16.823204419889503</v>
      </c>
      <c r="J25" s="45">
        <f t="shared" si="16"/>
        <v>77653018.445623204</v>
      </c>
      <c r="K25" s="36"/>
      <c r="L25" s="41" t="s">
        <v>257</v>
      </c>
      <c r="M25" s="41" t="str">
        <f>VLOOKUP(N25,'list rate unit'!O:P,2,FALSE)</f>
        <v>HM 400-3R</v>
      </c>
      <c r="N25" s="41" t="str">
        <f t="shared" si="17"/>
        <v>KOMATSU HM 400 - 19</v>
      </c>
      <c r="O25" s="15" t="s">
        <v>56</v>
      </c>
    </row>
    <row r="26" spans="2:15" x14ac:dyDescent="0.3">
      <c r="B26" s="41">
        <f t="shared" si="9"/>
        <v>19</v>
      </c>
      <c r="C26" s="41" t="s">
        <v>216</v>
      </c>
      <c r="D26" s="42">
        <v>53</v>
      </c>
      <c r="E26" s="62">
        <f>IF(O26="K",VLOOKUP(M26,Table2[[#All],[UNIT]:[Column7]],10,FALSE),0)</f>
        <v>1424304.3667884208</v>
      </c>
      <c r="F26" s="43">
        <f t="shared" si="14"/>
        <v>75488131.4397863</v>
      </c>
      <c r="G26" s="42">
        <v>736.9304347826087</v>
      </c>
      <c r="H26" s="44">
        <f>G26*$C$44</f>
        <v>8474700</v>
      </c>
      <c r="I26" s="42">
        <f t="shared" si="15"/>
        <v>13.904347826086957</v>
      </c>
      <c r="J26" s="45">
        <f t="shared" si="16"/>
        <v>83962831.4397863</v>
      </c>
      <c r="K26" s="36"/>
      <c r="L26" s="41" t="s">
        <v>257</v>
      </c>
      <c r="M26" s="41" t="str">
        <f>VLOOKUP(N26,'list rate unit'!O:P,2,FALSE)</f>
        <v>HM 400-3R</v>
      </c>
      <c r="N26" s="41" t="str">
        <f t="shared" si="17"/>
        <v>KOMATSU HM 400 - 20</v>
      </c>
      <c r="O26" s="15" t="s">
        <v>56</v>
      </c>
    </row>
    <row r="27" spans="2:15" x14ac:dyDescent="0.3">
      <c r="B27" s="41">
        <f t="shared" si="9"/>
        <v>20</v>
      </c>
      <c r="C27" s="41" t="s">
        <v>217</v>
      </c>
      <c r="D27" s="42">
        <v>10</v>
      </c>
      <c r="E27" s="62">
        <f>IF(O27="K",VLOOKUP(M27,Table2[[#All],[UNIT]:[Column7]],10,FALSE),0)</f>
        <v>1424304.3667884208</v>
      </c>
      <c r="F27" s="43">
        <f t="shared" si="14"/>
        <v>14243043.667884208</v>
      </c>
      <c r="G27" s="42">
        <v>206.13259668508289</v>
      </c>
      <c r="H27" s="44">
        <f>G27*$C$44</f>
        <v>2370524.8618784533</v>
      </c>
      <c r="I27" s="42">
        <f t="shared" si="15"/>
        <v>20.613259668508288</v>
      </c>
      <c r="J27" s="45">
        <f t="shared" si="16"/>
        <v>16613568.529762661</v>
      </c>
      <c r="K27" s="36"/>
      <c r="L27" s="41" t="s">
        <v>257</v>
      </c>
      <c r="M27" s="41" t="str">
        <f>VLOOKUP(N27,'list rate unit'!O:P,2,FALSE)</f>
        <v>HM 400-3R</v>
      </c>
      <c r="N27" s="41" t="str">
        <f t="shared" si="17"/>
        <v>KOMATSU HM 400 - 21</v>
      </c>
      <c r="O27" s="15" t="s">
        <v>56</v>
      </c>
    </row>
    <row r="28" spans="2:15" x14ac:dyDescent="0.3">
      <c r="B28" s="41">
        <f t="shared" si="9"/>
        <v>21</v>
      </c>
      <c r="C28" s="41" t="s">
        <v>218</v>
      </c>
      <c r="D28" s="42">
        <v>101</v>
      </c>
      <c r="E28" s="62">
        <f>IF(O28="K",VLOOKUP(M28,Table2[[#All],[UNIT]:[Column7]],10,FALSE),0)</f>
        <v>1424304.3667884208</v>
      </c>
      <c r="F28" s="43">
        <f t="shared" si="14"/>
        <v>143854741.04563051</v>
      </c>
      <c r="G28" s="42">
        <v>1710.1968911917097</v>
      </c>
      <c r="H28" s="44">
        <f>G28*$C$44</f>
        <v>19667264.248704661</v>
      </c>
      <c r="I28" s="42">
        <f t="shared" si="15"/>
        <v>16.932642487046632</v>
      </c>
      <c r="J28" s="45">
        <f t="shared" si="16"/>
        <v>163522005.29433519</v>
      </c>
      <c r="K28" s="36"/>
      <c r="L28" s="41" t="s">
        <v>257</v>
      </c>
      <c r="M28" s="41" t="str">
        <f>VLOOKUP(N28,'list rate unit'!O:P,2,FALSE)</f>
        <v>HM 400-3R</v>
      </c>
      <c r="N28" s="41" t="str">
        <f t="shared" si="17"/>
        <v>KOMATSU HM 400 - 22</v>
      </c>
      <c r="O28" s="15" t="s">
        <v>56</v>
      </c>
    </row>
    <row r="29" spans="2:15" x14ac:dyDescent="0.3">
      <c r="B29" s="41">
        <f t="shared" si="9"/>
        <v>22</v>
      </c>
      <c r="C29" s="41" t="s">
        <v>239</v>
      </c>
      <c r="D29" s="42">
        <v>52</v>
      </c>
      <c r="E29" s="62">
        <f>IF(O29="K",VLOOKUP(M29,Table2[[#All],[UNIT]:[Column7]],10,FALSE),0)</f>
        <v>1424304.3667884208</v>
      </c>
      <c r="F29" s="43">
        <f t="shared" si="14"/>
        <v>74063827.072997883</v>
      </c>
      <c r="G29" s="42">
        <v>1081.881081081081</v>
      </c>
      <c r="H29" s="44">
        <f>G29*$C$44</f>
        <v>12441632.432432432</v>
      </c>
      <c r="I29" s="42">
        <f t="shared" si="15"/>
        <v>20.805405405405402</v>
      </c>
      <c r="J29" s="45">
        <f t="shared" si="16"/>
        <v>86505459.505430311</v>
      </c>
      <c r="K29" s="36"/>
      <c r="L29" s="41" t="s">
        <v>257</v>
      </c>
      <c r="M29" s="41" t="str">
        <f>VLOOKUP(N29,'list rate unit'!O:P,2,FALSE)</f>
        <v>HM 400-3R</v>
      </c>
      <c r="N29" s="41" t="str">
        <f t="shared" si="17"/>
        <v>KOMATSU HM 400 - 23</v>
      </c>
      <c r="O29" s="15" t="s">
        <v>56</v>
      </c>
    </row>
    <row r="30" spans="2:15" x14ac:dyDescent="0.3">
      <c r="B30" s="41">
        <f t="shared" si="9"/>
        <v>23</v>
      </c>
      <c r="C30" s="41" t="s">
        <v>240</v>
      </c>
      <c r="D30" s="42">
        <v>19</v>
      </c>
      <c r="E30" s="62">
        <f>IF(O30="K",VLOOKUP(M30,Table2[[#All],[UNIT]:[Column7]],10,FALSE),0)</f>
        <v>1424304.3667884208</v>
      </c>
      <c r="F30" s="43">
        <f t="shared" si="14"/>
        <v>27061782.968979996</v>
      </c>
      <c r="G30" s="42">
        <v>289.8857142857143</v>
      </c>
      <c r="H30" s="44">
        <f>G30*$C$44</f>
        <v>3333685.7142857146</v>
      </c>
      <c r="I30" s="42">
        <f t="shared" si="15"/>
        <v>15.257142857142858</v>
      </c>
      <c r="J30" s="45">
        <f t="shared" si="16"/>
        <v>30395468.683265708</v>
      </c>
      <c r="K30" s="36"/>
      <c r="L30" s="41" t="s">
        <v>257</v>
      </c>
      <c r="M30" s="41" t="str">
        <f>VLOOKUP(N30,'list rate unit'!O:P,2,FALSE)</f>
        <v>HM 400-3R</v>
      </c>
      <c r="N30" s="41" t="str">
        <f t="shared" si="17"/>
        <v>KOMATSU HM 400 - 24</v>
      </c>
      <c r="O30" s="15" t="s">
        <v>56</v>
      </c>
    </row>
    <row r="31" spans="2:15" x14ac:dyDescent="0.3">
      <c r="B31" s="41">
        <f t="shared" si="9"/>
        <v>24</v>
      </c>
      <c r="C31" s="41" t="s">
        <v>241</v>
      </c>
      <c r="D31" s="42">
        <v>28</v>
      </c>
      <c r="E31" s="62">
        <f>IF(O31="K",VLOOKUP(M31,Table2[[#All],[UNIT]:[Column7]],10,FALSE),0)</f>
        <v>1424304.3667884208</v>
      </c>
      <c r="F31" s="43">
        <f t="shared" si="14"/>
        <v>39880522.270075783</v>
      </c>
      <c r="G31" s="42">
        <v>458.32402234636868</v>
      </c>
      <c r="H31" s="44">
        <f>G31*$C$44</f>
        <v>5270726.2569832401</v>
      </c>
      <c r="I31" s="42">
        <f t="shared" si="15"/>
        <v>16.368715083798882</v>
      </c>
      <c r="J31" s="45">
        <f t="shared" si="16"/>
        <v>45151248.527059026</v>
      </c>
      <c r="K31" s="36"/>
      <c r="L31" s="41" t="s">
        <v>257</v>
      </c>
      <c r="M31" s="41" t="str">
        <f>VLOOKUP(N31,'list rate unit'!O:P,2,FALSE)</f>
        <v>HM 400-3R</v>
      </c>
      <c r="N31" s="41" t="str">
        <f t="shared" si="17"/>
        <v>KOMATSU HM 400 - 25</v>
      </c>
      <c r="O31" s="15" t="s">
        <v>56</v>
      </c>
    </row>
    <row r="32" spans="2:15" x14ac:dyDescent="0.3">
      <c r="B32" s="41">
        <f t="shared" si="9"/>
        <v>25</v>
      </c>
      <c r="C32" s="41" t="s">
        <v>253</v>
      </c>
      <c r="D32" s="42">
        <v>10</v>
      </c>
      <c r="E32" s="62">
        <f>IF(O32="K",VLOOKUP(M32,Table2[[#All],[UNIT]:[Column7]],10,FALSE),0)</f>
        <v>425000</v>
      </c>
      <c r="F32" s="43">
        <f t="shared" si="14"/>
        <v>4250000</v>
      </c>
      <c r="G32" s="42">
        <v>244.25287356321837</v>
      </c>
      <c r="H32" s="44">
        <f>G32*$C$44</f>
        <v>2808908.0459770113</v>
      </c>
      <c r="I32" s="42">
        <f t="shared" si="15"/>
        <v>24.425287356321839</v>
      </c>
      <c r="J32" s="45">
        <f t="shared" si="16"/>
        <v>7058908.0459770113</v>
      </c>
      <c r="K32" s="36"/>
      <c r="L32" s="41" t="s">
        <v>257</v>
      </c>
      <c r="M32" s="41" t="str">
        <f>VLOOKUP(N32,'list rate unit'!O:P,2,FALSE)</f>
        <v>D 65 P-12</v>
      </c>
      <c r="N32" s="41" t="str">
        <f t="shared" si="17"/>
        <v>KOMATSU DOZER D65 - 10</v>
      </c>
      <c r="O32" s="15" t="s">
        <v>56</v>
      </c>
    </row>
    <row r="33" spans="2:15" x14ac:dyDescent="0.3">
      <c r="B33" s="41">
        <f t="shared" si="9"/>
        <v>26</v>
      </c>
      <c r="C33" s="41" t="s">
        <v>309</v>
      </c>
      <c r="D33" s="42">
        <v>55</v>
      </c>
      <c r="E33" s="62">
        <f>IF(O33="K",VLOOKUP(M33,Table2[[#All],[UNIT]:[Column7]],10,FALSE),0)</f>
        <v>425000</v>
      </c>
      <c r="F33" s="43">
        <f t="shared" ref="F33:F36" si="18">D33*E33</f>
        <v>23375000</v>
      </c>
      <c r="G33" s="42">
        <v>749.33333333333337</v>
      </c>
      <c r="H33" s="44">
        <f>G33*$C$44</f>
        <v>8617333.333333334</v>
      </c>
      <c r="I33" s="42">
        <f t="shared" ref="I33:I36" si="19">IFERROR(G33/D33,0)</f>
        <v>13.624242424242425</v>
      </c>
      <c r="J33" s="45">
        <f t="shared" ref="J33:J36" si="20">F33+H33</f>
        <v>31992333.333333336</v>
      </c>
      <c r="K33" s="36"/>
      <c r="L33" s="41" t="s">
        <v>257</v>
      </c>
      <c r="M33" s="41" t="str">
        <f>VLOOKUP(N33,'list rate unit'!O:P,2,FALSE)</f>
        <v>D 85 ESS-2</v>
      </c>
      <c r="N33" s="41" t="str">
        <f t="shared" ref="N33:N36" si="21">C33</f>
        <v>KOMATSU DOZER D85SS - 06</v>
      </c>
      <c r="O33" s="15" t="s">
        <v>56</v>
      </c>
    </row>
    <row r="34" spans="2:15" x14ac:dyDescent="0.3">
      <c r="B34" s="41">
        <f t="shared" si="9"/>
        <v>27</v>
      </c>
      <c r="C34" s="41" t="s">
        <v>347</v>
      </c>
      <c r="D34" s="42">
        <v>54</v>
      </c>
      <c r="E34" s="62">
        <f>IF(O34="K",VLOOKUP(M34,Table2[[#All],[UNIT]:[Column7]],10,FALSE),0)</f>
        <v>425000</v>
      </c>
      <c r="F34" s="43">
        <f t="shared" si="18"/>
        <v>22950000</v>
      </c>
      <c r="G34" s="42">
        <v>790.64150943396226</v>
      </c>
      <c r="H34" s="44">
        <f>G34*$C$44</f>
        <v>9092377.3584905658</v>
      </c>
      <c r="I34" s="42">
        <f t="shared" si="19"/>
        <v>14.641509433962264</v>
      </c>
      <c r="J34" s="45">
        <f t="shared" si="20"/>
        <v>32042377.358490564</v>
      </c>
      <c r="K34" s="36"/>
      <c r="L34" s="41" t="s">
        <v>257</v>
      </c>
      <c r="M34" s="41" t="str">
        <f>VLOOKUP(N34,'list rate unit'!O:P,2,FALSE)</f>
        <v>D 85 ESS-2</v>
      </c>
      <c r="N34" s="41" t="str">
        <f t="shared" si="21"/>
        <v>KOMATSU DOZER D85SS - 10</v>
      </c>
      <c r="O34" s="15" t="s">
        <v>56</v>
      </c>
    </row>
    <row r="35" spans="2:15" x14ac:dyDescent="0.3">
      <c r="B35" s="41">
        <f t="shared" si="9"/>
        <v>28</v>
      </c>
      <c r="C35" s="41" t="s">
        <v>224</v>
      </c>
      <c r="D35" s="42">
        <v>28</v>
      </c>
      <c r="E35" s="62">
        <f>IF(O35="K",VLOOKUP(M35,Table2[[#All],[UNIT]:[Column7]],10,FALSE),0)</f>
        <v>425000</v>
      </c>
      <c r="F35" s="43">
        <f t="shared" si="18"/>
        <v>11900000</v>
      </c>
      <c r="G35" s="42">
        <v>284.94883720930233</v>
      </c>
      <c r="H35" s="44">
        <f>G35*$C$44</f>
        <v>3276911.6279069767</v>
      </c>
      <c r="I35" s="42">
        <f t="shared" si="19"/>
        <v>10.176744186046511</v>
      </c>
      <c r="J35" s="45">
        <f t="shared" si="20"/>
        <v>15176911.627906976</v>
      </c>
      <c r="K35" s="36"/>
      <c r="L35" s="41" t="s">
        <v>257</v>
      </c>
      <c r="M35" s="41" t="str">
        <f>VLOOKUP(N35,'list rate unit'!O:P,2,FALSE)</f>
        <v>D 85 ESS-2</v>
      </c>
      <c r="N35" s="41" t="str">
        <f t="shared" si="21"/>
        <v>KOMATSU DOZER D85SS - 18</v>
      </c>
      <c r="O35" s="15" t="s">
        <v>56</v>
      </c>
    </row>
    <row r="36" spans="2:15" x14ac:dyDescent="0.3">
      <c r="B36" s="41">
        <f t="shared" si="9"/>
        <v>29</v>
      </c>
      <c r="C36" s="41" t="s">
        <v>243</v>
      </c>
      <c r="D36" s="42">
        <v>8</v>
      </c>
      <c r="E36" s="62">
        <f>IF(O36="K",VLOOKUP(M36,Table2[[#All],[UNIT]:[Column7]],10,FALSE),0)</f>
        <v>425000</v>
      </c>
      <c r="F36" s="43">
        <f t="shared" si="18"/>
        <v>3400000</v>
      </c>
      <c r="G36" s="42">
        <v>165.6740088105727</v>
      </c>
      <c r="H36" s="44">
        <f>G36*$C$44</f>
        <v>1905251.1013215862</v>
      </c>
      <c r="I36" s="42">
        <f t="shared" si="19"/>
        <v>20.709251101321588</v>
      </c>
      <c r="J36" s="45">
        <f t="shared" si="20"/>
        <v>5305251.1013215864</v>
      </c>
      <c r="K36" s="36"/>
      <c r="L36" s="41" t="s">
        <v>257</v>
      </c>
      <c r="M36" s="41" t="str">
        <f>VLOOKUP(N36,'list rate unit'!O:P,2,FALSE)</f>
        <v>D 85 ESS-2</v>
      </c>
      <c r="N36" s="41" t="str">
        <f t="shared" si="21"/>
        <v>KOMATSU DOZER D85SS - 20</v>
      </c>
      <c r="O36" s="15" t="s">
        <v>56</v>
      </c>
    </row>
    <row r="37" spans="2:15" x14ac:dyDescent="0.3">
      <c r="B37" s="41">
        <f t="shared" si="9"/>
        <v>30</v>
      </c>
      <c r="C37" s="41" t="s">
        <v>354</v>
      </c>
      <c r="D37" s="42">
        <v>8</v>
      </c>
      <c r="E37" s="62">
        <f>IF(O37="K",VLOOKUP(M37,Table2[[#All],[UNIT]:[Column7]],10,FALSE),0)</f>
        <v>350000</v>
      </c>
      <c r="F37" s="43">
        <f t="shared" si="14"/>
        <v>2800000</v>
      </c>
      <c r="G37" s="42">
        <v>103.40088105726872</v>
      </c>
      <c r="H37" s="44">
        <f>G37*$C$44</f>
        <v>1189110.1321585902</v>
      </c>
      <c r="I37" s="42">
        <f t="shared" si="15"/>
        <v>12.92511013215859</v>
      </c>
      <c r="J37" s="45">
        <f t="shared" si="16"/>
        <v>3989110.1321585905</v>
      </c>
      <c r="K37" s="36"/>
      <c r="L37" s="41" t="s">
        <v>257</v>
      </c>
      <c r="M37" s="41" t="str">
        <f>VLOOKUP(N37,'list rate unit'!O:P,2,FALSE)</f>
        <v>GD 511 A-1</v>
      </c>
      <c r="N37" s="41" t="str">
        <f t="shared" si="17"/>
        <v>GRADER GD535 - 10</v>
      </c>
      <c r="O37" s="15" t="s">
        <v>56</v>
      </c>
    </row>
    <row r="38" spans="2:15" x14ac:dyDescent="0.3">
      <c r="B38" s="41">
        <f t="shared" si="9"/>
        <v>31</v>
      </c>
      <c r="C38" s="41" t="s">
        <v>275</v>
      </c>
      <c r="D38" s="42">
        <v>149</v>
      </c>
      <c r="E38" s="62">
        <f>IF(O38="K",VLOOKUP(M38,Table2[[#All],[UNIT]:[Column7]],10,FALSE),0)</f>
        <v>220000</v>
      </c>
      <c r="F38" s="43">
        <f t="shared" si="10"/>
        <v>32780000</v>
      </c>
      <c r="G38" s="42">
        <v>915.5317919075145</v>
      </c>
      <c r="H38" s="44">
        <f>G38*$C$44</f>
        <v>10528615.606936418</v>
      </c>
      <c r="I38" s="42">
        <f t="shared" si="11"/>
        <v>6.1445086705202314</v>
      </c>
      <c r="J38" s="45">
        <f t="shared" si="12"/>
        <v>43308615.606936418</v>
      </c>
      <c r="K38" s="36"/>
      <c r="L38" s="41" t="s">
        <v>257</v>
      </c>
      <c r="M38" s="41" t="str">
        <f>VLOOKUP(N38,'list rate unit'!O:P,2,FALSE)</f>
        <v>SV 525 D</v>
      </c>
      <c r="N38" s="41" t="str">
        <f t="shared" si="13"/>
        <v>SAKAI - 02</v>
      </c>
      <c r="O38" s="15" t="s">
        <v>56</v>
      </c>
    </row>
    <row r="39" spans="2:15" x14ac:dyDescent="0.3">
      <c r="B39" s="41">
        <f t="shared" ref="B39" si="22">ROW(B39)-7</f>
        <v>32</v>
      </c>
      <c r="C39" s="41" t="s">
        <v>226</v>
      </c>
      <c r="D39" s="42">
        <v>8</v>
      </c>
      <c r="E39" s="62">
        <f>IF(O39="K",VLOOKUP(M39,Table2[[#All],[UNIT]:[Column7]],10,FALSE),0)</f>
        <v>220000</v>
      </c>
      <c r="F39" s="43">
        <f t="shared" ref="F39" si="23">D39*E39</f>
        <v>1760000</v>
      </c>
      <c r="G39" s="42">
        <v>47.81981981981982</v>
      </c>
      <c r="H39" s="44">
        <f>G39*$C$44</f>
        <v>549927.92792792793</v>
      </c>
      <c r="I39" s="42">
        <f t="shared" ref="I39" si="24">IFERROR(G39/D39,0)</f>
        <v>5.9774774774774775</v>
      </c>
      <c r="J39" s="45">
        <f t="shared" ref="J39" si="25">F39+H39</f>
        <v>2309927.927927928</v>
      </c>
      <c r="K39" s="36"/>
      <c r="L39" s="41" t="s">
        <v>257</v>
      </c>
      <c r="M39" s="41" t="str">
        <f>VLOOKUP(N39,'list rate unit'!O:P,2,FALSE)</f>
        <v>SV 525 D</v>
      </c>
      <c r="N39" s="41" t="str">
        <f t="shared" ref="N39" si="26">C39</f>
        <v>SAKAI - 07</v>
      </c>
      <c r="O39" s="15" t="s">
        <v>56</v>
      </c>
    </row>
    <row r="40" spans="2:15" x14ac:dyDescent="0.3">
      <c r="D40" s="18"/>
      <c r="F40" s="32"/>
      <c r="G40" s="18"/>
      <c r="H40" s="30"/>
      <c r="I40" s="18"/>
      <c r="J40" s="33"/>
      <c r="K40" s="18"/>
    </row>
    <row r="41" spans="2:15" s="1" customFormat="1" ht="15.75" customHeight="1" x14ac:dyDescent="0.3">
      <c r="B41" s="246" t="s">
        <v>21</v>
      </c>
      <c r="C41" s="246"/>
      <c r="D41" s="46">
        <f>SUM(D8:D40)</f>
        <v>1058</v>
      </c>
      <c r="E41" s="63">
        <f>AVERAGE(E8:E40)</f>
        <v>919673.92193207226</v>
      </c>
      <c r="F41" s="47">
        <f>SUM(F8:F40)</f>
        <v>978003313.52559566</v>
      </c>
      <c r="G41" s="46">
        <f>SUM(G8:G40)</f>
        <v>18123.370380526558</v>
      </c>
      <c r="H41" s="47">
        <f>SUM(H8:H40)</f>
        <v>208418759.37605542</v>
      </c>
      <c r="I41" s="46">
        <f t="shared" ref="I41" si="27">IFERROR(G41/D41,0)</f>
        <v>17.129839679136634</v>
      </c>
      <c r="J41" s="48">
        <f>SUM(J8:J40)</f>
        <v>1186422072.9016509</v>
      </c>
      <c r="K41" s="37"/>
    </row>
    <row r="43" spans="2:15" x14ac:dyDescent="0.3">
      <c r="B43" s="35" t="s">
        <v>34</v>
      </c>
      <c r="C43" s="29">
        <f>'SUMMARY 2'!I28</f>
        <v>14848</v>
      </c>
    </row>
    <row r="44" spans="2:15" x14ac:dyDescent="0.3">
      <c r="B44" s="35" t="s">
        <v>35</v>
      </c>
      <c r="C44" s="29">
        <f>'SUMMARY 2'!I13</f>
        <v>11500</v>
      </c>
      <c r="F44" s="30"/>
      <c r="G44" s="18"/>
    </row>
    <row r="46" spans="2:15" x14ac:dyDescent="0.3">
      <c r="F46" s="18"/>
    </row>
  </sheetData>
  <autoFilter ref="B7:O39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41:C41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28" sqref="H2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50" t="s">
        <v>288</v>
      </c>
      <c r="C2" s="25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50"/>
      <c r="C3" s="25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7" t="s">
        <v>1</v>
      </c>
      <c r="C5" s="247" t="s">
        <v>88</v>
      </c>
      <c r="D5" s="248" t="s">
        <v>36</v>
      </c>
      <c r="E5" s="248"/>
      <c r="F5" s="248"/>
      <c r="G5" s="249" t="s">
        <v>37</v>
      </c>
      <c r="H5" s="249"/>
      <c r="I5" s="247" t="s">
        <v>54</v>
      </c>
      <c r="J5" s="251" t="s">
        <v>82</v>
      </c>
      <c r="K5" s="31"/>
      <c r="L5" s="247" t="s">
        <v>47</v>
      </c>
      <c r="M5" s="247" t="s">
        <v>89</v>
      </c>
      <c r="N5" s="247"/>
    </row>
    <row r="6" spans="2:15" ht="15" customHeight="1" x14ac:dyDescent="0.3">
      <c r="B6" s="247"/>
      <c r="C6" s="247"/>
      <c r="D6" s="39" t="s">
        <v>26</v>
      </c>
      <c r="E6" s="40" t="s">
        <v>31</v>
      </c>
      <c r="F6" s="247" t="s">
        <v>28</v>
      </c>
      <c r="G6" s="39" t="s">
        <v>27</v>
      </c>
      <c r="H6" s="247" t="s">
        <v>28</v>
      </c>
      <c r="I6" s="247"/>
      <c r="J6" s="251"/>
      <c r="K6" s="31"/>
      <c r="L6" s="247"/>
      <c r="M6" s="247"/>
      <c r="N6" s="247"/>
    </row>
    <row r="7" spans="2:15" ht="15" customHeight="1" x14ac:dyDescent="0.3">
      <c r="B7" s="247"/>
      <c r="C7" s="247"/>
      <c r="D7" s="39" t="s">
        <v>29</v>
      </c>
      <c r="E7" s="40" t="s">
        <v>30</v>
      </c>
      <c r="F7" s="247"/>
      <c r="G7" s="39" t="s">
        <v>32</v>
      </c>
      <c r="H7" s="247"/>
      <c r="I7" s="39" t="s">
        <v>33</v>
      </c>
      <c r="J7" s="251"/>
      <c r="K7" s="31"/>
      <c r="L7" s="247"/>
      <c r="M7" s="247"/>
      <c r="N7" s="247"/>
    </row>
    <row r="8" spans="2:15" x14ac:dyDescent="0.3">
      <c r="B8" s="41">
        <f>ROW(B8)-7</f>
        <v>1</v>
      </c>
      <c r="C8" s="41" t="s">
        <v>265</v>
      </c>
      <c r="D8" s="42"/>
      <c r="E8" s="62">
        <f>IF(O8="K",VLOOKUP(M8,Table2[[#All],[UNIT]:[Column7]],10,FALSE),0)</f>
        <v>275000</v>
      </c>
      <c r="F8" s="43">
        <f>D8*E8</f>
        <v>0</v>
      </c>
      <c r="G8" s="42"/>
      <c r="H8" s="44">
        <f>G8*$C$14</f>
        <v>0</v>
      </c>
      <c r="I8" s="42">
        <f t="shared" ref="I8" si="0">IFERROR(G8/D8,0)</f>
        <v>0</v>
      </c>
      <c r="J8" s="45">
        <f>F8+H8</f>
        <v>0</v>
      </c>
      <c r="K8" s="36"/>
      <c r="L8" s="41" t="s">
        <v>257</v>
      </c>
      <c r="M8" s="41" t="str">
        <f>VLOOKUP(N8,'list rate unit'!O:P,2,FALSE)</f>
        <v>PC 200-8 MO</v>
      </c>
      <c r="N8" s="41" t="str">
        <f>C8</f>
        <v>KOMATSU PC 200 - 14</v>
      </c>
      <c r="O8" s="15" t="s">
        <v>56</v>
      </c>
    </row>
    <row r="9" spans="2:15" x14ac:dyDescent="0.3">
      <c r="B9" s="41">
        <f>ROW(B9)-7</f>
        <v>2</v>
      </c>
      <c r="C9" s="41" t="s">
        <v>255</v>
      </c>
      <c r="D9" s="42"/>
      <c r="E9" s="62">
        <f>IF(O9="K",VLOOKUP(M9,Table2[[#All],[UNIT]:[Column7]],10,FALSE),0)</f>
        <v>425000</v>
      </c>
      <c r="F9" s="43">
        <f>D9*E9</f>
        <v>0</v>
      </c>
      <c r="G9" s="42"/>
      <c r="H9" s="44">
        <f>G9*$C$14</f>
        <v>0</v>
      </c>
      <c r="I9" s="42">
        <f t="shared" ref="I9" si="1">IFERROR(G9/D9,0)</f>
        <v>0</v>
      </c>
      <c r="J9" s="45">
        <f>F9+H9</f>
        <v>0</v>
      </c>
      <c r="K9" s="36"/>
      <c r="L9" s="41" t="s">
        <v>257</v>
      </c>
      <c r="M9" s="41" t="str">
        <f>VLOOKUP(N9,'list rate unit'!O:P,2,FALSE)</f>
        <v>D 85 ESS-2</v>
      </c>
      <c r="N9" s="41" t="str">
        <f>C9</f>
        <v>KOMATSU DOZER D85SS - 17</v>
      </c>
      <c r="O9" s="15" t="s">
        <v>56</v>
      </c>
    </row>
    <row r="10" spans="2:15" x14ac:dyDescent="0.3">
      <c r="D10" s="18"/>
      <c r="F10" s="32"/>
      <c r="G10" s="18"/>
      <c r="H10" s="30"/>
      <c r="I10" s="18"/>
      <c r="J10" s="33"/>
      <c r="K10" s="18"/>
    </row>
    <row r="11" spans="2:15" s="1" customFormat="1" ht="15.75" customHeight="1" x14ac:dyDescent="0.3">
      <c r="B11" s="246" t="s">
        <v>21</v>
      </c>
      <c r="C11" s="246"/>
      <c r="D11" s="46">
        <f>SUM(D8:D9)</f>
        <v>0</v>
      </c>
      <c r="E11" s="63">
        <f>AVERAGE(E8:E9)</f>
        <v>350000</v>
      </c>
      <c r="F11" s="47">
        <f>SUM(F8:F9)</f>
        <v>0</v>
      </c>
      <c r="G11" s="46">
        <f>SUM(G8:G9)</f>
        <v>0</v>
      </c>
      <c r="H11" s="47">
        <f>SUM(H8:H9)</f>
        <v>0</v>
      </c>
      <c r="I11" s="46">
        <f t="shared" ref="I11" si="2">IFERROR(G11/D11,0)</f>
        <v>0</v>
      </c>
      <c r="J11" s="48">
        <f>SUM(J8:J9)</f>
        <v>0</v>
      </c>
      <c r="K11" s="37"/>
    </row>
    <row r="13" spans="2:15" x14ac:dyDescent="0.3">
      <c r="B13" s="35" t="s">
        <v>34</v>
      </c>
      <c r="C13" s="29">
        <f>'SUMMARY 2'!I28</f>
        <v>14848</v>
      </c>
    </row>
    <row r="14" spans="2:15" x14ac:dyDescent="0.3">
      <c r="B14" s="35" t="s">
        <v>35</v>
      </c>
      <c r="C14" s="29">
        <f>'SUMMARY 2'!I13</f>
        <v>11500</v>
      </c>
      <c r="F14" s="30"/>
      <c r="G14" s="18"/>
    </row>
    <row r="16" spans="2:15" x14ac:dyDescent="0.3">
      <c r="F16" s="18"/>
    </row>
  </sheetData>
  <autoFilter ref="B7:O9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11:C11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34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23" sqref="H23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50" t="s">
        <v>170</v>
      </c>
      <c r="C2" s="25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50"/>
      <c r="C3" s="25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47" t="s">
        <v>1</v>
      </c>
      <c r="C5" s="247" t="s">
        <v>88</v>
      </c>
      <c r="D5" s="248" t="s">
        <v>36</v>
      </c>
      <c r="E5" s="248"/>
      <c r="F5" s="248"/>
      <c r="G5" s="249" t="s">
        <v>37</v>
      </c>
      <c r="H5" s="249"/>
      <c r="I5" s="247" t="s">
        <v>54</v>
      </c>
      <c r="J5" s="251" t="s">
        <v>82</v>
      </c>
      <c r="K5" s="31"/>
      <c r="L5" s="247" t="s">
        <v>47</v>
      </c>
      <c r="M5" s="247" t="s">
        <v>89</v>
      </c>
      <c r="N5" s="247"/>
    </row>
    <row r="6" spans="2:15" ht="15" customHeight="1" x14ac:dyDescent="0.3">
      <c r="B6" s="247"/>
      <c r="C6" s="247"/>
      <c r="D6" s="39" t="s">
        <v>26</v>
      </c>
      <c r="E6" s="40" t="s">
        <v>31</v>
      </c>
      <c r="F6" s="247" t="s">
        <v>28</v>
      </c>
      <c r="G6" s="39" t="s">
        <v>27</v>
      </c>
      <c r="H6" s="247" t="s">
        <v>28</v>
      </c>
      <c r="I6" s="247"/>
      <c r="J6" s="251"/>
      <c r="K6" s="31"/>
      <c r="L6" s="247"/>
      <c r="M6" s="247"/>
      <c r="N6" s="247"/>
    </row>
    <row r="7" spans="2:15" ht="15" customHeight="1" x14ac:dyDescent="0.3">
      <c r="B7" s="247"/>
      <c r="C7" s="247"/>
      <c r="D7" s="39" t="s">
        <v>29</v>
      </c>
      <c r="E7" s="40" t="s">
        <v>30</v>
      </c>
      <c r="F7" s="247"/>
      <c r="G7" s="39" t="s">
        <v>32</v>
      </c>
      <c r="H7" s="247"/>
      <c r="I7" s="39" t="s">
        <v>33</v>
      </c>
      <c r="J7" s="251"/>
      <c r="K7" s="31"/>
      <c r="L7" s="247"/>
      <c r="M7" s="247"/>
      <c r="N7" s="247"/>
    </row>
    <row r="8" spans="2:15" x14ac:dyDescent="0.3">
      <c r="B8" s="41">
        <f t="shared" ref="B8:B17" si="0">ROW(B8)-7</f>
        <v>1</v>
      </c>
      <c r="C8" s="41" t="s">
        <v>190</v>
      </c>
      <c r="D8" s="42">
        <v>14</v>
      </c>
      <c r="E8" s="62">
        <f>IF(O8="K",VLOOKUP(M8,Table2[[#All],[UNIT]:[Column7]],10,FALSE),0)</f>
        <v>400000</v>
      </c>
      <c r="F8" s="43">
        <f>D8*E8</f>
        <v>5600000</v>
      </c>
      <c r="G8" s="42">
        <v>306.93939393939394</v>
      </c>
      <c r="H8" s="44">
        <f>G8*$C$32</f>
        <v>3529803.0303030303</v>
      </c>
      <c r="I8" s="42">
        <f t="shared" ref="I8:I27" si="1">IFERROR(G8/D8,0)</f>
        <v>21.924242424242426</v>
      </c>
      <c r="J8" s="45">
        <f>F8+H8</f>
        <v>9129803.0303030312</v>
      </c>
      <c r="K8" s="36"/>
      <c r="L8" s="41" t="s">
        <v>257</v>
      </c>
      <c r="M8" s="41" t="str">
        <f>VLOOKUP(N8,'list rate unit'!O:P,2,FALSE)</f>
        <v>PC 300 SE-8</v>
      </c>
      <c r="N8" s="41" t="str">
        <f>C8</f>
        <v>KOMATSU PC 300 - 10</v>
      </c>
      <c r="O8" s="15" t="s">
        <v>56</v>
      </c>
    </row>
    <row r="9" spans="2:15" x14ac:dyDescent="0.3">
      <c r="B9" s="41">
        <f t="shared" si="0"/>
        <v>2</v>
      </c>
      <c r="C9" s="41" t="s">
        <v>294</v>
      </c>
      <c r="D9" s="42">
        <v>14</v>
      </c>
      <c r="E9" s="62">
        <f>IF(O9="K",VLOOKUP(M9,Table2[[#All],[UNIT]:[Column7]],10,FALSE),0)</f>
        <v>400000</v>
      </c>
      <c r="F9" s="43">
        <f t="shared" ref="F9:F27" si="2">D9*E9</f>
        <v>5600000</v>
      </c>
      <c r="G9" s="42">
        <v>272.36363636363637</v>
      </c>
      <c r="H9" s="44">
        <f>G9*$C$32</f>
        <v>3132181.8181818184</v>
      </c>
      <c r="I9" s="42">
        <f t="shared" si="1"/>
        <v>19.454545454545457</v>
      </c>
      <c r="J9" s="45">
        <f t="shared" ref="J9:J27" si="3">F9+H9</f>
        <v>8732181.8181818184</v>
      </c>
      <c r="K9" s="36"/>
      <c r="L9" s="41" t="s">
        <v>257</v>
      </c>
      <c r="M9" s="41" t="str">
        <f>VLOOKUP(N9,'list rate unit'!O:P,2,FALSE)</f>
        <v>PC 300 SE-8</v>
      </c>
      <c r="N9" s="41" t="str">
        <f t="shared" ref="N9:N27" si="4">C9</f>
        <v>KOMATSU PC 300 - 11</v>
      </c>
      <c r="O9" s="15" t="s">
        <v>56</v>
      </c>
    </row>
    <row r="10" spans="2:15" x14ac:dyDescent="0.3">
      <c r="B10" s="41">
        <f t="shared" si="0"/>
        <v>3</v>
      </c>
      <c r="C10" s="41" t="s">
        <v>247</v>
      </c>
      <c r="D10" s="42">
        <v>130</v>
      </c>
      <c r="E10" s="62">
        <f>IF(O10="K",VLOOKUP(M10,Table2[[#All],[UNIT]:[Column7]],10,FALSE),0)</f>
        <v>400000</v>
      </c>
      <c r="F10" s="43">
        <f t="shared" si="2"/>
        <v>52000000</v>
      </c>
      <c r="G10" s="42">
        <v>3397.6995305164319</v>
      </c>
      <c r="H10" s="44">
        <f>G10*$C$32</f>
        <v>39073544.600938968</v>
      </c>
      <c r="I10" s="42">
        <f t="shared" si="1"/>
        <v>26.136150234741784</v>
      </c>
      <c r="J10" s="45">
        <f t="shared" si="3"/>
        <v>91073544.600938976</v>
      </c>
      <c r="K10" s="36"/>
      <c r="L10" s="41" t="s">
        <v>257</v>
      </c>
      <c r="M10" s="41" t="str">
        <f>VLOOKUP(N10,'list rate unit'!O:P,2,FALSE)</f>
        <v>PC 300 SE-8</v>
      </c>
      <c r="N10" s="41" t="str">
        <f t="shared" si="4"/>
        <v>KOMATSU PC 300 - 14</v>
      </c>
      <c r="O10" s="15" t="s">
        <v>56</v>
      </c>
    </row>
    <row r="11" spans="2:15" x14ac:dyDescent="0.3">
      <c r="B11" s="41">
        <f t="shared" si="0"/>
        <v>4</v>
      </c>
      <c r="C11" s="41" t="s">
        <v>261</v>
      </c>
      <c r="D11" s="42">
        <v>173</v>
      </c>
      <c r="E11" s="62">
        <f>IF(O11="K",VLOOKUP(M11,Table2[[#All],[UNIT]:[Column7]],10,FALSE),0)</f>
        <v>400000</v>
      </c>
      <c r="F11" s="43">
        <f t="shared" si="2"/>
        <v>69200000</v>
      </c>
      <c r="G11" s="42">
        <v>3990.7420814479638</v>
      </c>
      <c r="H11" s="44">
        <f>G11*$C$32</f>
        <v>45893533.93665158</v>
      </c>
      <c r="I11" s="42">
        <f t="shared" si="1"/>
        <v>23.067873303167421</v>
      </c>
      <c r="J11" s="45">
        <f t="shared" si="3"/>
        <v>115093533.93665159</v>
      </c>
      <c r="K11" s="36"/>
      <c r="L11" s="41" t="s">
        <v>257</v>
      </c>
      <c r="M11" s="41" t="str">
        <f>VLOOKUP(N11,'list rate unit'!O:P,2,FALSE)</f>
        <v>PC 300 SE-8</v>
      </c>
      <c r="N11" s="41" t="str">
        <f t="shared" si="4"/>
        <v>KOMATSU PC 300 - 15</v>
      </c>
      <c r="O11" s="15" t="s">
        <v>56</v>
      </c>
    </row>
    <row r="12" spans="2:15" x14ac:dyDescent="0.3">
      <c r="B12" s="41">
        <f t="shared" si="0"/>
        <v>5</v>
      </c>
      <c r="C12" s="41" t="s">
        <v>191</v>
      </c>
      <c r="D12" s="42">
        <v>176</v>
      </c>
      <c r="E12" s="62">
        <f>IF(O12="K",VLOOKUP(M12,Table2[[#All],[UNIT]:[Column7]],10,FALSE),0)</f>
        <v>400000</v>
      </c>
      <c r="F12" s="43">
        <f t="shared" si="2"/>
        <v>70400000</v>
      </c>
      <c r="G12" s="42">
        <v>3022.5684210526315</v>
      </c>
      <c r="H12" s="44">
        <f>G12*$C$32</f>
        <v>34759536.842105262</v>
      </c>
      <c r="I12" s="42">
        <f t="shared" si="1"/>
        <v>17.173684210526314</v>
      </c>
      <c r="J12" s="45">
        <f t="shared" si="3"/>
        <v>105159536.84210527</v>
      </c>
      <c r="K12" s="36"/>
      <c r="L12" s="41" t="s">
        <v>257</v>
      </c>
      <c r="M12" s="41" t="str">
        <f>VLOOKUP(N12,'list rate unit'!O:P,2,FALSE)</f>
        <v>SK 330-8</v>
      </c>
      <c r="N12" s="41" t="str">
        <f t="shared" si="4"/>
        <v>KOBELCO SK 330 - 10</v>
      </c>
      <c r="O12" s="15" t="s">
        <v>56</v>
      </c>
    </row>
    <row r="13" spans="2:15" x14ac:dyDescent="0.3">
      <c r="B13" s="41">
        <f t="shared" si="0"/>
        <v>6</v>
      </c>
      <c r="C13" s="41" t="s">
        <v>192</v>
      </c>
      <c r="D13" s="42">
        <v>257</v>
      </c>
      <c r="E13" s="62">
        <f>IF(O13="K",VLOOKUP(M13,Table2[[#All],[UNIT]:[Column7]],10,FALSE),0)</f>
        <v>400000</v>
      </c>
      <c r="F13" s="43">
        <f t="shared" si="2"/>
        <v>102800000</v>
      </c>
      <c r="G13" s="42">
        <v>3523.3566176470586</v>
      </c>
      <c r="H13" s="44">
        <f>G13*$C$32</f>
        <v>40518601.10294117</v>
      </c>
      <c r="I13" s="42">
        <f t="shared" si="1"/>
        <v>13.709558823529411</v>
      </c>
      <c r="J13" s="45">
        <f t="shared" si="3"/>
        <v>143318601.10294116</v>
      </c>
      <c r="K13" s="36"/>
      <c r="L13" s="41" t="s">
        <v>257</v>
      </c>
      <c r="M13" s="41" t="str">
        <f>VLOOKUP(N13,'list rate unit'!O:P,2,FALSE)</f>
        <v>SK 330-8</v>
      </c>
      <c r="N13" s="41" t="str">
        <f t="shared" si="4"/>
        <v>KOBELCO SK 330 - 11</v>
      </c>
      <c r="O13" s="15" t="s">
        <v>56</v>
      </c>
    </row>
    <row r="14" spans="2:15" x14ac:dyDescent="0.3">
      <c r="B14" s="41">
        <f t="shared" si="0"/>
        <v>7</v>
      </c>
      <c r="C14" s="41" t="s">
        <v>330</v>
      </c>
      <c r="D14" s="42">
        <v>196</v>
      </c>
      <c r="E14" s="62">
        <f>IF(O14="K",VLOOKUP(M14,Table2[[#All],[UNIT]:[Column7]],10,FALSE),0)</f>
        <v>400000</v>
      </c>
      <c r="F14" s="43">
        <f t="shared" si="2"/>
        <v>78400000</v>
      </c>
      <c r="G14" s="42">
        <v>3482.0900900900906</v>
      </c>
      <c r="H14" s="44">
        <f>G14*$C$32</f>
        <v>40044036.036036044</v>
      </c>
      <c r="I14" s="42">
        <f t="shared" si="1"/>
        <v>17.765765765765767</v>
      </c>
      <c r="J14" s="45">
        <f t="shared" si="3"/>
        <v>118444036.03603604</v>
      </c>
      <c r="K14" s="36"/>
      <c r="L14" s="41" t="s">
        <v>257</v>
      </c>
      <c r="M14" s="41" t="str">
        <f>VLOOKUP(N14,'list rate unit'!O:P,2,FALSE)</f>
        <v>SK 330-8</v>
      </c>
      <c r="N14" s="41" t="str">
        <f t="shared" si="4"/>
        <v>KOBELCO SK 330 - 12</v>
      </c>
      <c r="O14" s="15" t="s">
        <v>56</v>
      </c>
    </row>
    <row r="15" spans="2:15" x14ac:dyDescent="0.3">
      <c r="B15" s="41">
        <f t="shared" si="0"/>
        <v>8</v>
      </c>
      <c r="C15" s="41" t="s">
        <v>264</v>
      </c>
      <c r="D15" s="42">
        <v>211</v>
      </c>
      <c r="E15" s="62">
        <f>IF(O15="K",VLOOKUP(M15,Table2[[#All],[UNIT]:[Column7]],10,FALSE),0)</f>
        <v>275000</v>
      </c>
      <c r="F15" s="43">
        <f t="shared" si="2"/>
        <v>58025000</v>
      </c>
      <c r="G15" s="42">
        <v>3113.7018348623851</v>
      </c>
      <c r="H15" s="44">
        <f>G15*$C$32</f>
        <v>35807571.100917429</v>
      </c>
      <c r="I15" s="42">
        <f t="shared" si="1"/>
        <v>14.756880733944953</v>
      </c>
      <c r="J15" s="45">
        <f t="shared" si="3"/>
        <v>93832571.100917429</v>
      </c>
      <c r="K15" s="36"/>
      <c r="L15" s="41" t="s">
        <v>257</v>
      </c>
      <c r="M15" s="41" t="str">
        <f>VLOOKUP(N15,'list rate unit'!O:P,2,FALSE)</f>
        <v>PC 200-8 MO</v>
      </c>
      <c r="N15" s="41" t="str">
        <f t="shared" si="4"/>
        <v>KOMATSU PC 200 - 12</v>
      </c>
      <c r="O15" s="15" t="s">
        <v>56</v>
      </c>
    </row>
    <row r="16" spans="2:15" x14ac:dyDescent="0.3">
      <c r="B16" s="41">
        <f t="shared" si="0"/>
        <v>9</v>
      </c>
      <c r="C16" s="41" t="s">
        <v>267</v>
      </c>
      <c r="D16" s="42">
        <v>245</v>
      </c>
      <c r="E16" s="62">
        <f>IF(O16="K",VLOOKUP(M16,Table2[[#All],[UNIT]:[Column7]],10,FALSE),0)</f>
        <v>275000</v>
      </c>
      <c r="F16" s="43">
        <f t="shared" si="2"/>
        <v>67375000</v>
      </c>
      <c r="G16" s="42">
        <v>3251</v>
      </c>
      <c r="H16" s="44">
        <f>G16*$C$32</f>
        <v>37386500</v>
      </c>
      <c r="I16" s="42">
        <f t="shared" si="1"/>
        <v>13.269387755102041</v>
      </c>
      <c r="J16" s="45">
        <f t="shared" si="3"/>
        <v>104761500</v>
      </c>
      <c r="K16" s="36"/>
      <c r="L16" s="41" t="s">
        <v>257</v>
      </c>
      <c r="M16" s="41" t="str">
        <f>VLOOKUP(N16,'list rate unit'!O:P,2,FALSE)</f>
        <v>PC 200-8 MO</v>
      </c>
      <c r="N16" s="41" t="str">
        <f t="shared" si="4"/>
        <v>KOMATSU PC 200 - 16</v>
      </c>
      <c r="O16" s="15" t="s">
        <v>56</v>
      </c>
    </row>
    <row r="17" spans="2:15" x14ac:dyDescent="0.3">
      <c r="B17" s="41">
        <f t="shared" si="0"/>
        <v>10</v>
      </c>
      <c r="C17" s="41" t="s">
        <v>348</v>
      </c>
      <c r="D17" s="42">
        <v>264</v>
      </c>
      <c r="E17" s="62">
        <f>IF(O17="K",VLOOKUP(M17,Table2[[#All],[UNIT]:[Column7]],10,FALSE),0)</f>
        <v>275000</v>
      </c>
      <c r="F17" s="43">
        <f t="shared" si="2"/>
        <v>72600000</v>
      </c>
      <c r="G17" s="42">
        <v>3619.6285714285714</v>
      </c>
      <c r="H17" s="44">
        <f>G17*$C$32</f>
        <v>41625728.571428567</v>
      </c>
      <c r="I17" s="42">
        <f t="shared" si="1"/>
        <v>13.710714285714285</v>
      </c>
      <c r="J17" s="45">
        <f t="shared" si="3"/>
        <v>114225728.57142857</v>
      </c>
      <c r="K17" s="36"/>
      <c r="L17" s="41" t="s">
        <v>257</v>
      </c>
      <c r="M17" s="41" t="str">
        <f>VLOOKUP(N17,'list rate unit'!O:P,2,FALSE)</f>
        <v>PC 200-8 MO</v>
      </c>
      <c r="N17" s="41" t="str">
        <f t="shared" si="4"/>
        <v>KOMATSU PC 200 - 20</v>
      </c>
      <c r="O17" s="15" t="s">
        <v>56</v>
      </c>
    </row>
    <row r="18" spans="2:15" x14ac:dyDescent="0.3">
      <c r="B18" s="41">
        <f t="shared" ref="B18:B25" si="5">ROW(B18)-7</f>
        <v>11</v>
      </c>
      <c r="C18" s="41" t="s">
        <v>193</v>
      </c>
      <c r="D18" s="42">
        <v>221</v>
      </c>
      <c r="E18" s="62">
        <f>IF(O18="K",VLOOKUP(M18,Table2[[#All],[UNIT]:[Column7]],10,FALSE),0)</f>
        <v>275000</v>
      </c>
      <c r="F18" s="43">
        <f t="shared" ref="F18:F25" si="6">D18*E18</f>
        <v>60775000</v>
      </c>
      <c r="G18" s="42">
        <v>3365.645833333333</v>
      </c>
      <c r="H18" s="44">
        <f>G18*$C$32</f>
        <v>38704927.083333328</v>
      </c>
      <c r="I18" s="42">
        <f t="shared" ref="I18:I25" si="7">IFERROR(G18/D18,0)</f>
        <v>15.229166666666666</v>
      </c>
      <c r="J18" s="45">
        <f t="shared" ref="J18:J25" si="8">F18+H18</f>
        <v>99479927.083333328</v>
      </c>
      <c r="K18" s="36"/>
      <c r="L18" s="41" t="s">
        <v>257</v>
      </c>
      <c r="M18" s="41" t="str">
        <f>VLOOKUP(N18,'list rate unit'!O:P,2,FALSE)</f>
        <v>PC 200-8 MO</v>
      </c>
      <c r="N18" s="41" t="str">
        <f t="shared" ref="N18:N25" si="9">C18</f>
        <v>KOMATSU PC 200 - 22</v>
      </c>
      <c r="O18" s="15" t="s">
        <v>56</v>
      </c>
    </row>
    <row r="19" spans="2:15" x14ac:dyDescent="0.3">
      <c r="B19" s="41">
        <f t="shared" si="5"/>
        <v>12</v>
      </c>
      <c r="C19" s="41" t="s">
        <v>197</v>
      </c>
      <c r="D19" s="42">
        <v>165</v>
      </c>
      <c r="E19" s="62">
        <f>IF(O19="K",VLOOKUP(M19,Table2[[#All],[UNIT]:[Column7]],10,FALSE),0)</f>
        <v>275000</v>
      </c>
      <c r="F19" s="43">
        <f t="shared" si="6"/>
        <v>45375000</v>
      </c>
      <c r="G19" s="42">
        <v>2314.1878172588836</v>
      </c>
      <c r="H19" s="44">
        <f>G19*$C$32</f>
        <v>26613159.898477159</v>
      </c>
      <c r="I19" s="42">
        <f t="shared" si="7"/>
        <v>14.025380710659901</v>
      </c>
      <c r="J19" s="45">
        <f t="shared" si="8"/>
        <v>71988159.898477167</v>
      </c>
      <c r="K19" s="36"/>
      <c r="L19" s="41" t="s">
        <v>257</v>
      </c>
      <c r="M19" s="41" t="str">
        <f>VLOOKUP(N19,'list rate unit'!O:P,2,FALSE)</f>
        <v>SK 200-8 SX</v>
      </c>
      <c r="N19" s="41" t="str">
        <f t="shared" si="9"/>
        <v>KOBELCO SK 200 - 10</v>
      </c>
      <c r="O19" s="15" t="s">
        <v>56</v>
      </c>
    </row>
    <row r="20" spans="2:15" x14ac:dyDescent="0.3">
      <c r="B20" s="41">
        <f t="shared" si="5"/>
        <v>13</v>
      </c>
      <c r="C20" s="41" t="s">
        <v>198</v>
      </c>
      <c r="D20" s="42">
        <v>186</v>
      </c>
      <c r="E20" s="62">
        <f>IF(O20="K",VLOOKUP(M20,Table2[[#All],[UNIT]:[Column7]],10,FALSE),0)</f>
        <v>275000</v>
      </c>
      <c r="F20" s="43">
        <f t="shared" si="6"/>
        <v>51150000</v>
      </c>
      <c r="G20" s="42">
        <v>1827.6521739130433</v>
      </c>
      <c r="H20" s="44">
        <f>G20*$C$32</f>
        <v>21017999.999999996</v>
      </c>
      <c r="I20" s="42">
        <f t="shared" si="7"/>
        <v>9.8260869565217384</v>
      </c>
      <c r="J20" s="45">
        <f t="shared" si="8"/>
        <v>72168000</v>
      </c>
      <c r="K20" s="36"/>
      <c r="L20" s="41" t="s">
        <v>257</v>
      </c>
      <c r="M20" s="41" t="str">
        <f>VLOOKUP(N20,'list rate unit'!O:P,2,FALSE)</f>
        <v>SK 200-8 SX</v>
      </c>
      <c r="N20" s="41" t="str">
        <f t="shared" si="9"/>
        <v>KOBELCO SK 200 - 11</v>
      </c>
      <c r="O20" s="15" t="s">
        <v>56</v>
      </c>
    </row>
    <row r="21" spans="2:15" x14ac:dyDescent="0.3">
      <c r="B21" s="41">
        <f t="shared" si="5"/>
        <v>14</v>
      </c>
      <c r="C21" s="41" t="s">
        <v>199</v>
      </c>
      <c r="D21" s="42">
        <v>146</v>
      </c>
      <c r="E21" s="62">
        <f>IF(O21="K",VLOOKUP(M21,Table2[[#All],[UNIT]:[Column7]],10,FALSE),0)</f>
        <v>275000</v>
      </c>
      <c r="F21" s="43">
        <f t="shared" si="6"/>
        <v>40150000</v>
      </c>
      <c r="G21" s="42">
        <v>1709.9176470588234</v>
      </c>
      <c r="H21" s="44">
        <f>G21*$C$32</f>
        <v>19664052.94117647</v>
      </c>
      <c r="I21" s="42">
        <f t="shared" si="7"/>
        <v>11.711764705882352</v>
      </c>
      <c r="J21" s="45">
        <f t="shared" si="8"/>
        <v>59814052.941176474</v>
      </c>
      <c r="K21" s="36"/>
      <c r="L21" s="41" t="s">
        <v>257</v>
      </c>
      <c r="M21" s="41" t="str">
        <f>VLOOKUP(N21,'list rate unit'!O:P,2,FALSE)</f>
        <v>SK 200-8 SX</v>
      </c>
      <c r="N21" s="41" t="str">
        <f t="shared" si="9"/>
        <v>KOBELCO SK 200 - 13</v>
      </c>
      <c r="O21" s="15" t="s">
        <v>56</v>
      </c>
    </row>
    <row r="22" spans="2:15" x14ac:dyDescent="0.3">
      <c r="B22" s="41">
        <f t="shared" si="5"/>
        <v>15</v>
      </c>
      <c r="C22" s="41" t="s">
        <v>200</v>
      </c>
      <c r="D22" s="42">
        <v>266</v>
      </c>
      <c r="E22" s="62">
        <f>IF(O22="K",VLOOKUP(M22,Table2[[#All],[UNIT]:[Column7]],10,FALSE),0)</f>
        <v>275000</v>
      </c>
      <c r="F22" s="43">
        <f t="shared" si="6"/>
        <v>73150000</v>
      </c>
      <c r="G22" s="42">
        <v>2652</v>
      </c>
      <c r="H22" s="44">
        <f>G22*$C$32</f>
        <v>30498000</v>
      </c>
      <c r="I22" s="42">
        <f t="shared" si="7"/>
        <v>9.9699248120300759</v>
      </c>
      <c r="J22" s="45">
        <f t="shared" si="8"/>
        <v>103648000</v>
      </c>
      <c r="K22" s="36"/>
      <c r="L22" s="41" t="s">
        <v>257</v>
      </c>
      <c r="M22" s="41" t="str">
        <f>VLOOKUP(N22,'list rate unit'!O:P,2,FALSE)</f>
        <v>SK 200-8 SX</v>
      </c>
      <c r="N22" s="41" t="str">
        <f t="shared" si="9"/>
        <v>KOBELCO SK 200 - 15</v>
      </c>
      <c r="O22" s="15" t="s">
        <v>56</v>
      </c>
    </row>
    <row r="23" spans="2:15" x14ac:dyDescent="0.3">
      <c r="B23" s="41">
        <f t="shared" si="5"/>
        <v>16</v>
      </c>
      <c r="C23" s="41" t="s">
        <v>202</v>
      </c>
      <c r="D23" s="42">
        <v>76</v>
      </c>
      <c r="E23" s="62">
        <f>IF(O23="K",VLOOKUP(M23,Table2[[#All],[UNIT]:[Column7]],10,FALSE),0)</f>
        <v>275000</v>
      </c>
      <c r="F23" s="43">
        <f t="shared" si="6"/>
        <v>20900000</v>
      </c>
      <c r="G23" s="42">
        <v>866</v>
      </c>
      <c r="H23" s="44">
        <f>G23*$C$32</f>
        <v>9959000</v>
      </c>
      <c r="I23" s="42">
        <f t="shared" si="7"/>
        <v>11.394736842105264</v>
      </c>
      <c r="J23" s="45">
        <f t="shared" si="8"/>
        <v>30859000</v>
      </c>
      <c r="K23" s="36"/>
      <c r="L23" s="41" t="s">
        <v>257</v>
      </c>
      <c r="M23" s="41" t="str">
        <f>VLOOKUP(N23,'list rate unit'!O:P,2,FALSE)</f>
        <v>SK 200-8 SX</v>
      </c>
      <c r="N23" s="41" t="str">
        <f t="shared" si="9"/>
        <v>KOBELCO SK 200 - 18</v>
      </c>
      <c r="O23" s="15" t="s">
        <v>56</v>
      </c>
    </row>
    <row r="24" spans="2:15" x14ac:dyDescent="0.3">
      <c r="B24" s="41">
        <f t="shared" si="5"/>
        <v>17</v>
      </c>
      <c r="C24" s="41" t="s">
        <v>203</v>
      </c>
      <c r="D24" s="42">
        <v>146</v>
      </c>
      <c r="E24" s="62">
        <f>IF(O24="K",VLOOKUP(M24,Table2[[#All],[UNIT]:[Column7]],10,FALSE),0)</f>
        <v>275000</v>
      </c>
      <c r="F24" s="43">
        <f t="shared" si="6"/>
        <v>40150000</v>
      </c>
      <c r="G24" s="42">
        <v>1935</v>
      </c>
      <c r="H24" s="44">
        <f>G24*$C$32</f>
        <v>22252500</v>
      </c>
      <c r="I24" s="42">
        <f t="shared" si="7"/>
        <v>13.253424657534246</v>
      </c>
      <c r="J24" s="45">
        <f t="shared" si="8"/>
        <v>62402500</v>
      </c>
      <c r="K24" s="36"/>
      <c r="L24" s="41" t="s">
        <v>257</v>
      </c>
      <c r="M24" s="41" t="str">
        <f>VLOOKUP(N24,'list rate unit'!O:P,2,FALSE)</f>
        <v>SK 200-8 SX</v>
      </c>
      <c r="N24" s="41" t="str">
        <f t="shared" si="9"/>
        <v>KOBELCO SK 200 - 19</v>
      </c>
      <c r="O24" s="15" t="s">
        <v>56</v>
      </c>
    </row>
    <row r="25" spans="2:15" x14ac:dyDescent="0.3">
      <c r="B25" s="41">
        <f t="shared" si="5"/>
        <v>18</v>
      </c>
      <c r="C25" s="41" t="s">
        <v>204</v>
      </c>
      <c r="D25" s="42">
        <v>124</v>
      </c>
      <c r="E25" s="62">
        <f>IF(O25="K",VLOOKUP(M25,Table2[[#All],[UNIT]:[Column7]],10,FALSE),0)</f>
        <v>275000</v>
      </c>
      <c r="F25" s="43">
        <f t="shared" si="6"/>
        <v>34100000</v>
      </c>
      <c r="G25" s="42">
        <v>1830.0130718954249</v>
      </c>
      <c r="H25" s="44">
        <f>G25*$C$32</f>
        <v>21045150.326797385</v>
      </c>
      <c r="I25" s="42">
        <f t="shared" si="7"/>
        <v>14.758169934640524</v>
      </c>
      <c r="J25" s="45">
        <f t="shared" si="8"/>
        <v>55145150.326797381</v>
      </c>
      <c r="K25" s="36"/>
      <c r="L25" s="41" t="s">
        <v>257</v>
      </c>
      <c r="M25" s="41" t="str">
        <f>VLOOKUP(N25,'list rate unit'!O:P,2,FALSE)</f>
        <v>SK 200-8 SX</v>
      </c>
      <c r="N25" s="41" t="str">
        <f t="shared" si="9"/>
        <v>KOBELCO SK 200 - 20</v>
      </c>
      <c r="O25" s="15" t="s">
        <v>56</v>
      </c>
    </row>
    <row r="26" spans="2:15" x14ac:dyDescent="0.3">
      <c r="B26" s="41">
        <f t="shared" ref="B26:B27" si="10">ROW(B26)-7</f>
        <v>19</v>
      </c>
      <c r="C26" s="41" t="s">
        <v>207</v>
      </c>
      <c r="D26" s="42">
        <v>4</v>
      </c>
      <c r="E26" s="62">
        <f>IF(O26="K",VLOOKUP(M26,Table2[[#All],[UNIT]:[Column7]],10,FALSE),0)</f>
        <v>1424304.3667884208</v>
      </c>
      <c r="F26" s="43">
        <f t="shared" si="2"/>
        <v>5697217.4671536833</v>
      </c>
      <c r="G26" s="42">
        <v>65.688888888888883</v>
      </c>
      <c r="H26" s="44">
        <f>G26*$C$32</f>
        <v>755422.22222222213</v>
      </c>
      <c r="I26" s="42">
        <f t="shared" si="1"/>
        <v>16.422222222222221</v>
      </c>
      <c r="J26" s="45">
        <f t="shared" si="3"/>
        <v>6452639.6893759053</v>
      </c>
      <c r="K26" s="36"/>
      <c r="L26" s="41" t="s">
        <v>257</v>
      </c>
      <c r="M26" s="41" t="str">
        <f>VLOOKUP(N26,'list rate unit'!O:P,2,FALSE)</f>
        <v>HM 400-3R</v>
      </c>
      <c r="N26" s="41" t="str">
        <f t="shared" si="4"/>
        <v>KOMATSU HM 400 - 11</v>
      </c>
      <c r="O26" s="15" t="s">
        <v>56</v>
      </c>
    </row>
    <row r="27" spans="2:15" x14ac:dyDescent="0.3">
      <c r="B27" s="41">
        <f t="shared" si="10"/>
        <v>20</v>
      </c>
      <c r="C27" s="41" t="s">
        <v>216</v>
      </c>
      <c r="D27" s="42">
        <v>26</v>
      </c>
      <c r="E27" s="62">
        <f>IF(O27="K",VLOOKUP(M27,Table2[[#All],[UNIT]:[Column7]],10,FALSE),0)</f>
        <v>1424304.3667884208</v>
      </c>
      <c r="F27" s="43">
        <f t="shared" si="2"/>
        <v>37031913.536498941</v>
      </c>
      <c r="G27" s="42">
        <v>361.5130434782609</v>
      </c>
      <c r="H27" s="44">
        <f>G27*$C$32</f>
        <v>4157400.0000000005</v>
      </c>
      <c r="I27" s="42">
        <f t="shared" si="1"/>
        <v>13.904347826086958</v>
      </c>
      <c r="J27" s="45">
        <f t="shared" si="3"/>
        <v>41189313.536498941</v>
      </c>
      <c r="K27" s="36"/>
      <c r="L27" s="41" t="s">
        <v>257</v>
      </c>
      <c r="M27" s="41" t="str">
        <f>VLOOKUP(N27,'list rate unit'!O:P,2,FALSE)</f>
        <v>HM 400-3R</v>
      </c>
      <c r="N27" s="41" t="str">
        <f t="shared" si="4"/>
        <v>KOMATSU HM 400 - 20</v>
      </c>
      <c r="O27" s="15" t="s">
        <v>56</v>
      </c>
    </row>
    <row r="28" spans="2:15" x14ac:dyDescent="0.3">
      <c r="D28" s="18"/>
      <c r="F28" s="32"/>
      <c r="G28" s="18"/>
      <c r="H28" s="30"/>
      <c r="I28" s="18"/>
      <c r="J28" s="33"/>
      <c r="K28" s="18"/>
    </row>
    <row r="29" spans="2:15" s="1" customFormat="1" ht="15.75" customHeight="1" x14ac:dyDescent="0.3">
      <c r="B29" s="246" t="s">
        <v>21</v>
      </c>
      <c r="C29" s="246"/>
      <c r="D29" s="46">
        <f>SUM(D8:D28)</f>
        <v>3040</v>
      </c>
      <c r="E29" s="63">
        <f>AVERAGE(E8:E28)</f>
        <v>433680.43667884206</v>
      </c>
      <c r="F29" s="47">
        <f>SUM(F8:F28)</f>
        <v>990479131.00365257</v>
      </c>
      <c r="G29" s="46">
        <f>SUM(G8:G28)</f>
        <v>44907.708653174814</v>
      </c>
      <c r="H29" s="47">
        <f>SUM(H8:H28)</f>
        <v>516438649.51151043</v>
      </c>
      <c r="I29" s="46">
        <f t="shared" ref="I29" si="11">IFERROR(G29/D29,0)</f>
        <v>14.772272583281188</v>
      </c>
      <c r="J29" s="48">
        <f>SUM(J8:J28)</f>
        <v>1506917780.5151632</v>
      </c>
      <c r="K29" s="37"/>
    </row>
    <row r="31" spans="2:15" x14ac:dyDescent="0.3">
      <c r="B31" s="35" t="s">
        <v>34</v>
      </c>
      <c r="C31" s="29">
        <f>'SUMMARY 2'!I28</f>
        <v>14848</v>
      </c>
      <c r="G31" s="18"/>
    </row>
    <row r="32" spans="2:15" x14ac:dyDescent="0.3">
      <c r="B32" s="35" t="s">
        <v>35</v>
      </c>
      <c r="C32" s="29">
        <f>'SUMMARY 2'!I13</f>
        <v>11500</v>
      </c>
      <c r="F32" s="30"/>
      <c r="G32" s="18"/>
    </row>
    <row r="34" spans="6:7" x14ac:dyDescent="0.3">
      <c r="F34" s="18"/>
      <c r="G34" s="18">
        <f>G29+'REPORT unit DT HAUL'!H43</f>
        <v>129328.70865317481</v>
      </c>
    </row>
  </sheetData>
  <autoFilter ref="B7:O27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29:C29"/>
    <mergeCell ref="G5:H5"/>
    <mergeCell ref="J5:J7"/>
    <mergeCell ref="L5:L7"/>
    <mergeCell ref="M5:M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35"/>
  <sheetViews>
    <sheetView workbookViewId="0">
      <pane xSplit="3" ySplit="7" topLeftCell="D8" activePane="bottomRight" state="frozenSplit"/>
      <selection pane="topRight" activeCell="C1" sqref="C1"/>
      <selection pane="bottomLeft" activeCell="A8" sqref="A8"/>
      <selection pane="bottomRight" activeCell="I26" sqref="I2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0.777343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24.6640625" style="15" bestFit="1" customWidth="1"/>
    <col min="16" max="16" width="12.109375" style="15" bestFit="1" customWidth="1"/>
    <col min="17" max="17" width="20.77734375" style="15" bestFit="1" customWidth="1"/>
    <col min="18" max="16384" width="9.109375" style="15"/>
  </cols>
  <sheetData>
    <row r="2" spans="2:17" x14ac:dyDescent="0.3">
      <c r="B2" s="250" t="s">
        <v>84</v>
      </c>
      <c r="C2" s="250"/>
    </row>
    <row r="3" spans="2:17" x14ac:dyDescent="0.3">
      <c r="B3" s="250"/>
      <c r="C3" s="250"/>
    </row>
    <row r="4" spans="2:17" x14ac:dyDescent="0.3">
      <c r="D4" s="30"/>
      <c r="E4" s="30"/>
    </row>
    <row r="5" spans="2:17" ht="15" customHeight="1" x14ac:dyDescent="0.3">
      <c r="B5" s="247" t="s">
        <v>1</v>
      </c>
      <c r="C5" s="247" t="s">
        <v>88</v>
      </c>
      <c r="D5" s="248" t="s">
        <v>39</v>
      </c>
      <c r="E5" s="248"/>
      <c r="F5" s="249" t="s">
        <v>52</v>
      </c>
      <c r="G5" s="249"/>
      <c r="H5" s="249" t="s">
        <v>37</v>
      </c>
      <c r="I5" s="249"/>
      <c r="J5" s="247" t="s">
        <v>90</v>
      </c>
      <c r="K5" s="247"/>
      <c r="L5" s="247"/>
      <c r="M5" s="251" t="s">
        <v>82</v>
      </c>
      <c r="N5" s="31"/>
      <c r="O5" s="247" t="s">
        <v>47</v>
      </c>
      <c r="P5" s="247" t="s">
        <v>89</v>
      </c>
      <c r="Q5" s="247"/>
    </row>
    <row r="6" spans="2:17" ht="15" customHeight="1" x14ac:dyDescent="0.3">
      <c r="B6" s="247"/>
      <c r="C6" s="247"/>
      <c r="D6" s="247" t="s">
        <v>41</v>
      </c>
      <c r="E6" s="247"/>
      <c r="F6" s="39" t="s">
        <v>48</v>
      </c>
      <c r="G6" s="247" t="s">
        <v>28</v>
      </c>
      <c r="H6" s="39" t="s">
        <v>27</v>
      </c>
      <c r="I6" s="247" t="s">
        <v>28</v>
      </c>
      <c r="J6" s="247"/>
      <c r="K6" s="247"/>
      <c r="L6" s="247"/>
      <c r="M6" s="251"/>
      <c r="N6" s="31"/>
      <c r="O6" s="247"/>
      <c r="P6" s="247"/>
      <c r="Q6" s="247"/>
    </row>
    <row r="7" spans="2:17" ht="15" customHeight="1" x14ac:dyDescent="0.3">
      <c r="B7" s="247"/>
      <c r="C7" s="247"/>
      <c r="D7" s="39" t="s">
        <v>42</v>
      </c>
      <c r="E7" s="39" t="s">
        <v>43</v>
      </c>
      <c r="F7" s="39" t="s">
        <v>30</v>
      </c>
      <c r="G7" s="247"/>
      <c r="H7" s="39" t="s">
        <v>32</v>
      </c>
      <c r="I7" s="247"/>
      <c r="J7" s="39" t="s">
        <v>40</v>
      </c>
      <c r="K7" s="39" t="s">
        <v>44</v>
      </c>
      <c r="L7" s="39" t="s">
        <v>55</v>
      </c>
      <c r="M7" s="251"/>
      <c r="N7" s="31"/>
      <c r="O7" s="247"/>
      <c r="P7" s="247"/>
      <c r="Q7" s="247"/>
    </row>
    <row r="8" spans="2:17" x14ac:dyDescent="0.3">
      <c r="B8" s="41">
        <f t="shared" ref="B8:B41" si="0">ROW(B8)-7</f>
        <v>1</v>
      </c>
      <c r="C8" s="41" t="s">
        <v>395</v>
      </c>
      <c r="D8" s="42">
        <v>1372.5499999999997</v>
      </c>
      <c r="E8" s="42">
        <v>25</v>
      </c>
      <c r="F8" s="49">
        <f>VLOOKUP(P8,'list rate unit'!$B$3:$K$41,10,FALSE)</f>
        <v>500000</v>
      </c>
      <c r="G8" s="44">
        <f t="shared" ref="G8:G41" si="1">IF(D8=0,0,F8*$C$48)</f>
        <v>105000000</v>
      </c>
      <c r="H8" s="42">
        <v>1323</v>
      </c>
      <c r="I8" s="44">
        <f t="shared" ref="I8:I41" si="2">H8*$C$47</f>
        <v>15214500</v>
      </c>
      <c r="J8" s="42">
        <f>IFERROR(H8/D8,0)</f>
        <v>0.96389931150049202</v>
      </c>
      <c r="K8" s="42">
        <f t="shared" ref="K8:K12" si="3">IFERROR(D8/E8,0)</f>
        <v>54.901999999999987</v>
      </c>
      <c r="L8" s="42">
        <f>H8/E8</f>
        <v>52.92</v>
      </c>
      <c r="M8" s="45">
        <f>G8+I8</f>
        <v>120214500</v>
      </c>
      <c r="N8" s="18">
        <f>D8*'SUMMARY 2'!$I$29*'SUMMARY 2'!$I$28</f>
        <v>213986035.19999996</v>
      </c>
      <c r="O8" s="41" t="s">
        <v>269</v>
      </c>
      <c r="P8" s="41" t="s">
        <v>346</v>
      </c>
      <c r="Q8" s="41" t="str">
        <f t="shared" ref="Q8:Q22" si="4">C8</f>
        <v>HONGYANG 500</v>
      </c>
    </row>
    <row r="9" spans="2:17" x14ac:dyDescent="0.3">
      <c r="B9" s="41">
        <f t="shared" si="0"/>
        <v>2</v>
      </c>
      <c r="C9" s="41" t="s">
        <v>361</v>
      </c>
      <c r="D9" s="42">
        <v>3690.7099999999991</v>
      </c>
      <c r="E9" s="42">
        <v>67</v>
      </c>
      <c r="F9" s="49">
        <f>VLOOKUP(P9,'list rate unit'!$B$3:$K$41,10,FALSE)</f>
        <v>500000</v>
      </c>
      <c r="G9" s="44">
        <f t="shared" si="1"/>
        <v>105000000</v>
      </c>
      <c r="H9" s="42">
        <v>3568</v>
      </c>
      <c r="I9" s="44">
        <f t="shared" si="2"/>
        <v>41032000</v>
      </c>
      <c r="J9" s="42">
        <f t="shared" ref="J9:J12" si="5">IFERROR(H9/D9,0)</f>
        <v>0.96675165483064263</v>
      </c>
      <c r="K9" s="42">
        <f t="shared" si="3"/>
        <v>55.085223880596999</v>
      </c>
      <c r="L9" s="42">
        <f t="shared" ref="L9:L12" si="6">H9/E9</f>
        <v>53.253731343283583</v>
      </c>
      <c r="M9" s="45">
        <f t="shared" ref="M9:M12" si="7">G9+I9</f>
        <v>146032000</v>
      </c>
      <c r="N9" s="18">
        <f>D9*'SUMMARY 2'!$I$29*'SUMMARY 2'!$I$28</f>
        <v>575396451.83999979</v>
      </c>
      <c r="O9" s="41" t="s">
        <v>269</v>
      </c>
      <c r="P9" s="41" t="s">
        <v>346</v>
      </c>
      <c r="Q9" s="41" t="str">
        <f t="shared" si="4"/>
        <v>HONGYANG 501</v>
      </c>
    </row>
    <row r="10" spans="2:17" x14ac:dyDescent="0.3">
      <c r="B10" s="41">
        <f t="shared" si="0"/>
        <v>3</v>
      </c>
      <c r="C10" s="41" t="s">
        <v>362</v>
      </c>
      <c r="D10" s="42">
        <v>2630.4300000000003</v>
      </c>
      <c r="E10" s="42">
        <v>48</v>
      </c>
      <c r="F10" s="49">
        <f>VLOOKUP(P10,'list rate unit'!$B$3:$K$41,10,FALSE)</f>
        <v>500000</v>
      </c>
      <c r="G10" s="44">
        <f t="shared" si="1"/>
        <v>105000000</v>
      </c>
      <c r="H10" s="42">
        <v>2225</v>
      </c>
      <c r="I10" s="44">
        <f t="shared" si="2"/>
        <v>25587500</v>
      </c>
      <c r="J10" s="42">
        <f t="shared" si="5"/>
        <v>0.84586930653923498</v>
      </c>
      <c r="K10" s="42">
        <f t="shared" si="3"/>
        <v>54.800625000000004</v>
      </c>
      <c r="L10" s="42">
        <f t="shared" si="6"/>
        <v>46.354166666666664</v>
      </c>
      <c r="M10" s="45">
        <f t="shared" si="7"/>
        <v>130587500</v>
      </c>
      <c r="N10" s="18">
        <f>D10*'SUMMARY 2'!$I$29*'SUMMARY 2'!$I$28</f>
        <v>410094558.72000003</v>
      </c>
      <c r="O10" s="41" t="s">
        <v>269</v>
      </c>
      <c r="P10" s="41" t="s">
        <v>346</v>
      </c>
      <c r="Q10" s="41" t="str">
        <f t="shared" si="4"/>
        <v>HONGYANG 502</v>
      </c>
    </row>
    <row r="11" spans="2:17" x14ac:dyDescent="0.3">
      <c r="B11" s="41">
        <f t="shared" si="0"/>
        <v>4</v>
      </c>
      <c r="C11" s="41" t="s">
        <v>363</v>
      </c>
      <c r="D11" s="42">
        <v>3152.68</v>
      </c>
      <c r="E11" s="42">
        <v>56</v>
      </c>
      <c r="F11" s="49">
        <f>VLOOKUP(P11,'list rate unit'!$B$3:$K$41,10,FALSE)</f>
        <v>500000</v>
      </c>
      <c r="G11" s="44">
        <f t="shared" si="1"/>
        <v>105000000</v>
      </c>
      <c r="H11" s="42">
        <v>3264</v>
      </c>
      <c r="I11" s="44">
        <f t="shared" si="2"/>
        <v>37536000</v>
      </c>
      <c r="J11" s="42">
        <f t="shared" si="5"/>
        <v>1.0353096413210348</v>
      </c>
      <c r="K11" s="42">
        <f t="shared" si="3"/>
        <v>56.29785714285714</v>
      </c>
      <c r="L11" s="42">
        <f t="shared" si="6"/>
        <v>58.285714285714285</v>
      </c>
      <c r="M11" s="45">
        <f t="shared" si="7"/>
        <v>142536000</v>
      </c>
      <c r="N11" s="18">
        <f>D11*'SUMMARY 2'!$I$29*'SUMMARY 2'!$I$28</f>
        <v>491515422.71999997</v>
      </c>
      <c r="O11" s="41" t="s">
        <v>269</v>
      </c>
      <c r="P11" s="41" t="s">
        <v>346</v>
      </c>
      <c r="Q11" s="41" t="str">
        <f t="shared" si="4"/>
        <v>HONGYANG 503</v>
      </c>
    </row>
    <row r="12" spans="2:17" x14ac:dyDescent="0.3">
      <c r="B12" s="41">
        <f t="shared" si="0"/>
        <v>5</v>
      </c>
      <c r="C12" s="41" t="s">
        <v>364</v>
      </c>
      <c r="D12" s="42">
        <v>2719.92</v>
      </c>
      <c r="E12" s="42">
        <v>48</v>
      </c>
      <c r="F12" s="49">
        <f>VLOOKUP(P12,'list rate unit'!$B$3:$K$41,10,FALSE)</f>
        <v>500000</v>
      </c>
      <c r="G12" s="44">
        <f t="shared" si="1"/>
        <v>105000000</v>
      </c>
      <c r="H12" s="42">
        <v>2888</v>
      </c>
      <c r="I12" s="44">
        <f t="shared" si="2"/>
        <v>33212000</v>
      </c>
      <c r="J12" s="42">
        <f t="shared" si="5"/>
        <v>1.0617959351745638</v>
      </c>
      <c r="K12" s="42">
        <f t="shared" si="3"/>
        <v>56.664999999999999</v>
      </c>
      <c r="L12" s="42">
        <f t="shared" si="6"/>
        <v>60.166666666666664</v>
      </c>
      <c r="M12" s="45">
        <f t="shared" si="7"/>
        <v>138212000</v>
      </c>
      <c r="N12" s="18">
        <f>D12*'SUMMARY 2'!$I$29*'SUMMARY 2'!$I$28</f>
        <v>424046407.68000001</v>
      </c>
      <c r="O12" s="41" t="s">
        <v>269</v>
      </c>
      <c r="P12" s="41" t="s">
        <v>346</v>
      </c>
      <c r="Q12" s="41" t="str">
        <f t="shared" si="4"/>
        <v>HONGYANG 504</v>
      </c>
    </row>
    <row r="13" spans="2:17" x14ac:dyDescent="0.3">
      <c r="B13" s="41">
        <f t="shared" si="0"/>
        <v>6</v>
      </c>
      <c r="C13" s="41" t="s">
        <v>365</v>
      </c>
      <c r="D13" s="42">
        <v>2598.61</v>
      </c>
      <c r="E13" s="42">
        <v>46</v>
      </c>
      <c r="F13" s="49">
        <f>VLOOKUP(P13,'list rate unit'!$B$3:$K$41,10,FALSE)</f>
        <v>500000</v>
      </c>
      <c r="G13" s="44">
        <f t="shared" si="1"/>
        <v>105000000</v>
      </c>
      <c r="H13" s="42">
        <v>2735</v>
      </c>
      <c r="I13" s="44">
        <f t="shared" si="2"/>
        <v>31452500</v>
      </c>
      <c r="J13" s="42">
        <f t="shared" ref="J13:J22" si="8">IFERROR(H13/D13,0)</f>
        <v>1.0524857519981836</v>
      </c>
      <c r="K13" s="42">
        <f t="shared" ref="K13:K22" si="9">IFERROR(D13/E13,0)</f>
        <v>56.491521739130441</v>
      </c>
      <c r="L13" s="42">
        <f t="shared" ref="L13:L22" si="10">H13/E13</f>
        <v>59.456521739130437</v>
      </c>
      <c r="M13" s="45">
        <f t="shared" ref="M13:M22" si="11">G13+I13</f>
        <v>136452500</v>
      </c>
      <c r="N13" s="18">
        <f>D13*'SUMMARY 2'!$I$29*'SUMMARY 2'!$I$28</f>
        <v>405133693.44000006</v>
      </c>
      <c r="O13" s="41" t="s">
        <v>269</v>
      </c>
      <c r="P13" s="41" t="s">
        <v>346</v>
      </c>
      <c r="Q13" s="41" t="str">
        <f t="shared" si="4"/>
        <v>HONGYANG 505</v>
      </c>
    </row>
    <row r="14" spans="2:17" x14ac:dyDescent="0.3">
      <c r="B14" s="41">
        <f t="shared" si="0"/>
        <v>7</v>
      </c>
      <c r="C14" s="41" t="s">
        <v>366</v>
      </c>
      <c r="D14" s="42">
        <v>2977.92</v>
      </c>
      <c r="E14" s="42">
        <v>52</v>
      </c>
      <c r="F14" s="49">
        <f>VLOOKUP(P14,'list rate unit'!$B$3:$K$41,10,FALSE)</f>
        <v>500000</v>
      </c>
      <c r="G14" s="44">
        <f t="shared" si="1"/>
        <v>105000000</v>
      </c>
      <c r="H14" s="42">
        <v>2905</v>
      </c>
      <c r="I14" s="44">
        <f t="shared" si="2"/>
        <v>33407500</v>
      </c>
      <c r="J14" s="42">
        <f t="shared" si="8"/>
        <v>0.97551310982162043</v>
      </c>
      <c r="K14" s="42">
        <f t="shared" si="9"/>
        <v>57.267692307692307</v>
      </c>
      <c r="L14" s="42">
        <f t="shared" si="10"/>
        <v>55.865384615384613</v>
      </c>
      <c r="M14" s="45">
        <f t="shared" si="11"/>
        <v>138407500</v>
      </c>
      <c r="N14" s="18">
        <f>D14*'SUMMARY 2'!$I$29*'SUMMARY 2'!$I$28</f>
        <v>464269639.68000001</v>
      </c>
      <c r="O14" s="41" t="s">
        <v>269</v>
      </c>
      <c r="P14" s="41" t="s">
        <v>346</v>
      </c>
      <c r="Q14" s="41" t="str">
        <f t="shared" si="4"/>
        <v>HONGYANG 506</v>
      </c>
    </row>
    <row r="15" spans="2:17" x14ac:dyDescent="0.3">
      <c r="B15" s="41">
        <f t="shared" si="0"/>
        <v>8</v>
      </c>
      <c r="C15" s="41" t="s">
        <v>367</v>
      </c>
      <c r="D15" s="42">
        <v>1932.18</v>
      </c>
      <c r="E15" s="42">
        <v>35</v>
      </c>
      <c r="F15" s="49">
        <f>VLOOKUP(P15,'list rate unit'!$B$3:$K$41,10,FALSE)</f>
        <v>500000</v>
      </c>
      <c r="G15" s="44">
        <f t="shared" si="1"/>
        <v>105000000</v>
      </c>
      <c r="H15" s="42">
        <v>2053</v>
      </c>
      <c r="I15" s="44">
        <f t="shared" si="2"/>
        <v>23609500</v>
      </c>
      <c r="J15" s="42">
        <f t="shared" si="8"/>
        <v>1.0625304060698277</v>
      </c>
      <c r="K15" s="42">
        <f t="shared" si="9"/>
        <v>55.20514285714286</v>
      </c>
      <c r="L15" s="42">
        <f t="shared" si="10"/>
        <v>58.657142857142858</v>
      </c>
      <c r="M15" s="45">
        <f t="shared" si="11"/>
        <v>128609500</v>
      </c>
      <c r="N15" s="18">
        <f>D15*'SUMMARY 2'!$I$29*'SUMMARY 2'!$I$28</f>
        <v>301234590.71999997</v>
      </c>
      <c r="O15" s="41" t="s">
        <v>269</v>
      </c>
      <c r="P15" s="41" t="s">
        <v>346</v>
      </c>
      <c r="Q15" s="41" t="str">
        <f t="shared" si="4"/>
        <v>HONGYANG 507</v>
      </c>
    </row>
    <row r="16" spans="2:17" x14ac:dyDescent="0.3">
      <c r="B16" s="41">
        <f t="shared" si="0"/>
        <v>9</v>
      </c>
      <c r="C16" s="41" t="s">
        <v>368</v>
      </c>
      <c r="D16" s="42">
        <v>3262.1899999999996</v>
      </c>
      <c r="E16" s="42">
        <v>57</v>
      </c>
      <c r="F16" s="49">
        <f>VLOOKUP(P16,'list rate unit'!$B$3:$K$41,10,FALSE)</f>
        <v>500000</v>
      </c>
      <c r="G16" s="44">
        <f t="shared" si="1"/>
        <v>105000000</v>
      </c>
      <c r="H16" s="42">
        <v>3030</v>
      </c>
      <c r="I16" s="44">
        <f t="shared" si="2"/>
        <v>34845000</v>
      </c>
      <c r="J16" s="42">
        <f t="shared" si="8"/>
        <v>0.92882388824685269</v>
      </c>
      <c r="K16" s="42">
        <f t="shared" si="9"/>
        <v>57.231403508771926</v>
      </c>
      <c r="L16" s="42">
        <f t="shared" si="10"/>
        <v>53.157894736842103</v>
      </c>
      <c r="M16" s="45">
        <f t="shared" si="11"/>
        <v>139845000</v>
      </c>
      <c r="N16" s="18">
        <f>D16*'SUMMARY 2'!$I$29*'SUMMARY 2'!$I$28</f>
        <v>508588469.75999993</v>
      </c>
      <c r="O16" s="41" t="s">
        <v>269</v>
      </c>
      <c r="P16" s="41" t="s">
        <v>346</v>
      </c>
      <c r="Q16" s="41" t="str">
        <f t="shared" si="4"/>
        <v>HONGYANG 508</v>
      </c>
    </row>
    <row r="17" spans="2:17" x14ac:dyDescent="0.3">
      <c r="B17" s="41">
        <f t="shared" si="0"/>
        <v>10</v>
      </c>
      <c r="C17" s="41" t="s">
        <v>369</v>
      </c>
      <c r="D17" s="42">
        <v>2364.0099999999998</v>
      </c>
      <c r="E17" s="42">
        <v>42</v>
      </c>
      <c r="F17" s="49">
        <f>VLOOKUP(P17,'list rate unit'!$B$3:$K$41,10,FALSE)</f>
        <v>500000</v>
      </c>
      <c r="G17" s="44">
        <f t="shared" si="1"/>
        <v>105000000</v>
      </c>
      <c r="H17" s="42">
        <v>2427</v>
      </c>
      <c r="I17" s="44">
        <f t="shared" si="2"/>
        <v>27910500</v>
      </c>
      <c r="J17" s="42">
        <f t="shared" si="8"/>
        <v>1.026645403361238</v>
      </c>
      <c r="K17" s="42">
        <f t="shared" si="9"/>
        <v>56.285952380952374</v>
      </c>
      <c r="L17" s="42">
        <f t="shared" si="10"/>
        <v>57.785714285714285</v>
      </c>
      <c r="M17" s="45">
        <f t="shared" si="11"/>
        <v>132910500</v>
      </c>
      <c r="N17" s="18">
        <f>D17*'SUMMARY 2'!$I$29*'SUMMARY 2'!$I$28</f>
        <v>368558615.03999996</v>
      </c>
      <c r="O17" s="41" t="s">
        <v>269</v>
      </c>
      <c r="P17" s="41" t="s">
        <v>346</v>
      </c>
      <c r="Q17" s="41" t="str">
        <f t="shared" si="4"/>
        <v>HONGYANG 509</v>
      </c>
    </row>
    <row r="18" spans="2:17" x14ac:dyDescent="0.3">
      <c r="B18" s="41">
        <f t="shared" si="0"/>
        <v>11</v>
      </c>
      <c r="C18" s="41" t="s">
        <v>370</v>
      </c>
      <c r="D18" s="42">
        <v>3458.77</v>
      </c>
      <c r="E18" s="42">
        <v>61</v>
      </c>
      <c r="F18" s="49">
        <f>VLOOKUP(P18,'list rate unit'!$B$3:$K$41,10,FALSE)</f>
        <v>500000</v>
      </c>
      <c r="G18" s="44">
        <f t="shared" si="1"/>
        <v>105000000</v>
      </c>
      <c r="H18" s="42">
        <v>3365</v>
      </c>
      <c r="I18" s="44">
        <f t="shared" si="2"/>
        <v>38697500</v>
      </c>
      <c r="J18" s="42">
        <f t="shared" si="8"/>
        <v>0.97288920627853259</v>
      </c>
      <c r="K18" s="42">
        <f t="shared" si="9"/>
        <v>56.701147540983605</v>
      </c>
      <c r="L18" s="42">
        <f t="shared" si="10"/>
        <v>55.16393442622951</v>
      </c>
      <c r="M18" s="45">
        <f t="shared" si="11"/>
        <v>143697500</v>
      </c>
      <c r="N18" s="18">
        <f>D18*'SUMMARY 2'!$I$29*'SUMMARY 2'!$I$28</f>
        <v>539236078.08000004</v>
      </c>
      <c r="O18" s="41" t="s">
        <v>269</v>
      </c>
      <c r="P18" s="41" t="s">
        <v>346</v>
      </c>
      <c r="Q18" s="41" t="str">
        <f t="shared" si="4"/>
        <v>HONGYANG 510</v>
      </c>
    </row>
    <row r="19" spans="2:17" x14ac:dyDescent="0.3">
      <c r="B19" s="41">
        <f t="shared" si="0"/>
        <v>12</v>
      </c>
      <c r="C19" s="41" t="s">
        <v>371</v>
      </c>
      <c r="D19" s="42">
        <v>2637.69</v>
      </c>
      <c r="E19" s="42">
        <v>47</v>
      </c>
      <c r="F19" s="49">
        <f>VLOOKUP(P19,'list rate unit'!$B$3:$K$41,10,FALSE)</f>
        <v>500000</v>
      </c>
      <c r="G19" s="44">
        <f t="shared" si="1"/>
        <v>105000000</v>
      </c>
      <c r="H19" s="42">
        <v>2537</v>
      </c>
      <c r="I19" s="44">
        <f t="shared" si="2"/>
        <v>29175500</v>
      </c>
      <c r="J19" s="42">
        <f t="shared" si="8"/>
        <v>0.96182644662564587</v>
      </c>
      <c r="K19" s="42">
        <f t="shared" si="9"/>
        <v>56.121063829787232</v>
      </c>
      <c r="L19" s="42">
        <f t="shared" si="10"/>
        <v>53.978723404255319</v>
      </c>
      <c r="M19" s="45">
        <f t="shared" si="11"/>
        <v>134175500</v>
      </c>
      <c r="N19" s="18">
        <f>D19*'SUMMARY 2'!$I$29*'SUMMARY 2'!$I$28</f>
        <v>411226421.75999999</v>
      </c>
      <c r="O19" s="41" t="s">
        <v>269</v>
      </c>
      <c r="P19" s="41" t="s">
        <v>346</v>
      </c>
      <c r="Q19" s="41" t="str">
        <f t="shared" si="4"/>
        <v>HONGYANG 511</v>
      </c>
    </row>
    <row r="20" spans="2:17" x14ac:dyDescent="0.3">
      <c r="B20" s="41">
        <f t="shared" si="0"/>
        <v>13</v>
      </c>
      <c r="C20" s="41" t="s">
        <v>396</v>
      </c>
      <c r="D20" s="42">
        <v>2664.6400000000008</v>
      </c>
      <c r="E20" s="42">
        <v>47</v>
      </c>
      <c r="F20" s="49">
        <f>VLOOKUP(P20,'list rate unit'!$B$3:$K$41,10,FALSE)</f>
        <v>500000</v>
      </c>
      <c r="G20" s="44">
        <f t="shared" si="1"/>
        <v>105000000</v>
      </c>
      <c r="H20" s="42">
        <v>2903</v>
      </c>
      <c r="I20" s="44">
        <f t="shared" si="2"/>
        <v>33384500</v>
      </c>
      <c r="J20" s="42">
        <f t="shared" si="8"/>
        <v>1.0894529842680434</v>
      </c>
      <c r="K20" s="42">
        <f t="shared" si="9"/>
        <v>56.694468085106401</v>
      </c>
      <c r="L20" s="42">
        <f t="shared" si="10"/>
        <v>61.765957446808514</v>
      </c>
      <c r="M20" s="45">
        <f t="shared" si="11"/>
        <v>138384500</v>
      </c>
      <c r="N20" s="18">
        <f>D20*'SUMMARY 2'!$I$29*'SUMMARY 2'!$I$28</f>
        <v>415428034.56000012</v>
      </c>
      <c r="O20" s="41" t="s">
        <v>269</v>
      </c>
      <c r="P20" s="41" t="s">
        <v>346</v>
      </c>
      <c r="Q20" s="41" t="str">
        <f t="shared" si="4"/>
        <v>HONGYANG 512</v>
      </c>
    </row>
    <row r="21" spans="2:17" x14ac:dyDescent="0.3">
      <c r="B21" s="41">
        <f t="shared" si="0"/>
        <v>14</v>
      </c>
      <c r="C21" s="41" t="s">
        <v>372</v>
      </c>
      <c r="D21" s="42">
        <v>237.98</v>
      </c>
      <c r="E21" s="42">
        <v>4</v>
      </c>
      <c r="F21" s="49">
        <f>VLOOKUP(P21,'list rate unit'!$B$3:$K$41,10,FALSE)</f>
        <v>500000</v>
      </c>
      <c r="G21" s="44">
        <f t="shared" si="1"/>
        <v>105000000</v>
      </c>
      <c r="H21" s="42">
        <v>537</v>
      </c>
      <c r="I21" s="44">
        <f t="shared" si="2"/>
        <v>6175500</v>
      </c>
      <c r="J21" s="42">
        <f t="shared" si="8"/>
        <v>2.2564921421968234</v>
      </c>
      <c r="K21" s="42">
        <f t="shared" si="9"/>
        <v>59.494999999999997</v>
      </c>
      <c r="L21" s="42">
        <f t="shared" si="10"/>
        <v>134.25</v>
      </c>
      <c r="M21" s="45">
        <f t="shared" si="11"/>
        <v>111175500</v>
      </c>
      <c r="N21" s="18">
        <f>D21*'SUMMARY 2'!$I$29*'SUMMARY 2'!$I$28</f>
        <v>37102033.920000002</v>
      </c>
      <c r="O21" s="41" t="s">
        <v>269</v>
      </c>
      <c r="P21" s="41" t="s">
        <v>346</v>
      </c>
      <c r="Q21" s="41" t="str">
        <f t="shared" si="4"/>
        <v>HONGYANG 513</v>
      </c>
    </row>
    <row r="22" spans="2:17" x14ac:dyDescent="0.3">
      <c r="B22" s="41">
        <f t="shared" si="0"/>
        <v>15</v>
      </c>
      <c r="C22" s="41" t="s">
        <v>373</v>
      </c>
      <c r="D22" s="42">
        <v>2088.59</v>
      </c>
      <c r="E22" s="42">
        <v>38</v>
      </c>
      <c r="F22" s="49">
        <f>VLOOKUP(P22,'list rate unit'!$B$3:$K$41,10,FALSE)</f>
        <v>500000</v>
      </c>
      <c r="G22" s="44">
        <f t="shared" si="1"/>
        <v>105000000</v>
      </c>
      <c r="H22" s="42">
        <v>2334</v>
      </c>
      <c r="I22" s="44">
        <f t="shared" si="2"/>
        <v>26841000</v>
      </c>
      <c r="J22" s="42">
        <f t="shared" si="8"/>
        <v>1.1175003231845406</v>
      </c>
      <c r="K22" s="42">
        <f t="shared" si="9"/>
        <v>54.962894736842109</v>
      </c>
      <c r="L22" s="42">
        <f t="shared" si="10"/>
        <v>61.421052631578945</v>
      </c>
      <c r="M22" s="45">
        <f t="shared" si="11"/>
        <v>131841000</v>
      </c>
      <c r="N22" s="18">
        <f>D22*'SUMMARY 2'!$I$29*'SUMMARY 2'!$I$28</f>
        <v>325619535.36000001</v>
      </c>
      <c r="O22" s="41" t="s">
        <v>269</v>
      </c>
      <c r="P22" s="41" t="s">
        <v>346</v>
      </c>
      <c r="Q22" s="41" t="str">
        <f t="shared" si="4"/>
        <v>HONGYANG 514</v>
      </c>
    </row>
    <row r="23" spans="2:17" x14ac:dyDescent="0.3">
      <c r="B23" s="41">
        <f t="shared" si="0"/>
        <v>16</v>
      </c>
      <c r="C23" s="41" t="s">
        <v>374</v>
      </c>
      <c r="D23" s="42">
        <v>2595.35</v>
      </c>
      <c r="E23" s="42">
        <v>46</v>
      </c>
      <c r="F23" s="49">
        <f>VLOOKUP(P23,'list rate unit'!$B$3:$K$41,10,FALSE)</f>
        <v>500000</v>
      </c>
      <c r="G23" s="44">
        <f t="shared" si="1"/>
        <v>105000000</v>
      </c>
      <c r="H23" s="42">
        <v>2434</v>
      </c>
      <c r="I23" s="44">
        <f t="shared" si="2"/>
        <v>27991000</v>
      </c>
      <c r="J23" s="42">
        <f t="shared" ref="J23:J41" si="12">IFERROR(H23/D23,0)</f>
        <v>0.9378311210434046</v>
      </c>
      <c r="K23" s="42">
        <f t="shared" ref="K23:K41" si="13">IFERROR(D23/E23,0)</f>
        <v>56.420652173913041</v>
      </c>
      <c r="L23" s="42">
        <f t="shared" ref="L23:L41" si="14">H23/E23</f>
        <v>52.913043478260867</v>
      </c>
      <c r="M23" s="45">
        <f t="shared" ref="M23:M41" si="15">G23+I23</f>
        <v>132991000</v>
      </c>
      <c r="N23" s="18">
        <f>D23*'SUMMARY 2'!$I$29*'SUMMARY 2'!$I$28</f>
        <v>404625446.39999998</v>
      </c>
      <c r="O23" s="41" t="s">
        <v>269</v>
      </c>
      <c r="P23" s="41" t="s">
        <v>346</v>
      </c>
      <c r="Q23" s="41" t="str">
        <f t="shared" ref="Q23:Q41" si="16">C23</f>
        <v>HONGYANG 517</v>
      </c>
    </row>
    <row r="24" spans="2:17" x14ac:dyDescent="0.3">
      <c r="B24" s="41">
        <f t="shared" si="0"/>
        <v>17</v>
      </c>
      <c r="C24" s="41" t="s">
        <v>375</v>
      </c>
      <c r="D24" s="42">
        <v>1018.8900000000001</v>
      </c>
      <c r="E24" s="42">
        <v>18</v>
      </c>
      <c r="F24" s="49">
        <f>VLOOKUP(P24,'list rate unit'!$B$3:$K$41,10,FALSE)</f>
        <v>500000</v>
      </c>
      <c r="G24" s="44">
        <f t="shared" si="1"/>
        <v>105000000</v>
      </c>
      <c r="H24" s="42">
        <v>950</v>
      </c>
      <c r="I24" s="44">
        <f t="shared" si="2"/>
        <v>10925000</v>
      </c>
      <c r="J24" s="42">
        <f t="shared" si="12"/>
        <v>0.93238720568461753</v>
      </c>
      <c r="K24" s="42">
        <f t="shared" si="13"/>
        <v>56.605000000000004</v>
      </c>
      <c r="L24" s="42">
        <f t="shared" si="14"/>
        <v>52.777777777777779</v>
      </c>
      <c r="M24" s="45">
        <f t="shared" si="15"/>
        <v>115925000</v>
      </c>
      <c r="N24" s="18">
        <f>D24*'SUMMARY 2'!$I$29*'SUMMARY 2'!$I$28</f>
        <v>158849026.56</v>
      </c>
      <c r="O24" s="41" t="s">
        <v>269</v>
      </c>
      <c r="P24" s="41" t="s">
        <v>346</v>
      </c>
      <c r="Q24" s="41" t="str">
        <f t="shared" si="16"/>
        <v>HONGYANG 518</v>
      </c>
    </row>
    <row r="25" spans="2:17" x14ac:dyDescent="0.3">
      <c r="B25" s="41">
        <f t="shared" si="0"/>
        <v>18</v>
      </c>
      <c r="C25" s="41" t="s">
        <v>376</v>
      </c>
      <c r="D25" s="42">
        <v>2945.76</v>
      </c>
      <c r="E25" s="42">
        <v>52</v>
      </c>
      <c r="F25" s="49">
        <f>VLOOKUP(P25,'list rate unit'!$B$3:$K$41,10,FALSE)</f>
        <v>500000</v>
      </c>
      <c r="G25" s="44">
        <f t="shared" si="1"/>
        <v>105000000</v>
      </c>
      <c r="H25" s="42">
        <v>2663</v>
      </c>
      <c r="I25" s="44">
        <f t="shared" si="2"/>
        <v>30624500</v>
      </c>
      <c r="J25" s="42">
        <f t="shared" si="12"/>
        <v>0.90401118896311983</v>
      </c>
      <c r="K25" s="42">
        <f t="shared" si="13"/>
        <v>56.649230769230776</v>
      </c>
      <c r="L25" s="42">
        <f t="shared" si="14"/>
        <v>51.21153846153846</v>
      </c>
      <c r="M25" s="45">
        <f t="shared" si="15"/>
        <v>135624500</v>
      </c>
      <c r="N25" s="18">
        <f>D25*'SUMMARY 2'!$I$29*'SUMMARY 2'!$I$28</f>
        <v>459255767.04000002</v>
      </c>
      <c r="O25" s="41" t="s">
        <v>269</v>
      </c>
      <c r="P25" s="41" t="s">
        <v>346</v>
      </c>
      <c r="Q25" s="41" t="str">
        <f t="shared" si="16"/>
        <v>HONGYANG 519</v>
      </c>
    </row>
    <row r="26" spans="2:17" x14ac:dyDescent="0.3">
      <c r="B26" s="41">
        <f t="shared" si="0"/>
        <v>19</v>
      </c>
      <c r="C26" s="41" t="s">
        <v>377</v>
      </c>
      <c r="D26" s="42">
        <v>3970.0800000000004</v>
      </c>
      <c r="E26" s="42">
        <v>71</v>
      </c>
      <c r="F26" s="49">
        <f>VLOOKUP(P26,'list rate unit'!$B$3:$K$41,10,FALSE)</f>
        <v>500000</v>
      </c>
      <c r="G26" s="44">
        <f t="shared" si="1"/>
        <v>105000000</v>
      </c>
      <c r="H26" s="42">
        <v>3965</v>
      </c>
      <c r="I26" s="44">
        <f t="shared" si="2"/>
        <v>45597500</v>
      </c>
      <c r="J26" s="42">
        <f t="shared" si="12"/>
        <v>0.9987204288074798</v>
      </c>
      <c r="K26" s="42">
        <f t="shared" si="13"/>
        <v>55.916619718309867</v>
      </c>
      <c r="L26" s="42">
        <f t="shared" si="14"/>
        <v>55.845070422535208</v>
      </c>
      <c r="M26" s="45">
        <f t="shared" si="15"/>
        <v>150597500</v>
      </c>
      <c r="N26" s="18">
        <f>D26*'SUMMARY 2'!$I$29*'SUMMARY 2'!$I$28</f>
        <v>618951352.32000005</v>
      </c>
      <c r="O26" s="41" t="s">
        <v>269</v>
      </c>
      <c r="P26" s="41" t="s">
        <v>346</v>
      </c>
      <c r="Q26" s="41" t="str">
        <f t="shared" si="16"/>
        <v>HONGYANG 520</v>
      </c>
    </row>
    <row r="27" spans="2:17" x14ac:dyDescent="0.3">
      <c r="B27" s="41">
        <f t="shared" si="0"/>
        <v>20</v>
      </c>
      <c r="C27" s="41" t="s">
        <v>378</v>
      </c>
      <c r="D27" s="42">
        <v>3724.2599999999998</v>
      </c>
      <c r="E27" s="42">
        <v>66</v>
      </c>
      <c r="F27" s="49">
        <f>VLOOKUP(P27,'list rate unit'!$B$3:$K$41,10,FALSE)</f>
        <v>500000</v>
      </c>
      <c r="G27" s="44">
        <f t="shared" si="1"/>
        <v>105000000</v>
      </c>
      <c r="H27" s="42">
        <v>3392</v>
      </c>
      <c r="I27" s="44">
        <f t="shared" si="2"/>
        <v>39008000</v>
      </c>
      <c r="J27" s="42">
        <f t="shared" si="12"/>
        <v>0.91078496130774977</v>
      </c>
      <c r="K27" s="42">
        <f t="shared" si="13"/>
        <v>56.428181818181812</v>
      </c>
      <c r="L27" s="42">
        <f t="shared" si="14"/>
        <v>51.393939393939391</v>
      </c>
      <c r="M27" s="45">
        <f t="shared" si="15"/>
        <v>144008000</v>
      </c>
      <c r="N27" s="18">
        <f>D27*'SUMMARY 2'!$I$29*'SUMMARY 2'!$I$28</f>
        <v>580627031.03999996</v>
      </c>
      <c r="O27" s="41" t="s">
        <v>269</v>
      </c>
      <c r="P27" s="41" t="s">
        <v>346</v>
      </c>
      <c r="Q27" s="41" t="str">
        <f t="shared" si="16"/>
        <v>HONGYANG 521</v>
      </c>
    </row>
    <row r="28" spans="2:17" x14ac:dyDescent="0.3">
      <c r="B28" s="41">
        <f t="shared" si="0"/>
        <v>21</v>
      </c>
      <c r="C28" s="41" t="s">
        <v>379</v>
      </c>
      <c r="D28" s="42">
        <v>2924.7200000000003</v>
      </c>
      <c r="E28" s="42">
        <v>52</v>
      </c>
      <c r="F28" s="49">
        <f>VLOOKUP(P28,'list rate unit'!$B$3:$K$41,10,FALSE)</f>
        <v>500000</v>
      </c>
      <c r="G28" s="44">
        <f t="shared" si="1"/>
        <v>105000000</v>
      </c>
      <c r="H28" s="42">
        <v>2942</v>
      </c>
      <c r="I28" s="44">
        <f t="shared" si="2"/>
        <v>33833000</v>
      </c>
      <c r="J28" s="42">
        <f t="shared" si="12"/>
        <v>1.0059082578845153</v>
      </c>
      <c r="K28" s="42">
        <f t="shared" si="13"/>
        <v>56.244615384615386</v>
      </c>
      <c r="L28" s="42">
        <f t="shared" si="14"/>
        <v>56.57692307692308</v>
      </c>
      <c r="M28" s="45">
        <f t="shared" si="15"/>
        <v>138833000</v>
      </c>
      <c r="N28" s="18">
        <f>D28*'SUMMARY 2'!$I$29*'SUMMARY 2'!$I$28</f>
        <v>455975546.88</v>
      </c>
      <c r="O28" s="41" t="s">
        <v>269</v>
      </c>
      <c r="P28" s="41" t="s">
        <v>346</v>
      </c>
      <c r="Q28" s="41" t="str">
        <f t="shared" si="16"/>
        <v>HONGYANG 522</v>
      </c>
    </row>
    <row r="29" spans="2:17" x14ac:dyDescent="0.3">
      <c r="B29" s="41">
        <f t="shared" si="0"/>
        <v>22</v>
      </c>
      <c r="C29" s="41" t="s">
        <v>380</v>
      </c>
      <c r="D29" s="42">
        <v>1284.42</v>
      </c>
      <c r="E29" s="42">
        <v>22</v>
      </c>
      <c r="F29" s="49">
        <f>VLOOKUP(P29,'list rate unit'!$B$3:$K$41,10,FALSE)</f>
        <v>500000</v>
      </c>
      <c r="G29" s="44">
        <f t="shared" si="1"/>
        <v>105000000</v>
      </c>
      <c r="H29" s="42">
        <v>1208</v>
      </c>
      <c r="I29" s="44">
        <f t="shared" si="2"/>
        <v>13892000</v>
      </c>
      <c r="J29" s="42">
        <f t="shared" si="12"/>
        <v>0.94050232789897381</v>
      </c>
      <c r="K29" s="42">
        <f t="shared" si="13"/>
        <v>58.382727272727273</v>
      </c>
      <c r="L29" s="42">
        <f t="shared" si="14"/>
        <v>54.909090909090907</v>
      </c>
      <c r="M29" s="45">
        <f t="shared" si="15"/>
        <v>118892000</v>
      </c>
      <c r="N29" s="18">
        <f>D29*'SUMMARY 2'!$I$29*'SUMMARY 2'!$I$28</f>
        <v>200246215.68000001</v>
      </c>
      <c r="O29" s="41" t="s">
        <v>269</v>
      </c>
      <c r="P29" s="41" t="s">
        <v>346</v>
      </c>
      <c r="Q29" s="41" t="str">
        <f t="shared" si="16"/>
        <v>HONGYANG 523</v>
      </c>
    </row>
    <row r="30" spans="2:17" x14ac:dyDescent="0.3">
      <c r="B30" s="41">
        <f t="shared" si="0"/>
        <v>23</v>
      </c>
      <c r="C30" s="41" t="s">
        <v>381</v>
      </c>
      <c r="D30" s="42">
        <v>1683.45</v>
      </c>
      <c r="E30" s="42">
        <v>29</v>
      </c>
      <c r="F30" s="49">
        <f>VLOOKUP(P30,'list rate unit'!$B$3:$K$41,10,FALSE)</f>
        <v>500000</v>
      </c>
      <c r="G30" s="44">
        <f t="shared" si="1"/>
        <v>105000000</v>
      </c>
      <c r="H30" s="42">
        <v>1726</v>
      </c>
      <c r="I30" s="44">
        <f t="shared" si="2"/>
        <v>19849000</v>
      </c>
      <c r="J30" s="42">
        <f t="shared" si="12"/>
        <v>1.0252754759571119</v>
      </c>
      <c r="K30" s="42">
        <f t="shared" si="13"/>
        <v>58.050000000000004</v>
      </c>
      <c r="L30" s="42">
        <f t="shared" si="14"/>
        <v>59.517241379310342</v>
      </c>
      <c r="M30" s="45">
        <f t="shared" si="15"/>
        <v>124849000</v>
      </c>
      <c r="N30" s="18">
        <f>D30*'SUMMARY 2'!$I$29*'SUMMARY 2'!$I$28</f>
        <v>262456588.80000004</v>
      </c>
      <c r="O30" s="41" t="s">
        <v>269</v>
      </c>
      <c r="P30" s="41" t="s">
        <v>346</v>
      </c>
      <c r="Q30" s="41" t="str">
        <f t="shared" si="16"/>
        <v>HONGYANG 524</v>
      </c>
    </row>
    <row r="31" spans="2:17" x14ac:dyDescent="0.3">
      <c r="B31" s="41">
        <f t="shared" si="0"/>
        <v>24</v>
      </c>
      <c r="C31" s="41" t="s">
        <v>382</v>
      </c>
      <c r="D31" s="42">
        <v>2848.1600000000003</v>
      </c>
      <c r="E31" s="42">
        <v>50</v>
      </c>
      <c r="F31" s="49">
        <f>VLOOKUP(P31,'list rate unit'!$B$3:$K$41,10,FALSE)</f>
        <v>500000</v>
      </c>
      <c r="G31" s="44">
        <f t="shared" si="1"/>
        <v>105000000</v>
      </c>
      <c r="H31" s="42">
        <v>3288</v>
      </c>
      <c r="I31" s="44">
        <f t="shared" si="2"/>
        <v>37812000</v>
      </c>
      <c r="J31" s="42">
        <f t="shared" si="12"/>
        <v>1.1544295264310993</v>
      </c>
      <c r="K31" s="42">
        <f t="shared" si="13"/>
        <v>56.963200000000008</v>
      </c>
      <c r="L31" s="42">
        <f t="shared" si="14"/>
        <v>65.760000000000005</v>
      </c>
      <c r="M31" s="45">
        <f t="shared" si="15"/>
        <v>142812000</v>
      </c>
      <c r="N31" s="18">
        <f>D31*'SUMMARY 2'!$I$29*'SUMMARY 2'!$I$28</f>
        <v>444039536.64000005</v>
      </c>
      <c r="O31" s="41" t="s">
        <v>269</v>
      </c>
      <c r="P31" s="41" t="s">
        <v>346</v>
      </c>
      <c r="Q31" s="41" t="str">
        <f t="shared" si="16"/>
        <v>HONGYANG 525</v>
      </c>
    </row>
    <row r="32" spans="2:17" x14ac:dyDescent="0.3">
      <c r="B32" s="41">
        <f t="shared" si="0"/>
        <v>25</v>
      </c>
      <c r="C32" s="41" t="s">
        <v>383</v>
      </c>
      <c r="D32" s="42">
        <v>3187.09</v>
      </c>
      <c r="E32" s="42">
        <v>56</v>
      </c>
      <c r="F32" s="49">
        <f>VLOOKUP(P32,'list rate unit'!$B$3:$K$41,10,FALSE)</f>
        <v>500000</v>
      </c>
      <c r="G32" s="44">
        <f t="shared" si="1"/>
        <v>105000000</v>
      </c>
      <c r="H32" s="42">
        <v>2941</v>
      </c>
      <c r="I32" s="44">
        <f t="shared" si="2"/>
        <v>33821500</v>
      </c>
      <c r="J32" s="42">
        <f t="shared" si="12"/>
        <v>0.92278536219560792</v>
      </c>
      <c r="K32" s="42">
        <f t="shared" si="13"/>
        <v>56.912321428571431</v>
      </c>
      <c r="L32" s="42">
        <f t="shared" si="14"/>
        <v>52.517857142857146</v>
      </c>
      <c r="M32" s="45">
        <f t="shared" si="15"/>
        <v>138821500</v>
      </c>
      <c r="N32" s="18">
        <f>D32*'SUMMARY 2'!$I$29*'SUMMARY 2'!$I$28</f>
        <v>496880079.36000001</v>
      </c>
      <c r="O32" s="41" t="s">
        <v>269</v>
      </c>
      <c r="P32" s="41" t="s">
        <v>346</v>
      </c>
      <c r="Q32" s="41" t="str">
        <f t="shared" si="16"/>
        <v>HONGYANG 526</v>
      </c>
    </row>
    <row r="33" spans="2:17" x14ac:dyDescent="0.3">
      <c r="B33" s="41">
        <f t="shared" si="0"/>
        <v>26</v>
      </c>
      <c r="C33" s="41" t="s">
        <v>384</v>
      </c>
      <c r="D33" s="42">
        <v>2547.5300000000002</v>
      </c>
      <c r="E33" s="42">
        <v>45</v>
      </c>
      <c r="F33" s="49">
        <f>VLOOKUP(P33,'list rate unit'!$B$3:$K$41,10,FALSE)</f>
        <v>500000</v>
      </c>
      <c r="G33" s="44">
        <f t="shared" si="1"/>
        <v>105000000</v>
      </c>
      <c r="H33" s="42">
        <v>2731</v>
      </c>
      <c r="I33" s="44">
        <f t="shared" si="2"/>
        <v>31406500</v>
      </c>
      <c r="J33" s="42">
        <f t="shared" si="12"/>
        <v>1.0720187789741435</v>
      </c>
      <c r="K33" s="42">
        <f t="shared" si="13"/>
        <v>56.611777777777782</v>
      </c>
      <c r="L33" s="42">
        <f t="shared" si="14"/>
        <v>60.68888888888889</v>
      </c>
      <c r="M33" s="45">
        <f t="shared" si="15"/>
        <v>136406500</v>
      </c>
      <c r="N33" s="18">
        <f>D33*'SUMMARY 2'!$I$29*'SUMMARY 2'!$I$28</f>
        <v>397170117.12</v>
      </c>
      <c r="O33" s="41" t="s">
        <v>269</v>
      </c>
      <c r="P33" s="41" t="s">
        <v>346</v>
      </c>
      <c r="Q33" s="41" t="str">
        <f t="shared" si="16"/>
        <v>HONGYANG 527</v>
      </c>
    </row>
    <row r="34" spans="2:17" x14ac:dyDescent="0.3">
      <c r="B34" s="41">
        <f t="shared" si="0"/>
        <v>27</v>
      </c>
      <c r="C34" s="41" t="s">
        <v>385</v>
      </c>
      <c r="D34" s="42">
        <v>2662.3199999999997</v>
      </c>
      <c r="E34" s="42">
        <v>47</v>
      </c>
      <c r="F34" s="49">
        <f>VLOOKUP(P34,'list rate unit'!$B$3:$K$41,10,FALSE)</f>
        <v>500000</v>
      </c>
      <c r="G34" s="44">
        <f t="shared" si="1"/>
        <v>105000000</v>
      </c>
      <c r="H34" s="42">
        <v>2602</v>
      </c>
      <c r="I34" s="44">
        <f t="shared" si="2"/>
        <v>29923000</v>
      </c>
      <c r="J34" s="42">
        <f t="shared" si="12"/>
        <v>0.97734306920280067</v>
      </c>
      <c r="K34" s="42">
        <f t="shared" si="13"/>
        <v>56.645106382978717</v>
      </c>
      <c r="L34" s="42">
        <f t="shared" si="14"/>
        <v>55.361702127659576</v>
      </c>
      <c r="M34" s="45">
        <f t="shared" si="15"/>
        <v>134923000</v>
      </c>
      <c r="N34" s="18">
        <f>D34*'SUMMARY 2'!$I$29*'SUMMARY 2'!$I$28</f>
        <v>415066337.27999997</v>
      </c>
      <c r="O34" s="41" t="s">
        <v>269</v>
      </c>
      <c r="P34" s="41" t="s">
        <v>346</v>
      </c>
      <c r="Q34" s="41" t="str">
        <f t="shared" si="16"/>
        <v>HONGYANG 528</v>
      </c>
    </row>
    <row r="35" spans="2:17" x14ac:dyDescent="0.3">
      <c r="B35" s="41">
        <f t="shared" si="0"/>
        <v>28</v>
      </c>
      <c r="C35" s="41" t="s">
        <v>386</v>
      </c>
      <c r="D35" s="42">
        <v>2186.88</v>
      </c>
      <c r="E35" s="42">
        <v>39</v>
      </c>
      <c r="F35" s="49">
        <f>VLOOKUP(P35,'list rate unit'!$B$3:$K$41,10,FALSE)</f>
        <v>500000</v>
      </c>
      <c r="G35" s="44">
        <f t="shared" si="1"/>
        <v>105000000</v>
      </c>
      <c r="H35" s="42">
        <v>2207</v>
      </c>
      <c r="I35" s="44">
        <f t="shared" si="2"/>
        <v>25380500</v>
      </c>
      <c r="J35" s="42">
        <f t="shared" si="12"/>
        <v>1.0092003219198127</v>
      </c>
      <c r="K35" s="42">
        <f t="shared" si="13"/>
        <v>56.073846153846155</v>
      </c>
      <c r="L35" s="42">
        <f t="shared" si="14"/>
        <v>56.589743589743591</v>
      </c>
      <c r="M35" s="45">
        <f t="shared" si="15"/>
        <v>130380500</v>
      </c>
      <c r="N35" s="18">
        <f>D35*'SUMMARY 2'!$I$29*'SUMMARY 2'!$I$28</f>
        <v>340943339.52000004</v>
      </c>
      <c r="O35" s="41" t="s">
        <v>269</v>
      </c>
      <c r="P35" s="41" t="s">
        <v>346</v>
      </c>
      <c r="Q35" s="41" t="str">
        <f t="shared" si="16"/>
        <v>HONGYANG 529</v>
      </c>
    </row>
    <row r="36" spans="2:17" x14ac:dyDescent="0.3">
      <c r="B36" s="41">
        <f t="shared" si="0"/>
        <v>29</v>
      </c>
      <c r="C36" s="41" t="s">
        <v>387</v>
      </c>
      <c r="D36" s="42">
        <v>2266.77</v>
      </c>
      <c r="E36" s="42">
        <v>42</v>
      </c>
      <c r="F36" s="49">
        <f>VLOOKUP(P36,'list rate unit'!$B$3:$K$41,10,FALSE)</f>
        <v>500000</v>
      </c>
      <c r="G36" s="44">
        <f t="shared" si="1"/>
        <v>105000000</v>
      </c>
      <c r="H36" s="42">
        <v>1973</v>
      </c>
      <c r="I36" s="44">
        <f t="shared" si="2"/>
        <v>22689500</v>
      </c>
      <c r="J36" s="42">
        <f t="shared" si="12"/>
        <v>0.87040149640236986</v>
      </c>
      <c r="K36" s="42">
        <f t="shared" si="13"/>
        <v>53.970714285714287</v>
      </c>
      <c r="L36" s="42">
        <f t="shared" si="14"/>
        <v>46.976190476190474</v>
      </c>
      <c r="M36" s="45">
        <f t="shared" si="15"/>
        <v>127689500</v>
      </c>
      <c r="N36" s="18">
        <f>D36*'SUMMARY 2'!$I$29*'SUMMARY 2'!$I$28</f>
        <v>353398510.07999998</v>
      </c>
      <c r="O36" s="41" t="s">
        <v>269</v>
      </c>
      <c r="P36" s="41" t="s">
        <v>346</v>
      </c>
      <c r="Q36" s="41" t="str">
        <f t="shared" si="16"/>
        <v>HONGYANG 530</v>
      </c>
    </row>
    <row r="37" spans="2:17" x14ac:dyDescent="0.3">
      <c r="B37" s="41">
        <f t="shared" si="0"/>
        <v>30</v>
      </c>
      <c r="C37" s="41" t="s">
        <v>388</v>
      </c>
      <c r="D37" s="42">
        <v>1638.8400000000001</v>
      </c>
      <c r="E37" s="42">
        <v>29</v>
      </c>
      <c r="F37" s="49">
        <f>VLOOKUP(P37,'list rate unit'!$B$3:$K$41,10,FALSE)</f>
        <v>500000</v>
      </c>
      <c r="G37" s="44">
        <f t="shared" ref="G37:G38" si="17">IF(D37=0,0,F37*$C$48)</f>
        <v>105000000</v>
      </c>
      <c r="H37" s="42">
        <v>1387</v>
      </c>
      <c r="I37" s="44">
        <f t="shared" ref="I37:I38" si="18">H37*$C$47</f>
        <v>15950500</v>
      </c>
      <c r="J37" s="42">
        <f t="shared" ref="J37:J38" si="19">IFERROR(H37/D37,0)</f>
        <v>0.8463303312098801</v>
      </c>
      <c r="K37" s="42">
        <f t="shared" ref="K37:K38" si="20">IFERROR(D37/E37,0)</f>
        <v>56.51172413793104</v>
      </c>
      <c r="L37" s="42">
        <f t="shared" ref="L37:L38" si="21">H37/E37</f>
        <v>47.827586206896555</v>
      </c>
      <c r="M37" s="45">
        <f t="shared" ref="M37:M38" si="22">G37+I37</f>
        <v>120950500</v>
      </c>
      <c r="N37" s="18">
        <f>D37*'SUMMARY 2'!$I$29*'SUMMARY 2'!$I$28</f>
        <v>255501711.35999998</v>
      </c>
      <c r="O37" s="41" t="s">
        <v>269</v>
      </c>
      <c r="P37" s="41" t="s">
        <v>346</v>
      </c>
      <c r="Q37" s="41" t="str">
        <f t="shared" ref="Q37:Q38" si="23">C37</f>
        <v>HONGYANG 531</v>
      </c>
    </row>
    <row r="38" spans="2:17" x14ac:dyDescent="0.3">
      <c r="B38" s="41">
        <f t="shared" si="0"/>
        <v>31</v>
      </c>
      <c r="C38" s="41" t="s">
        <v>389</v>
      </c>
      <c r="D38" s="42">
        <v>2718.4399999999996</v>
      </c>
      <c r="E38" s="42">
        <v>48</v>
      </c>
      <c r="F38" s="49">
        <f>VLOOKUP(P38,'list rate unit'!$B$3:$K$41,10,FALSE)</f>
        <v>500000</v>
      </c>
      <c r="G38" s="44">
        <f t="shared" si="17"/>
        <v>105000000</v>
      </c>
      <c r="H38" s="42">
        <v>2401</v>
      </c>
      <c r="I38" s="44">
        <f t="shared" si="18"/>
        <v>27611500</v>
      </c>
      <c r="J38" s="42">
        <f t="shared" si="19"/>
        <v>0.88322714498020938</v>
      </c>
      <c r="K38" s="42">
        <f t="shared" si="20"/>
        <v>56.634166666666658</v>
      </c>
      <c r="L38" s="42">
        <f t="shared" si="21"/>
        <v>50.020833333333336</v>
      </c>
      <c r="M38" s="45">
        <f t="shared" si="22"/>
        <v>132611500</v>
      </c>
      <c r="N38" s="18">
        <f>D38*'SUMMARY 2'!$I$29*'SUMMARY 2'!$I$28</f>
        <v>423815669.75999993</v>
      </c>
      <c r="O38" s="41" t="s">
        <v>269</v>
      </c>
      <c r="P38" s="41" t="s">
        <v>346</v>
      </c>
      <c r="Q38" s="41" t="str">
        <f t="shared" si="23"/>
        <v>HONGYANG 532</v>
      </c>
    </row>
    <row r="39" spans="2:17" x14ac:dyDescent="0.3">
      <c r="B39" s="41">
        <f t="shared" si="0"/>
        <v>32</v>
      </c>
      <c r="C39" s="41" t="s">
        <v>390</v>
      </c>
      <c r="D39" s="42">
        <v>2851.0499999999997</v>
      </c>
      <c r="E39" s="42">
        <v>50</v>
      </c>
      <c r="F39" s="49">
        <f>VLOOKUP(P39,'list rate unit'!$B$3:$K$41,10,FALSE)</f>
        <v>500000</v>
      </c>
      <c r="G39" s="44">
        <f t="shared" si="1"/>
        <v>105000000</v>
      </c>
      <c r="H39" s="42">
        <v>2928</v>
      </c>
      <c r="I39" s="44">
        <f t="shared" si="2"/>
        <v>33672000</v>
      </c>
      <c r="J39" s="42">
        <f t="shared" si="12"/>
        <v>1.0269900562950494</v>
      </c>
      <c r="K39" s="42">
        <f t="shared" si="13"/>
        <v>57.020999999999994</v>
      </c>
      <c r="L39" s="42">
        <f t="shared" si="14"/>
        <v>58.56</v>
      </c>
      <c r="M39" s="45">
        <f t="shared" si="15"/>
        <v>138672000</v>
      </c>
      <c r="N39" s="18">
        <f>D39*'SUMMARY 2'!$I$29*'SUMMARY 2'!$I$28</f>
        <v>444490099.19999999</v>
      </c>
      <c r="O39" s="41" t="s">
        <v>269</v>
      </c>
      <c r="P39" s="41" t="s">
        <v>346</v>
      </c>
      <c r="Q39" s="41" t="str">
        <f t="shared" si="16"/>
        <v>HONGYANG 533</v>
      </c>
    </row>
    <row r="40" spans="2:17" x14ac:dyDescent="0.3">
      <c r="B40" s="41">
        <f t="shared" si="0"/>
        <v>33</v>
      </c>
      <c r="C40" s="41" t="s">
        <v>391</v>
      </c>
      <c r="D40" s="42">
        <v>2831.9199999999996</v>
      </c>
      <c r="E40" s="42">
        <v>51</v>
      </c>
      <c r="F40" s="49">
        <f>VLOOKUP(P40,'list rate unit'!$B$3:$K$41,10,FALSE)</f>
        <v>500000</v>
      </c>
      <c r="G40" s="44">
        <f t="shared" si="1"/>
        <v>105000000</v>
      </c>
      <c r="H40" s="42">
        <v>2676</v>
      </c>
      <c r="I40" s="44">
        <f t="shared" si="2"/>
        <v>30774000</v>
      </c>
      <c r="J40" s="42">
        <f t="shared" si="12"/>
        <v>0.94494194751264171</v>
      </c>
      <c r="K40" s="42">
        <f t="shared" si="13"/>
        <v>55.527843137254898</v>
      </c>
      <c r="L40" s="42">
        <f t="shared" si="14"/>
        <v>52.470588235294116</v>
      </c>
      <c r="M40" s="45">
        <f t="shared" si="15"/>
        <v>135774000</v>
      </c>
      <c r="N40" s="18">
        <f>D40*'SUMMARY 2'!$I$29*'SUMMARY 2'!$I$28</f>
        <v>441507655.67999995</v>
      </c>
      <c r="O40" s="41" t="s">
        <v>269</v>
      </c>
      <c r="P40" s="41" t="s">
        <v>346</v>
      </c>
      <c r="Q40" s="41" t="str">
        <f t="shared" si="16"/>
        <v>HONGYANG 534</v>
      </c>
    </row>
    <row r="41" spans="2:17" x14ac:dyDescent="0.3">
      <c r="B41" s="41">
        <f t="shared" si="0"/>
        <v>34</v>
      </c>
      <c r="C41" s="41" t="s">
        <v>392</v>
      </c>
      <c r="D41" s="42">
        <v>2307.65</v>
      </c>
      <c r="E41" s="42">
        <v>40</v>
      </c>
      <c r="F41" s="49">
        <f>VLOOKUP(P41,'list rate unit'!$B$3:$K$41,10,FALSE)</f>
        <v>500000</v>
      </c>
      <c r="G41" s="44">
        <f t="shared" si="1"/>
        <v>105000000</v>
      </c>
      <c r="H41" s="42">
        <v>1913</v>
      </c>
      <c r="I41" s="44">
        <f t="shared" si="2"/>
        <v>21999500</v>
      </c>
      <c r="J41" s="42">
        <f t="shared" si="12"/>
        <v>0.82898186466751889</v>
      </c>
      <c r="K41" s="42">
        <f t="shared" si="13"/>
        <v>57.691250000000004</v>
      </c>
      <c r="L41" s="42">
        <f t="shared" si="14"/>
        <v>47.825000000000003</v>
      </c>
      <c r="M41" s="45">
        <f t="shared" si="15"/>
        <v>126999500</v>
      </c>
      <c r="N41" s="18">
        <f>D41*'SUMMARY 2'!$I$29*'SUMMARY 2'!$I$28</f>
        <v>359771865.60000002</v>
      </c>
      <c r="O41" s="41" t="s">
        <v>269</v>
      </c>
      <c r="P41" s="41" t="s">
        <v>346</v>
      </c>
      <c r="Q41" s="41" t="str">
        <f t="shared" si="16"/>
        <v>HONGYANG 535</v>
      </c>
    </row>
    <row r="42" spans="2:17" x14ac:dyDescent="0.3">
      <c r="D42" s="18"/>
      <c r="E42" s="18"/>
      <c r="H42" s="18"/>
      <c r="I42" s="30"/>
      <c r="J42" s="18"/>
      <c r="K42" s="18"/>
      <c r="L42" s="18"/>
      <c r="M42" s="33"/>
      <c r="N42" s="18"/>
    </row>
    <row r="43" spans="2:17" ht="15.75" customHeight="1" x14ac:dyDescent="0.3">
      <c r="B43" s="246" t="s">
        <v>21</v>
      </c>
      <c r="C43" s="246"/>
      <c r="D43" s="46">
        <f>SUM(D8:D42)</f>
        <v>85982.45</v>
      </c>
      <c r="E43" s="46">
        <f>SUM(E8:E42)</f>
        <v>1526</v>
      </c>
      <c r="F43" s="50"/>
      <c r="G43" s="51">
        <f>SUM(G8:G42)</f>
        <v>3570000000</v>
      </c>
      <c r="H43" s="46">
        <f>SUM(H8:H42)</f>
        <v>84421</v>
      </c>
      <c r="I43" s="47">
        <f>SUM(I8:I42)</f>
        <v>970841500</v>
      </c>
      <c r="J43" s="46">
        <f>IFERROR(H43/D43,0)</f>
        <v>0.98183989872351862</v>
      </c>
      <c r="K43" s="46">
        <f>IFERROR(D43/E43,0)</f>
        <v>56.344986893840101</v>
      </c>
      <c r="L43" s="46">
        <f>IFERROR(H43/E43,0)</f>
        <v>55.321756225425951</v>
      </c>
      <c r="M43" s="48">
        <f>SUM(M8:M42)</f>
        <v>4540841500</v>
      </c>
      <c r="N43" s="17">
        <f>SUM(N8:N41)</f>
        <v>13405007884.800003</v>
      </c>
    </row>
    <row r="45" spans="2:17" x14ac:dyDescent="0.3">
      <c r="B45" s="28"/>
      <c r="C45" s="15" t="s">
        <v>58</v>
      </c>
      <c r="L45" s="18"/>
      <c r="M45" s="18"/>
      <c r="N45" s="18"/>
    </row>
    <row r="46" spans="2:17" x14ac:dyDescent="0.3">
      <c r="B46" s="35" t="s">
        <v>34</v>
      </c>
      <c r="C46" s="29">
        <f>'REPORT unit OB'!C58</f>
        <v>14848</v>
      </c>
      <c r="D46" s="30"/>
      <c r="H46" s="18">
        <f>H43+'REPORT unit ORE GETTING'!G29</f>
        <v>129328.70865317481</v>
      </c>
    </row>
    <row r="47" spans="2:17" x14ac:dyDescent="0.3">
      <c r="B47" s="35" t="s">
        <v>35</v>
      </c>
      <c r="C47" s="29">
        <f>'SUMMARY 2'!I13</f>
        <v>11500</v>
      </c>
      <c r="D47" s="30"/>
    </row>
    <row r="48" spans="2:17" x14ac:dyDescent="0.3">
      <c r="B48" s="35" t="s">
        <v>50</v>
      </c>
      <c r="C48" s="34">
        <v>210</v>
      </c>
      <c r="D48" s="29" t="s">
        <v>51</v>
      </c>
      <c r="G48" s="161"/>
    </row>
    <row r="49" spans="4:7" x14ac:dyDescent="0.3">
      <c r="D49" s="18"/>
    </row>
    <row r="50" spans="4:7" x14ac:dyDescent="0.3">
      <c r="G50" s="161"/>
    </row>
    <row r="52" spans="4:7" x14ac:dyDescent="0.3">
      <c r="D52" s="18"/>
    </row>
    <row r="54" spans="4:7" x14ac:dyDescent="0.3">
      <c r="E54" s="18"/>
    </row>
    <row r="55" spans="4:7" x14ac:dyDescent="0.3">
      <c r="E55" s="18"/>
    </row>
    <row r="56" spans="4:7" x14ac:dyDescent="0.3">
      <c r="E56" s="18"/>
    </row>
    <row r="57" spans="4:7" x14ac:dyDescent="0.3">
      <c r="E57" s="18"/>
    </row>
    <row r="58" spans="4:7" x14ac:dyDescent="0.3">
      <c r="E58" s="18"/>
    </row>
    <row r="59" spans="4:7" x14ac:dyDescent="0.3">
      <c r="E59" s="18"/>
    </row>
    <row r="60" spans="4:7" x14ac:dyDescent="0.3">
      <c r="E60" s="18"/>
    </row>
    <row r="61" spans="4:7" x14ac:dyDescent="0.3">
      <c r="E61" s="18"/>
    </row>
    <row r="62" spans="4:7" x14ac:dyDescent="0.3">
      <c r="E62" s="18"/>
    </row>
    <row r="63" spans="4:7" x14ac:dyDescent="0.3">
      <c r="E63" s="18"/>
    </row>
    <row r="64" spans="4:7" x14ac:dyDescent="0.3">
      <c r="E64" s="18"/>
    </row>
    <row r="65" spans="5:5" x14ac:dyDescent="0.3">
      <c r="E65" s="18"/>
    </row>
    <row r="66" spans="5:5" x14ac:dyDescent="0.3">
      <c r="E66" s="18"/>
    </row>
    <row r="67" spans="5:5" x14ac:dyDescent="0.3">
      <c r="E67" s="18"/>
    </row>
    <row r="68" spans="5:5" x14ac:dyDescent="0.3">
      <c r="E68" s="18"/>
    </row>
    <row r="69" spans="5:5" x14ac:dyDescent="0.3">
      <c r="E69" s="18"/>
    </row>
    <row r="70" spans="5:5" x14ac:dyDescent="0.3">
      <c r="E70" s="18"/>
    </row>
    <row r="71" spans="5:5" x14ac:dyDescent="0.3">
      <c r="E71" s="18"/>
    </row>
    <row r="72" spans="5:5" x14ac:dyDescent="0.3">
      <c r="E72" s="18"/>
    </row>
    <row r="73" spans="5:5" x14ac:dyDescent="0.3">
      <c r="E73" s="18"/>
    </row>
    <row r="74" spans="5:5" x14ac:dyDescent="0.3">
      <c r="E74" s="18"/>
    </row>
    <row r="75" spans="5:5" x14ac:dyDescent="0.3">
      <c r="E75" s="18"/>
    </row>
    <row r="76" spans="5:5" x14ac:dyDescent="0.3">
      <c r="E76" s="18"/>
    </row>
    <row r="77" spans="5:5" x14ac:dyDescent="0.3">
      <c r="E77" s="18"/>
    </row>
    <row r="78" spans="5:5" x14ac:dyDescent="0.3">
      <c r="E78" s="18"/>
    </row>
    <row r="79" spans="5:5" x14ac:dyDescent="0.3">
      <c r="E79" s="18"/>
    </row>
    <row r="80" spans="5:5" x14ac:dyDescent="0.3">
      <c r="E80" s="18"/>
    </row>
    <row r="81" spans="5:5" x14ac:dyDescent="0.3">
      <c r="E81" s="18"/>
    </row>
    <row r="82" spans="5:5" x14ac:dyDescent="0.3">
      <c r="E82" s="18"/>
    </row>
    <row r="83" spans="5:5" x14ac:dyDescent="0.3">
      <c r="E83" s="18"/>
    </row>
    <row r="84" spans="5:5" x14ac:dyDescent="0.3">
      <c r="E84" s="18"/>
    </row>
    <row r="85" spans="5:5" x14ac:dyDescent="0.3">
      <c r="E85" s="18"/>
    </row>
    <row r="86" spans="5:5" x14ac:dyDescent="0.3">
      <c r="E86" s="18"/>
    </row>
    <row r="87" spans="5:5" x14ac:dyDescent="0.3">
      <c r="E87" s="18"/>
    </row>
    <row r="88" spans="5:5" x14ac:dyDescent="0.3">
      <c r="E88" s="18"/>
    </row>
    <row r="89" spans="5:5" x14ac:dyDescent="0.3">
      <c r="E89" s="18"/>
    </row>
    <row r="90" spans="5:5" x14ac:dyDescent="0.3">
      <c r="E90" s="18"/>
    </row>
    <row r="91" spans="5:5" x14ac:dyDescent="0.3">
      <c r="E91" s="18"/>
    </row>
    <row r="92" spans="5:5" x14ac:dyDescent="0.3">
      <c r="E92" s="18"/>
    </row>
    <row r="93" spans="5:5" x14ac:dyDescent="0.3">
      <c r="E93" s="18"/>
    </row>
    <row r="94" spans="5:5" x14ac:dyDescent="0.3">
      <c r="E94" s="18"/>
    </row>
    <row r="95" spans="5:5" x14ac:dyDescent="0.3">
      <c r="E95" s="18"/>
    </row>
    <row r="96" spans="5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</sheetData>
  <autoFilter ref="B7:Q41" xr:uid="{00000000-0009-0000-0000-000004000000}">
    <filterColumn colId="14" showButton="0"/>
  </autoFilter>
  <mergeCells count="14">
    <mergeCell ref="B2:C3"/>
    <mergeCell ref="B43:C43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41">
    <cfRule type="duplicateValues" dxfId="1" priority="59"/>
  </conditionalFormatting>
  <conditionalFormatting sqref="J8:J41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35"/>
  <sheetViews>
    <sheetView workbookViewId="0">
      <pane xSplit="3" ySplit="7" topLeftCell="D8" activePane="bottomRight" state="frozenSplit"/>
      <selection pane="topRight" activeCell="C1" sqref="C1"/>
      <selection pane="bottomLeft" activeCell="A7" sqref="A7"/>
      <selection pane="bottomRight" activeCell="F16" sqref="F1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250" t="s">
        <v>83</v>
      </c>
      <c r="C2" s="250"/>
    </row>
    <row r="3" spans="2:12" x14ac:dyDescent="0.3">
      <c r="B3" s="250"/>
      <c r="C3" s="250"/>
    </row>
    <row r="5" spans="2:12" ht="15" customHeight="1" x14ac:dyDescent="0.3">
      <c r="B5" s="247" t="s">
        <v>1</v>
      </c>
      <c r="C5" s="247" t="s">
        <v>88</v>
      </c>
      <c r="D5" s="247" t="s">
        <v>91</v>
      </c>
      <c r="E5" s="249" t="s">
        <v>37</v>
      </c>
      <c r="F5" s="249"/>
      <c r="G5" s="247" t="s">
        <v>90</v>
      </c>
      <c r="H5" s="251" t="s">
        <v>82</v>
      </c>
      <c r="I5" s="31"/>
      <c r="J5" s="247" t="s">
        <v>47</v>
      </c>
      <c r="K5" s="247" t="s">
        <v>89</v>
      </c>
      <c r="L5" s="247"/>
    </row>
    <row r="6" spans="2:12" ht="15" customHeight="1" x14ac:dyDescent="0.3">
      <c r="B6" s="247"/>
      <c r="C6" s="247"/>
      <c r="D6" s="247"/>
      <c r="E6" s="39" t="s">
        <v>27</v>
      </c>
      <c r="F6" s="247" t="s">
        <v>28</v>
      </c>
      <c r="G6" s="247"/>
      <c r="H6" s="251"/>
      <c r="I6" s="31"/>
      <c r="J6" s="247"/>
      <c r="K6" s="247"/>
      <c r="L6" s="247"/>
    </row>
    <row r="7" spans="2:12" x14ac:dyDescent="0.3">
      <c r="B7" s="247"/>
      <c r="C7" s="247"/>
      <c r="D7" s="39" t="s">
        <v>45</v>
      </c>
      <c r="E7" s="39" t="s">
        <v>32</v>
      </c>
      <c r="F7" s="247"/>
      <c r="G7" s="39" t="s">
        <v>53</v>
      </c>
      <c r="H7" s="251"/>
      <c r="I7" s="31"/>
      <c r="J7" s="247"/>
      <c r="K7" s="247"/>
      <c r="L7" s="247"/>
    </row>
    <row r="8" spans="2:12" x14ac:dyDescent="0.3">
      <c r="B8" s="41">
        <f t="shared" ref="B8:B29" si="0">ROW(B8)-7</f>
        <v>1</v>
      </c>
      <c r="C8" s="41" t="s">
        <v>230</v>
      </c>
      <c r="D8" s="44">
        <f>IFERROR(VLOOKUP(K8,'list rate unit'!$B$6:$K$28,10,FALSE),0)</f>
        <v>8000000</v>
      </c>
      <c r="E8" s="42">
        <v>379</v>
      </c>
      <c r="F8" s="44">
        <f t="shared" ref="F8:F29" si="1">E8*$C$34</f>
        <v>4358500</v>
      </c>
      <c r="G8" s="42"/>
      <c r="H8" s="45">
        <f>D8+F8</f>
        <v>12358500</v>
      </c>
      <c r="I8" s="18"/>
      <c r="J8" s="41"/>
      <c r="K8" s="41" t="str">
        <f>VLOOKUP(L8,'list rate unit'!O:P,2,FALSE)</f>
        <v>LV</v>
      </c>
      <c r="L8" s="41" t="str">
        <f t="shared" ref="L8" si="2">C8</f>
        <v>LV TRITON HITAM - 08</v>
      </c>
    </row>
    <row r="9" spans="2:12" x14ac:dyDescent="0.3">
      <c r="B9" s="41">
        <f t="shared" si="0"/>
        <v>2</v>
      </c>
      <c r="C9" s="41" t="s">
        <v>231</v>
      </c>
      <c r="D9" s="44">
        <f>IFERROR(VLOOKUP(K9,'list rate unit'!$B$6:$K$28,10,FALSE),0)</f>
        <v>8000000</v>
      </c>
      <c r="E9" s="42">
        <v>141</v>
      </c>
      <c r="F9" s="44">
        <f t="shared" si="1"/>
        <v>1621500</v>
      </c>
      <c r="G9" s="42"/>
      <c r="H9" s="45">
        <f t="shared" ref="H9" si="3">D9+F9</f>
        <v>9621500</v>
      </c>
      <c r="I9" s="18"/>
      <c r="J9" s="41"/>
      <c r="K9" s="41" t="str">
        <f>VLOOKUP(L9,'list rate unit'!O:P,2,FALSE)</f>
        <v>LV</v>
      </c>
      <c r="L9" s="41" t="str">
        <f t="shared" ref="L9:L26" si="4">C9</f>
        <v>LV PAJERO PUTIH - 09</v>
      </c>
    </row>
    <row r="10" spans="2:12" x14ac:dyDescent="0.3">
      <c r="B10" s="41">
        <f t="shared" si="0"/>
        <v>3</v>
      </c>
      <c r="C10" s="41" t="s">
        <v>244</v>
      </c>
      <c r="D10" s="44">
        <f>IFERROR(VLOOKUP(K10,'list rate unit'!$B$6:$K$28,10,FALSE),0)</f>
        <v>8000000</v>
      </c>
      <c r="E10" s="42">
        <v>123</v>
      </c>
      <c r="F10" s="44">
        <f t="shared" si="1"/>
        <v>1414500</v>
      </c>
      <c r="G10" s="42"/>
      <c r="H10" s="45">
        <f t="shared" ref="H10" si="5">D10+F10</f>
        <v>9414500</v>
      </c>
      <c r="I10" s="18"/>
      <c r="J10" s="41"/>
      <c r="K10" s="41" t="str">
        <f>VLOOKUP(L10,'list rate unit'!O:P,2,FALSE)</f>
        <v>LV</v>
      </c>
      <c r="L10" s="41" t="str">
        <f t="shared" si="4"/>
        <v>LV HILUX SILVER - 10</v>
      </c>
    </row>
    <row r="11" spans="2:12" x14ac:dyDescent="0.3">
      <c r="B11" s="41">
        <f t="shared" si="0"/>
        <v>4</v>
      </c>
      <c r="C11" s="41" t="s">
        <v>227</v>
      </c>
      <c r="D11" s="44">
        <f>IFERROR(VLOOKUP(K11,'list rate unit'!$B$6:$K$28,10,FALSE),0)</f>
        <v>8000000</v>
      </c>
      <c r="E11" s="42">
        <v>29</v>
      </c>
      <c r="F11" s="44">
        <f t="shared" si="1"/>
        <v>333500</v>
      </c>
      <c r="G11" s="42"/>
      <c r="H11" s="45">
        <f t="shared" ref="H11:H14" si="6">D11+F11</f>
        <v>8333500</v>
      </c>
      <c r="I11" s="18"/>
      <c r="J11" s="41"/>
      <c r="K11" s="41" t="str">
        <f>VLOOKUP(L11,'list rate unit'!O:P,2,FALSE)</f>
        <v>LV</v>
      </c>
      <c r="L11" s="41" t="str">
        <f t="shared" si="4"/>
        <v>LV TRITON PUTIH - 11</v>
      </c>
    </row>
    <row r="12" spans="2:12" x14ac:dyDescent="0.3">
      <c r="B12" s="41">
        <f t="shared" si="0"/>
        <v>5</v>
      </c>
      <c r="C12" s="41" t="s">
        <v>271</v>
      </c>
      <c r="D12" s="44">
        <f>IFERROR(VLOOKUP(K12,'list rate unit'!$B$6:$K$28,10,FALSE),0)</f>
        <v>8000000</v>
      </c>
      <c r="E12" s="42">
        <v>347</v>
      </c>
      <c r="F12" s="44">
        <f t="shared" si="1"/>
        <v>3990500</v>
      </c>
      <c r="G12" s="42"/>
      <c r="H12" s="45">
        <f t="shared" si="6"/>
        <v>11990500</v>
      </c>
      <c r="I12" s="18"/>
      <c r="J12" s="41"/>
      <c r="K12" s="41" t="str">
        <f>VLOOKUP(L12,'list rate unit'!O:P,2,FALSE)</f>
        <v>LV</v>
      </c>
      <c r="L12" s="41" t="str">
        <f t="shared" si="4"/>
        <v>LV HILUX HITAM - 11</v>
      </c>
    </row>
    <row r="13" spans="2:12" x14ac:dyDescent="0.3">
      <c r="B13" s="41">
        <f t="shared" si="0"/>
        <v>6</v>
      </c>
      <c r="C13" s="41" t="s">
        <v>278</v>
      </c>
      <c r="D13" s="44">
        <f>IFERROR(VLOOKUP(K13,'list rate unit'!$B$6:$K$28,10,FALSE),0)</f>
        <v>8000000</v>
      </c>
      <c r="E13" s="42">
        <v>436</v>
      </c>
      <c r="F13" s="44">
        <f t="shared" si="1"/>
        <v>5014000</v>
      </c>
      <c r="G13" s="42"/>
      <c r="H13" s="45">
        <f t="shared" si="6"/>
        <v>13014000</v>
      </c>
      <c r="I13" s="18"/>
      <c r="J13" s="41"/>
      <c r="K13" s="41" t="str">
        <f>VLOOKUP(L13,'list rate unit'!O:P,2,FALSE)</f>
        <v>LV</v>
      </c>
      <c r="L13" s="41" t="str">
        <f t="shared" si="4"/>
        <v>LV TRITON PUTIH - 12</v>
      </c>
    </row>
    <row r="14" spans="2:12" x14ac:dyDescent="0.3">
      <c r="B14" s="41">
        <f t="shared" si="0"/>
        <v>7</v>
      </c>
      <c r="C14" s="41" t="s">
        <v>279</v>
      </c>
      <c r="D14" s="44">
        <f>IFERROR(VLOOKUP(K14,'list rate unit'!$B$6:$K$28,10,FALSE),0)</f>
        <v>8000000</v>
      </c>
      <c r="E14" s="42">
        <v>400</v>
      </c>
      <c r="F14" s="44">
        <f t="shared" si="1"/>
        <v>4600000</v>
      </c>
      <c r="G14" s="42"/>
      <c r="H14" s="45">
        <f t="shared" si="6"/>
        <v>12600000</v>
      </c>
      <c r="I14" s="18"/>
      <c r="J14" s="41"/>
      <c r="K14" s="41" t="str">
        <f>VLOOKUP(L14,'list rate unit'!O:P,2,FALSE)</f>
        <v>LV</v>
      </c>
      <c r="L14" s="41" t="str">
        <f t="shared" si="4"/>
        <v>LV HILUX SILVER - 17</v>
      </c>
    </row>
    <row r="15" spans="2:12" x14ac:dyDescent="0.3">
      <c r="B15" s="41">
        <f t="shared" si="0"/>
        <v>8</v>
      </c>
      <c r="C15" s="41" t="s">
        <v>280</v>
      </c>
      <c r="D15" s="44">
        <f>IFERROR(VLOOKUP(K15,'list rate unit'!$B$6:$K$28,10,FALSE),0)</f>
        <v>8000000</v>
      </c>
      <c r="E15" s="42">
        <v>297</v>
      </c>
      <c r="F15" s="44">
        <f t="shared" si="1"/>
        <v>3415500</v>
      </c>
      <c r="G15" s="42"/>
      <c r="H15" s="45">
        <f t="shared" ref="H15:H26" si="7">D15+F15</f>
        <v>11415500</v>
      </c>
      <c r="I15" s="18"/>
      <c r="J15" s="41"/>
      <c r="K15" s="41" t="str">
        <f>VLOOKUP(L15,'list rate unit'!O:P,2,FALSE)</f>
        <v>LV</v>
      </c>
      <c r="L15" s="41" t="str">
        <f t="shared" si="4"/>
        <v>LV HILUX HITAM - 18</v>
      </c>
    </row>
    <row r="16" spans="2:12" x14ac:dyDescent="0.3">
      <c r="B16" s="41">
        <f t="shared" si="0"/>
        <v>9</v>
      </c>
      <c r="C16" s="41" t="s">
        <v>281</v>
      </c>
      <c r="D16" s="44">
        <f>IFERROR(VLOOKUP(K16,'list rate unit'!$B$6:$K$28,10,FALSE),0)</f>
        <v>8000000</v>
      </c>
      <c r="E16" s="42">
        <v>68</v>
      </c>
      <c r="F16" s="44">
        <f t="shared" si="1"/>
        <v>782000</v>
      </c>
      <c r="G16" s="42"/>
      <c r="H16" s="45">
        <f t="shared" si="7"/>
        <v>8782000</v>
      </c>
      <c r="I16" s="18"/>
      <c r="J16" s="41"/>
      <c r="K16" s="41" t="str">
        <f>VLOOKUP(L16,'list rate unit'!O:P,2,FALSE)</f>
        <v>LV</v>
      </c>
      <c r="L16" s="41" t="str">
        <f t="shared" si="4"/>
        <v>LV HILUX SILVER - 19</v>
      </c>
    </row>
    <row r="17" spans="2:12" x14ac:dyDescent="0.3">
      <c r="B17" s="41">
        <f t="shared" si="0"/>
        <v>10</v>
      </c>
      <c r="C17" s="41" t="s">
        <v>335</v>
      </c>
      <c r="D17" s="44">
        <f>IFERROR(VLOOKUP(K17,'list rate unit'!$B$6:$K$28,10,FALSE),0)</f>
        <v>8000000</v>
      </c>
      <c r="E17" s="42">
        <v>119</v>
      </c>
      <c r="F17" s="44">
        <f t="shared" si="1"/>
        <v>1368500</v>
      </c>
      <c r="G17" s="42"/>
      <c r="H17" s="45">
        <f t="shared" si="7"/>
        <v>9368500</v>
      </c>
      <c r="I17" s="18"/>
      <c r="J17" s="41"/>
      <c r="K17" s="41" t="str">
        <f>VLOOKUP(L17,'list rate unit'!O:P,2,FALSE)</f>
        <v>LV</v>
      </c>
      <c r="L17" s="41" t="str">
        <f t="shared" si="4"/>
        <v>LV HILUX SILVER - 20</v>
      </c>
    </row>
    <row r="18" spans="2:12" x14ac:dyDescent="0.3">
      <c r="B18" s="41">
        <f t="shared" si="0"/>
        <v>11</v>
      </c>
      <c r="C18" s="41" t="s">
        <v>301</v>
      </c>
      <c r="D18" s="44">
        <f>IFERROR(VLOOKUP(K18,'list rate unit'!$B$6:$K$28,10,FALSE),0)</f>
        <v>8000000</v>
      </c>
      <c r="E18" s="42">
        <v>234</v>
      </c>
      <c r="F18" s="44">
        <f t="shared" si="1"/>
        <v>2691000</v>
      </c>
      <c r="G18" s="42"/>
      <c r="H18" s="45">
        <f t="shared" si="7"/>
        <v>10691000</v>
      </c>
      <c r="I18" s="18"/>
      <c r="J18" s="41"/>
      <c r="K18" s="41" t="str">
        <f>VLOOKUP(L18,'list rate unit'!O:P,2,FALSE)</f>
        <v>LV</v>
      </c>
      <c r="L18" s="41" t="str">
        <f t="shared" si="4"/>
        <v>LV PAJERO SILVER - 21</v>
      </c>
    </row>
    <row r="19" spans="2:12" x14ac:dyDescent="0.3">
      <c r="B19" s="41">
        <f t="shared" si="0"/>
        <v>12</v>
      </c>
      <c r="C19" s="41" t="s">
        <v>228</v>
      </c>
      <c r="D19" s="44">
        <f>IFERROR(VLOOKUP(K19,'list rate unit'!$B$6:$K$28,10,FALSE),0)</f>
        <v>8000000</v>
      </c>
      <c r="E19" s="42">
        <v>190</v>
      </c>
      <c r="F19" s="44">
        <f t="shared" si="1"/>
        <v>2185000</v>
      </c>
      <c r="G19" s="42"/>
      <c r="H19" s="45">
        <f t="shared" si="7"/>
        <v>10185000</v>
      </c>
      <c r="I19" s="18"/>
      <c r="J19" s="41"/>
      <c r="K19" s="41" t="str">
        <f>VLOOKUP(L19,'list rate unit'!O:P,2,FALSE)</f>
        <v>LV</v>
      </c>
      <c r="L19" s="41" t="str">
        <f t="shared" si="4"/>
        <v>LV HILUX PUTIH - 23</v>
      </c>
    </row>
    <row r="20" spans="2:12" x14ac:dyDescent="0.3">
      <c r="B20" s="41">
        <f t="shared" si="0"/>
        <v>13</v>
      </c>
      <c r="C20" s="41" t="s">
        <v>297</v>
      </c>
      <c r="D20" s="44">
        <f>IFERROR(VLOOKUP(K20,'list rate unit'!$B$6:$K$28,10,FALSE),0)</f>
        <v>8000000</v>
      </c>
      <c r="E20" s="42">
        <v>301</v>
      </c>
      <c r="F20" s="44">
        <f t="shared" si="1"/>
        <v>3461500</v>
      </c>
      <c r="G20" s="42"/>
      <c r="H20" s="45">
        <f t="shared" si="7"/>
        <v>11461500</v>
      </c>
      <c r="I20" s="18"/>
      <c r="J20" s="41"/>
      <c r="K20" s="41" t="str">
        <f>VLOOKUP(L20,'list rate unit'!O:P,2,FALSE)</f>
        <v>LV</v>
      </c>
      <c r="L20" s="41" t="str">
        <f t="shared" si="4"/>
        <v>LV LC-HIJAU - 29</v>
      </c>
    </row>
    <row r="21" spans="2:12" x14ac:dyDescent="0.3">
      <c r="B21" s="41">
        <f t="shared" si="0"/>
        <v>14</v>
      </c>
      <c r="C21" s="41" t="s">
        <v>256</v>
      </c>
      <c r="D21" s="44">
        <f>IFERROR(VLOOKUP(K21,'list rate unit'!$B$6:$K$28,10,FALSE),0)</f>
        <v>8000000</v>
      </c>
      <c r="E21" s="42">
        <v>392</v>
      </c>
      <c r="F21" s="44">
        <f t="shared" si="1"/>
        <v>4508000</v>
      </c>
      <c r="G21" s="42"/>
      <c r="H21" s="45">
        <f t="shared" si="7"/>
        <v>12508000</v>
      </c>
      <c r="I21" s="18"/>
      <c r="J21" s="41"/>
      <c r="K21" s="41" t="str">
        <f>VLOOKUP(L21,'list rate unit'!O:P,2,FALSE)</f>
        <v>LV</v>
      </c>
      <c r="L21" s="41" t="str">
        <f t="shared" si="4"/>
        <v>LV TRITON PUTIH (SAFETY) - 30</v>
      </c>
    </row>
    <row r="22" spans="2:12" x14ac:dyDescent="0.3">
      <c r="B22" s="41">
        <f t="shared" si="0"/>
        <v>15</v>
      </c>
      <c r="C22" s="41" t="s">
        <v>283</v>
      </c>
      <c r="D22" s="44">
        <f>IFERROR(VLOOKUP(K22,'list rate unit'!$B$6:$K$28,10,FALSE),0)</f>
        <v>8000000</v>
      </c>
      <c r="E22" s="42">
        <v>378</v>
      </c>
      <c r="F22" s="44">
        <f t="shared" si="1"/>
        <v>4347000</v>
      </c>
      <c r="G22" s="42"/>
      <c r="H22" s="45">
        <f t="shared" si="7"/>
        <v>12347000</v>
      </c>
      <c r="I22" s="18"/>
      <c r="J22" s="41"/>
      <c r="K22" s="41" t="str">
        <f>VLOOKUP(L22,'list rate unit'!O:P,2,FALSE)</f>
        <v>LV</v>
      </c>
      <c r="L22" s="41" t="str">
        <f t="shared" si="4"/>
        <v>LV TRITON PUTIH - 32</v>
      </c>
    </row>
    <row r="23" spans="2:12" x14ac:dyDescent="0.3">
      <c r="B23" s="41">
        <f t="shared" si="0"/>
        <v>16</v>
      </c>
      <c r="C23" s="41" t="s">
        <v>232</v>
      </c>
      <c r="D23" s="44">
        <f>IFERROR(VLOOKUP(K23,'list rate unit'!$B$6:$K$28,10,FALSE),0)</f>
        <v>210000</v>
      </c>
      <c r="E23" s="42">
        <v>287</v>
      </c>
      <c r="F23" s="44">
        <f t="shared" si="1"/>
        <v>3300500</v>
      </c>
      <c r="G23" s="42"/>
      <c r="H23" s="45">
        <f t="shared" ref="H23:H24" si="8">D23+F23</f>
        <v>3510500</v>
      </c>
      <c r="I23" s="18"/>
      <c r="J23" s="41"/>
      <c r="K23" s="41" t="str">
        <f>VLOOKUP(L23,'list rate unit'!O:P,2,FALSE)</f>
        <v>FM 260 Ti</v>
      </c>
      <c r="L23" s="41" t="str">
        <f t="shared" ref="L23:L24" si="9">C23</f>
        <v>MANHAUL - 02</v>
      </c>
    </row>
    <row r="24" spans="2:12" x14ac:dyDescent="0.3">
      <c r="B24" s="41">
        <f t="shared" si="0"/>
        <v>17</v>
      </c>
      <c r="C24" s="41" t="s">
        <v>234</v>
      </c>
      <c r="D24" s="44">
        <f>IFERROR(VLOOKUP(K24,'list rate unit'!$B$6:$K$28,10,FALSE),0)</f>
        <v>210000</v>
      </c>
      <c r="E24" s="42">
        <v>1473</v>
      </c>
      <c r="F24" s="44">
        <f t="shared" si="1"/>
        <v>16939500</v>
      </c>
      <c r="G24" s="42"/>
      <c r="H24" s="45">
        <f t="shared" si="8"/>
        <v>17149500</v>
      </c>
      <c r="I24" s="18"/>
      <c r="J24" s="41"/>
      <c r="K24" s="41" t="str">
        <f>VLOOKUP(L24,'list rate unit'!O:P,2,FALSE)</f>
        <v>FM 260 Ti</v>
      </c>
      <c r="L24" s="41" t="str">
        <f t="shared" si="9"/>
        <v>FUEL TRUCK - 05</v>
      </c>
    </row>
    <row r="25" spans="2:12" x14ac:dyDescent="0.3">
      <c r="B25" s="41">
        <f t="shared" si="0"/>
        <v>18</v>
      </c>
      <c r="C25" s="41" t="s">
        <v>300</v>
      </c>
      <c r="D25" s="44">
        <f>IFERROR(VLOOKUP(K25,'list rate unit'!$B$6:$K$28,10,FALSE),0)</f>
        <v>210000</v>
      </c>
      <c r="E25" s="42">
        <v>1050</v>
      </c>
      <c r="F25" s="44">
        <f t="shared" si="1"/>
        <v>12075000</v>
      </c>
      <c r="G25" s="42"/>
      <c r="H25" s="45">
        <f t="shared" si="7"/>
        <v>12285000</v>
      </c>
      <c r="I25" s="18"/>
      <c r="J25" s="41"/>
      <c r="K25" s="41" t="str">
        <f>VLOOKUP(L25,'list rate unit'!O:P,2,FALSE)</f>
        <v>FM 260 Ti</v>
      </c>
      <c r="L25" s="41" t="str">
        <f t="shared" si="4"/>
        <v>FUEL TRUCK - 06</v>
      </c>
    </row>
    <row r="26" spans="2:12" x14ac:dyDescent="0.3">
      <c r="B26" s="41">
        <f t="shared" si="0"/>
        <v>19</v>
      </c>
      <c r="C26" s="41" t="s">
        <v>291</v>
      </c>
      <c r="D26" s="44">
        <f>IFERROR(VLOOKUP(K26,'list rate unit'!$B$6:$K$28,10,FALSE),0)</f>
        <v>12000000</v>
      </c>
      <c r="E26" s="42">
        <v>48</v>
      </c>
      <c r="F26" s="44">
        <f t="shared" si="1"/>
        <v>552000</v>
      </c>
      <c r="G26" s="42"/>
      <c r="H26" s="45">
        <f t="shared" si="7"/>
        <v>12552000</v>
      </c>
      <c r="I26" s="18"/>
      <c r="J26" s="41"/>
      <c r="K26" s="41" t="str">
        <f>VLOOKUP(L26,'list rate unit'!O:P,2,FALSE)</f>
        <v>LT</v>
      </c>
      <c r="L26" s="41" t="str">
        <f t="shared" si="4"/>
        <v>TRUCK WELDER - LT-04</v>
      </c>
    </row>
    <row r="27" spans="2:12" x14ac:dyDescent="0.3">
      <c r="B27" s="41">
        <f t="shared" si="0"/>
        <v>20</v>
      </c>
      <c r="C27" s="41" t="s">
        <v>235</v>
      </c>
      <c r="D27" s="44">
        <f>IFERROR(VLOOKUP(K27,'list rate unit'!$B$6:$K$28,10,FALSE),0)</f>
        <v>12000000</v>
      </c>
      <c r="E27" s="42">
        <v>343</v>
      </c>
      <c r="F27" s="44">
        <f t="shared" si="1"/>
        <v>3944500</v>
      </c>
      <c r="G27" s="42"/>
      <c r="H27" s="45">
        <f t="shared" ref="H27:H29" si="10">D27+F27</f>
        <v>15944500</v>
      </c>
      <c r="I27" s="18"/>
      <c r="J27" s="41"/>
      <c r="K27" s="41" t="str">
        <f>VLOOKUP(L27,'list rate unit'!O:P,2,FALSE)</f>
        <v>LT</v>
      </c>
      <c r="L27" s="41" t="str">
        <f t="shared" ref="L27:L29" si="11">C27</f>
        <v>TRUCK TYRE - LT-08</v>
      </c>
    </row>
    <row r="28" spans="2:12" x14ac:dyDescent="0.3">
      <c r="B28" s="41">
        <f t="shared" si="0"/>
        <v>21</v>
      </c>
      <c r="C28" s="41" t="s">
        <v>236</v>
      </c>
      <c r="D28" s="44">
        <f>IFERROR(VLOOKUP(K28,'list rate unit'!$B$6:$K$28,10,FALSE),0)</f>
        <v>12000000</v>
      </c>
      <c r="E28" s="42">
        <v>338</v>
      </c>
      <c r="F28" s="44">
        <f t="shared" si="1"/>
        <v>3887000</v>
      </c>
      <c r="G28" s="42"/>
      <c r="H28" s="45">
        <f t="shared" si="10"/>
        <v>15887000</v>
      </c>
      <c r="I28" s="18"/>
      <c r="J28" s="41"/>
      <c r="K28" s="41" t="str">
        <f>VLOOKUP(L28,'list rate unit'!O:P,2,FALSE)</f>
        <v>LT</v>
      </c>
      <c r="L28" s="41" t="str">
        <f t="shared" si="11"/>
        <v>TRUCK MAINTENANCE - LT-09</v>
      </c>
    </row>
    <row r="29" spans="2:12" x14ac:dyDescent="0.3">
      <c r="B29" s="41">
        <f t="shared" si="0"/>
        <v>22</v>
      </c>
      <c r="C29" s="41" t="s">
        <v>287</v>
      </c>
      <c r="D29" s="44">
        <f>IFERROR(VLOOKUP(K29,'list rate unit'!$B$6:$K$28,10,FALSE),0)</f>
        <v>12000000</v>
      </c>
      <c r="E29" s="42">
        <v>466</v>
      </c>
      <c r="F29" s="44">
        <f t="shared" si="1"/>
        <v>5359000</v>
      </c>
      <c r="G29" s="42"/>
      <c r="H29" s="45">
        <f t="shared" si="10"/>
        <v>17359000</v>
      </c>
      <c r="I29" s="18"/>
      <c r="J29" s="41"/>
      <c r="K29" s="41" t="str">
        <f>VLOOKUP(L29,'list rate unit'!O:P,2,FALSE)</f>
        <v>LT</v>
      </c>
      <c r="L29" s="41" t="str">
        <f t="shared" si="11"/>
        <v>TRUCK TYRE - LT-10</v>
      </c>
    </row>
    <row r="30" spans="2:12" x14ac:dyDescent="0.3">
      <c r="D30" s="30"/>
      <c r="E30" s="18"/>
      <c r="F30" s="30"/>
      <c r="G30" s="18"/>
      <c r="H30" s="18"/>
      <c r="I30" s="18"/>
    </row>
    <row r="31" spans="2:12" ht="15.75" customHeight="1" x14ac:dyDescent="0.3">
      <c r="B31" s="246" t="s">
        <v>21</v>
      </c>
      <c r="C31" s="246"/>
      <c r="D31" s="51">
        <f>SUM(D8:D30)</f>
        <v>168630000</v>
      </c>
      <c r="E31" s="46">
        <f>SUM(E8:E30)</f>
        <v>7839</v>
      </c>
      <c r="F31" s="47">
        <f>SUM(F8:F30)</f>
        <v>90148500</v>
      </c>
      <c r="G31" s="46">
        <f>IFERROR(E31/#REF!,0)</f>
        <v>0</v>
      </c>
      <c r="H31" s="48">
        <f>SUM(H8:H30)</f>
        <v>258778500</v>
      </c>
      <c r="I31" s="17"/>
    </row>
    <row r="33" spans="2:10" x14ac:dyDescent="0.3">
      <c r="B33" s="35" t="s">
        <v>34</v>
      </c>
      <c r="C33" s="29">
        <f>'REPORT unit DT HAUL'!C46</f>
        <v>14848</v>
      </c>
    </row>
    <row r="34" spans="2:10" x14ac:dyDescent="0.3">
      <c r="B34" s="35" t="s">
        <v>35</v>
      </c>
      <c r="C34" s="29">
        <f>'SUMMARY 2'!I13</f>
        <v>11500</v>
      </c>
    </row>
    <row r="35" spans="2:10" x14ac:dyDescent="0.3">
      <c r="J35" s="27"/>
    </row>
  </sheetData>
  <mergeCells count="11">
    <mergeCell ref="B31:C31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K1:K7 K30:K1048576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K8:K29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2024-06-05T08:49:31Z</cp:lastPrinted>
  <dcterms:created xsi:type="dcterms:W3CDTF">2019-02-05T01:55:23Z</dcterms:created>
  <dcterms:modified xsi:type="dcterms:W3CDTF">2024-06-05T08:49:32Z</dcterms:modified>
</cp:coreProperties>
</file>