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3\CV_APP\cost production report APP\"/>
    </mc:Choice>
  </mc:AlternateContent>
  <xr:revisionPtr revIDLastSave="0" documentId="13_ncr:1_{457831E0-6F05-4C0D-A3D1-73AA272769B2}" xr6:coauthVersionLast="47" xr6:coauthVersionMax="47" xr10:uidLastSave="{00000000-0000-0000-0000-000000000000}"/>
  <bookViews>
    <workbookView xWindow="-108" yWindow="-108" windowWidth="23256" windowHeight="12456" tabRatio="817" activeTab="2" xr2:uid="{00000000-000D-0000-FFFF-FFFF00000000}"/>
  </bookViews>
  <sheets>
    <sheet name="SUMMARY" sheetId="16" r:id="rId1"/>
    <sheet name="SUMMARY 2" sheetId="11" state="hidden" r:id="rId2"/>
    <sheet name="SUMMARY MTD" sheetId="12" r:id="rId3"/>
    <sheet name="REPORT unit OB" sheetId="4" r:id="rId4"/>
    <sheet name="REPORT unit QUARRY" sheetId="13" r:id="rId5"/>
    <sheet name="REPORT unit DEVELOP" sheetId="14" r:id="rId6"/>
    <sheet name="REPORT unit ORE GETTING" sheetId="15" r:id="rId7"/>
    <sheet name="REPORT unit DT HAUL" sheetId="7" r:id="rId8"/>
    <sheet name="REPORT unit LV &amp; support" sheetId="6" r:id="rId9"/>
    <sheet name="HOUR METER" sheetId="1" state="hidden" r:id="rId10"/>
    <sheet name="FUEL UNIT" sheetId="2" state="hidden" r:id="rId11"/>
    <sheet name="list rate unit" sheetId="5" r:id="rId12"/>
  </sheets>
  <externalReferences>
    <externalReference r:id="rId13"/>
  </externalReferences>
  <definedNames>
    <definedName name="_xlnm._FilterDatabase" localSheetId="11" hidden="1">'list rate unit'!$O$2:$P$2</definedName>
    <definedName name="_xlnm._FilterDatabase" localSheetId="5" hidden="1">'REPORT unit DEVELOP'!$B$7:$O$10</definedName>
    <definedName name="_xlnm._FilterDatabase" localSheetId="7" hidden="1">'REPORT unit DT HAUL'!$B$7:$Q$78</definedName>
    <definedName name="_xlnm._FilterDatabase" localSheetId="3" hidden="1">'REPORT unit OB'!$B$7:$O$40</definedName>
    <definedName name="_xlnm._FilterDatabase" localSheetId="6" hidden="1">'REPORT unit ORE GETTING'!$B$7:$O$32</definedName>
    <definedName name="_xlnm._FilterDatabase" localSheetId="4" hidden="1">'REPORT unit QUARRY'!$B$7:$O$24</definedName>
    <definedName name="_xlnm.Print_Area" localSheetId="0">SUMMARY!$B$2:$L$37</definedName>
    <definedName name="_xlnm.Print_Area" localSheetId="1">'SUMMARY 2'!$B$2:$J$33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6" l="1"/>
  <c r="L25" i="6"/>
  <c r="K25" i="6" s="1"/>
  <c r="D25" i="6" s="1"/>
  <c r="H25" i="6" s="1"/>
  <c r="F26" i="6"/>
  <c r="K26" i="6"/>
  <c r="D26" i="6" s="1"/>
  <c r="H26" i="6" s="1"/>
  <c r="L26" i="6"/>
  <c r="F27" i="6"/>
  <c r="L27" i="6"/>
  <c r="K27" i="6" s="1"/>
  <c r="D27" i="6" s="1"/>
  <c r="H27" i="6" s="1"/>
  <c r="F28" i="6"/>
  <c r="L28" i="6"/>
  <c r="K28" i="6" s="1"/>
  <c r="D28" i="6" s="1"/>
  <c r="H28" i="6" s="1"/>
  <c r="F29" i="6"/>
  <c r="L29" i="6"/>
  <c r="K29" i="6" s="1"/>
  <c r="D29" i="6" s="1"/>
  <c r="H29" i="6" s="1"/>
  <c r="F30" i="6"/>
  <c r="L30" i="6"/>
  <c r="K30" i="6" s="1"/>
  <c r="D30" i="6" s="1"/>
  <c r="H30" i="6" s="1"/>
  <c r="F31" i="6"/>
  <c r="L31" i="6"/>
  <c r="K31" i="6" s="1"/>
  <c r="D31" i="6" s="1"/>
  <c r="H31" i="6" s="1"/>
  <c r="F32" i="6"/>
  <c r="L32" i="6"/>
  <c r="K32" i="6" s="1"/>
  <c r="F33" i="6"/>
  <c r="L33" i="6"/>
  <c r="K33" i="6" s="1"/>
  <c r="D33" i="6" s="1"/>
  <c r="H33" i="6" s="1"/>
  <c r="F34" i="6"/>
  <c r="L34" i="6"/>
  <c r="K34" i="6" s="1"/>
  <c r="D34" i="6" s="1"/>
  <c r="H34" i="6" s="1"/>
  <c r="F56" i="7"/>
  <c r="G56" i="7" s="1"/>
  <c r="I56" i="7"/>
  <c r="J56" i="7"/>
  <c r="K56" i="7"/>
  <c r="L56" i="7"/>
  <c r="N56" i="7"/>
  <c r="Q56" i="7"/>
  <c r="F57" i="7"/>
  <c r="G57" i="7" s="1"/>
  <c r="I57" i="7"/>
  <c r="J57" i="7"/>
  <c r="K57" i="7"/>
  <c r="L57" i="7"/>
  <c r="N57" i="7"/>
  <c r="Q57" i="7"/>
  <c r="F58" i="7"/>
  <c r="G58" i="7" s="1"/>
  <c r="I58" i="7"/>
  <c r="J58" i="7"/>
  <c r="K58" i="7"/>
  <c r="L58" i="7"/>
  <c r="N58" i="7"/>
  <c r="Q58" i="7"/>
  <c r="F59" i="7"/>
  <c r="G59" i="7" s="1"/>
  <c r="I59" i="7"/>
  <c r="J59" i="7"/>
  <c r="K59" i="7"/>
  <c r="L59" i="7"/>
  <c r="N59" i="7"/>
  <c r="Q59" i="7"/>
  <c r="F60" i="7"/>
  <c r="G60" i="7" s="1"/>
  <c r="M60" i="7" s="1"/>
  <c r="I60" i="7"/>
  <c r="J60" i="7"/>
  <c r="K60" i="7"/>
  <c r="L60" i="7"/>
  <c r="N60" i="7"/>
  <c r="Q60" i="7"/>
  <c r="F61" i="7"/>
  <c r="G61" i="7" s="1"/>
  <c r="I61" i="7"/>
  <c r="J61" i="7"/>
  <c r="K61" i="7"/>
  <c r="L61" i="7"/>
  <c r="N61" i="7"/>
  <c r="Q61" i="7"/>
  <c r="F62" i="7"/>
  <c r="G62" i="7" s="1"/>
  <c r="I62" i="7"/>
  <c r="J62" i="7"/>
  <c r="K62" i="7"/>
  <c r="L62" i="7"/>
  <c r="N62" i="7"/>
  <c r="Q62" i="7"/>
  <c r="F63" i="7"/>
  <c r="G63" i="7" s="1"/>
  <c r="I63" i="7"/>
  <c r="J63" i="7"/>
  <c r="K63" i="7"/>
  <c r="L63" i="7"/>
  <c r="N63" i="7"/>
  <c r="Q63" i="7"/>
  <c r="F64" i="7"/>
  <c r="G64" i="7" s="1"/>
  <c r="M64" i="7" s="1"/>
  <c r="I64" i="7"/>
  <c r="J64" i="7"/>
  <c r="K64" i="7"/>
  <c r="L64" i="7"/>
  <c r="N64" i="7"/>
  <c r="Q64" i="7"/>
  <c r="F65" i="7"/>
  <c r="G65" i="7" s="1"/>
  <c r="I65" i="7"/>
  <c r="J65" i="7"/>
  <c r="K65" i="7"/>
  <c r="L65" i="7"/>
  <c r="N65" i="7"/>
  <c r="Q65" i="7"/>
  <c r="F66" i="7"/>
  <c r="G66" i="7" s="1"/>
  <c r="M66" i="7" s="1"/>
  <c r="I66" i="7"/>
  <c r="J66" i="7"/>
  <c r="K66" i="7"/>
  <c r="L66" i="7"/>
  <c r="N66" i="7"/>
  <c r="Q66" i="7"/>
  <c r="F67" i="7"/>
  <c r="G67" i="7" s="1"/>
  <c r="I67" i="7"/>
  <c r="J67" i="7"/>
  <c r="K67" i="7"/>
  <c r="L67" i="7"/>
  <c r="N67" i="7"/>
  <c r="Q67" i="7"/>
  <c r="F68" i="7"/>
  <c r="G68" i="7" s="1"/>
  <c r="I68" i="7"/>
  <c r="J68" i="7"/>
  <c r="K68" i="7"/>
  <c r="L68" i="7"/>
  <c r="N68" i="7"/>
  <c r="Q68" i="7"/>
  <c r="F69" i="7"/>
  <c r="G69" i="7" s="1"/>
  <c r="I69" i="7"/>
  <c r="J69" i="7"/>
  <c r="K69" i="7"/>
  <c r="L69" i="7"/>
  <c r="N69" i="7"/>
  <c r="Q69" i="7"/>
  <c r="F70" i="7"/>
  <c r="G70" i="7" s="1"/>
  <c r="I70" i="7"/>
  <c r="J70" i="7"/>
  <c r="K70" i="7"/>
  <c r="L70" i="7"/>
  <c r="N70" i="7"/>
  <c r="Q70" i="7"/>
  <c r="D80" i="7"/>
  <c r="E80" i="7"/>
  <c r="M62" i="7" l="1"/>
  <c r="M57" i="7"/>
  <c r="M70" i="7"/>
  <c r="M59" i="7"/>
  <c r="M58" i="7"/>
  <c r="M61" i="7"/>
  <c r="M69" i="7"/>
  <c r="M67" i="7"/>
  <c r="M63" i="7"/>
  <c r="M65" i="7"/>
  <c r="M56" i="7"/>
  <c r="M68" i="7"/>
  <c r="H21" i="15"/>
  <c r="I21" i="15"/>
  <c r="N21" i="15"/>
  <c r="M21" i="15" s="1"/>
  <c r="E21" i="15" s="1"/>
  <c r="F21" i="15" s="1"/>
  <c r="H22" i="15"/>
  <c r="I22" i="15"/>
  <c r="N22" i="15"/>
  <c r="M22" i="15" s="1"/>
  <c r="E22" i="15" s="1"/>
  <c r="F22" i="15" s="1"/>
  <c r="J22" i="15" s="1"/>
  <c r="H23" i="15"/>
  <c r="I23" i="15"/>
  <c r="N23" i="15"/>
  <c r="M23" i="15" s="1"/>
  <c r="E23" i="15" s="1"/>
  <c r="F23" i="15" s="1"/>
  <c r="J23" i="15" s="1"/>
  <c r="H24" i="15"/>
  <c r="I24" i="15"/>
  <c r="N24" i="15"/>
  <c r="M24" i="15" s="1"/>
  <c r="E24" i="15" s="1"/>
  <c r="F24" i="15" s="1"/>
  <c r="H25" i="15"/>
  <c r="I25" i="15"/>
  <c r="N25" i="15"/>
  <c r="M25" i="15" s="1"/>
  <c r="E25" i="15" s="1"/>
  <c r="F25" i="15" s="1"/>
  <c r="J25" i="15" s="1"/>
  <c r="H9" i="14"/>
  <c r="I9" i="14"/>
  <c r="N9" i="14"/>
  <c r="M9" i="14" s="1"/>
  <c r="E9" i="14" s="1"/>
  <c r="F9" i="14" s="1"/>
  <c r="G40" i="4"/>
  <c r="H29" i="13"/>
  <c r="G29" i="13"/>
  <c r="D29" i="13"/>
  <c r="H29" i="4"/>
  <c r="I29" i="4"/>
  <c r="N29" i="4"/>
  <c r="M29" i="4" s="1"/>
  <c r="E29" i="4" s="1"/>
  <c r="F29" i="4" s="1"/>
  <c r="H30" i="4"/>
  <c r="I30" i="4"/>
  <c r="M30" i="4"/>
  <c r="E30" i="4" s="1"/>
  <c r="F30" i="4" s="1"/>
  <c r="N30" i="4"/>
  <c r="H31" i="4"/>
  <c r="I31" i="4"/>
  <c r="N31" i="4"/>
  <c r="M31" i="4" s="1"/>
  <c r="E31" i="4" s="1"/>
  <c r="F31" i="4" s="1"/>
  <c r="H32" i="4"/>
  <c r="I32" i="4"/>
  <c r="N32" i="4"/>
  <c r="M32" i="4" s="1"/>
  <c r="E32" i="4" s="1"/>
  <c r="F32" i="4" s="1"/>
  <c r="H33" i="4"/>
  <c r="I33" i="4"/>
  <c r="N33" i="4"/>
  <c r="M33" i="4" s="1"/>
  <c r="E33" i="4" s="1"/>
  <c r="F33" i="4" s="1"/>
  <c r="J24" i="15" l="1"/>
  <c r="J21" i="15"/>
  <c r="J9" i="14"/>
  <c r="J30" i="4"/>
  <c r="J31" i="4"/>
  <c r="J33" i="4"/>
  <c r="J29" i="4"/>
  <c r="J32" i="4"/>
  <c r="H26" i="12" l="1"/>
  <c r="H24" i="12"/>
  <c r="H5" i="12"/>
  <c r="H3" i="12"/>
  <c r="C43" i="4"/>
  <c r="E18" i="16"/>
  <c r="H10" i="12" s="1"/>
  <c r="I33" i="15"/>
  <c r="N33" i="15"/>
  <c r="M33" i="15" s="1"/>
  <c r="E33" i="15" s="1"/>
  <c r="F33" i="15" s="1"/>
  <c r="I34" i="15"/>
  <c r="N34" i="15"/>
  <c r="M34" i="15" s="1"/>
  <c r="E34" i="15" s="1"/>
  <c r="F34" i="15" s="1"/>
  <c r="I35" i="15"/>
  <c r="N35" i="15"/>
  <c r="M35" i="15" s="1"/>
  <c r="E35" i="15" s="1"/>
  <c r="F35" i="15" s="1"/>
  <c r="I36" i="15"/>
  <c r="N36" i="15"/>
  <c r="M36" i="15" s="1"/>
  <c r="E36" i="15" s="1"/>
  <c r="F36" i="15" s="1"/>
  <c r="E25" i="13"/>
  <c r="F25" i="13" s="1"/>
  <c r="H25" i="13"/>
  <c r="I25" i="13"/>
  <c r="N25" i="13"/>
  <c r="E26" i="13"/>
  <c r="F26" i="13" s="1"/>
  <c r="H26" i="13"/>
  <c r="I26" i="13"/>
  <c r="N26" i="13"/>
  <c r="E27" i="13"/>
  <c r="F27" i="13" s="1"/>
  <c r="H27" i="13"/>
  <c r="I27" i="13"/>
  <c r="N27" i="13"/>
  <c r="E11" i="13"/>
  <c r="F11" i="13" s="1"/>
  <c r="I11" i="13"/>
  <c r="N11" i="13"/>
  <c r="E12" i="13"/>
  <c r="F12" i="13" s="1"/>
  <c r="I12" i="13"/>
  <c r="N12" i="13"/>
  <c r="E13" i="13"/>
  <c r="F13" i="13" s="1"/>
  <c r="I13" i="13"/>
  <c r="N13" i="13"/>
  <c r="E14" i="13"/>
  <c r="F14" i="13" s="1"/>
  <c r="I14" i="13"/>
  <c r="N14" i="13"/>
  <c r="E15" i="13"/>
  <c r="F15" i="13" s="1"/>
  <c r="I15" i="13"/>
  <c r="N15" i="13"/>
  <c r="E16" i="13"/>
  <c r="F16" i="13" s="1"/>
  <c r="I16" i="13"/>
  <c r="N16" i="13"/>
  <c r="E17" i="13"/>
  <c r="F17" i="13" s="1"/>
  <c r="I17" i="13"/>
  <c r="N17" i="13"/>
  <c r="E18" i="13"/>
  <c r="F18" i="13" s="1"/>
  <c r="I18" i="13"/>
  <c r="N18" i="13"/>
  <c r="E19" i="13"/>
  <c r="F19" i="13" s="1"/>
  <c r="I19" i="13"/>
  <c r="N19" i="13"/>
  <c r="E20" i="13"/>
  <c r="F20" i="13" s="1"/>
  <c r="I20" i="13"/>
  <c r="N20" i="13"/>
  <c r="E21" i="13"/>
  <c r="F21" i="13" s="1"/>
  <c r="I21" i="13"/>
  <c r="N21" i="13"/>
  <c r="E22" i="13"/>
  <c r="F22" i="13" s="1"/>
  <c r="I22" i="13"/>
  <c r="N22" i="13"/>
  <c r="E23" i="13"/>
  <c r="F23" i="13" s="1"/>
  <c r="I23" i="13"/>
  <c r="N23" i="13"/>
  <c r="E24" i="13"/>
  <c r="F24" i="13" s="1"/>
  <c r="I24" i="13"/>
  <c r="N24" i="13"/>
  <c r="D13" i="16"/>
  <c r="F44" i="7"/>
  <c r="G44" i="7" s="1"/>
  <c r="J44" i="7"/>
  <c r="K44" i="7"/>
  <c r="L44" i="7"/>
  <c r="N44" i="7"/>
  <c r="Q44" i="7"/>
  <c r="F45" i="7"/>
  <c r="G45" i="7" s="1"/>
  <c r="J45" i="7"/>
  <c r="K45" i="7"/>
  <c r="L45" i="7"/>
  <c r="N45" i="7"/>
  <c r="Q45" i="7"/>
  <c r="F46" i="7"/>
  <c r="G46" i="7" s="1"/>
  <c r="J46" i="7"/>
  <c r="K46" i="7"/>
  <c r="L46" i="7"/>
  <c r="N46" i="7"/>
  <c r="Q46" i="7"/>
  <c r="F47" i="7"/>
  <c r="G47" i="7" s="1"/>
  <c r="J47" i="7"/>
  <c r="K47" i="7"/>
  <c r="L47" i="7"/>
  <c r="N47" i="7"/>
  <c r="Q47" i="7"/>
  <c r="F48" i="7"/>
  <c r="G48" i="7" s="1"/>
  <c r="J48" i="7"/>
  <c r="K48" i="7"/>
  <c r="L48" i="7"/>
  <c r="N48" i="7"/>
  <c r="Q48" i="7"/>
  <c r="F49" i="7"/>
  <c r="G49" i="7" s="1"/>
  <c r="J49" i="7"/>
  <c r="K49" i="7"/>
  <c r="L49" i="7"/>
  <c r="N49" i="7"/>
  <c r="Q49" i="7"/>
  <c r="F50" i="7"/>
  <c r="G50" i="7" s="1"/>
  <c r="J50" i="7"/>
  <c r="K50" i="7"/>
  <c r="L50" i="7"/>
  <c r="N50" i="7"/>
  <c r="Q50" i="7"/>
  <c r="F51" i="7"/>
  <c r="G51" i="7" s="1"/>
  <c r="J51" i="7"/>
  <c r="K51" i="7"/>
  <c r="L51" i="7"/>
  <c r="N51" i="7"/>
  <c r="Q51" i="7"/>
  <c r="F52" i="7"/>
  <c r="G52" i="7" s="1"/>
  <c r="J52" i="7"/>
  <c r="K52" i="7"/>
  <c r="L52" i="7"/>
  <c r="N52" i="7"/>
  <c r="Q52" i="7"/>
  <c r="F53" i="7"/>
  <c r="G53" i="7" s="1"/>
  <c r="J53" i="7"/>
  <c r="K53" i="7"/>
  <c r="L53" i="7"/>
  <c r="N53" i="7"/>
  <c r="Q53" i="7"/>
  <c r="F54" i="7"/>
  <c r="G54" i="7" s="1"/>
  <c r="J54" i="7"/>
  <c r="K54" i="7"/>
  <c r="L54" i="7"/>
  <c r="N54" i="7"/>
  <c r="Q54" i="7"/>
  <c r="F55" i="7"/>
  <c r="G55" i="7" s="1"/>
  <c r="J55" i="7"/>
  <c r="K55" i="7"/>
  <c r="L55" i="7"/>
  <c r="N55" i="7"/>
  <c r="Q55" i="7"/>
  <c r="F71" i="7"/>
  <c r="G71" i="7" s="1"/>
  <c r="J71" i="7"/>
  <c r="K71" i="7"/>
  <c r="L71" i="7"/>
  <c r="N71" i="7"/>
  <c r="Q71" i="7"/>
  <c r="F72" i="7"/>
  <c r="G72" i="7" s="1"/>
  <c r="J72" i="7"/>
  <c r="K72" i="7"/>
  <c r="L72" i="7"/>
  <c r="N72" i="7"/>
  <c r="Q72" i="7"/>
  <c r="F73" i="7"/>
  <c r="G73" i="7" s="1"/>
  <c r="J73" i="7"/>
  <c r="K73" i="7"/>
  <c r="L73" i="7"/>
  <c r="N73" i="7"/>
  <c r="Q73" i="7"/>
  <c r="F74" i="7"/>
  <c r="G74" i="7" s="1"/>
  <c r="J74" i="7"/>
  <c r="K74" i="7"/>
  <c r="L74" i="7"/>
  <c r="N74" i="7"/>
  <c r="Q74" i="7"/>
  <c r="F75" i="7"/>
  <c r="G75" i="7" s="1"/>
  <c r="J75" i="7"/>
  <c r="K75" i="7"/>
  <c r="L75" i="7"/>
  <c r="N75" i="7"/>
  <c r="Q75" i="7"/>
  <c r="F76" i="7"/>
  <c r="G76" i="7" s="1"/>
  <c r="J76" i="7"/>
  <c r="K76" i="7"/>
  <c r="L76" i="7"/>
  <c r="N76" i="7"/>
  <c r="Q76" i="7"/>
  <c r="F77" i="7"/>
  <c r="G77" i="7" s="1"/>
  <c r="J77" i="7"/>
  <c r="K77" i="7"/>
  <c r="L77" i="7"/>
  <c r="N77" i="7"/>
  <c r="Q77" i="7"/>
  <c r="F78" i="7"/>
  <c r="G78" i="7" s="1"/>
  <c r="J78" i="7"/>
  <c r="K78" i="7"/>
  <c r="L78" i="7"/>
  <c r="N78" i="7"/>
  <c r="Q78" i="7"/>
  <c r="J27" i="13" l="1"/>
  <c r="J26" i="13"/>
  <c r="J25" i="13"/>
  <c r="D23" i="12"/>
  <c r="C23" i="12" l="1"/>
  <c r="F18" i="16" l="1"/>
  <c r="F12" i="16"/>
  <c r="H9" i="12" s="1"/>
  <c r="J10" i="16"/>
  <c r="H25" i="12" s="1"/>
  <c r="F10" i="16"/>
  <c r="H7" i="12" s="1"/>
  <c r="D22" i="12"/>
  <c r="D20" i="12"/>
  <c r="D19" i="12"/>
  <c r="D21" i="12" s="1"/>
  <c r="I30" i="15"/>
  <c r="N30" i="15"/>
  <c r="M30" i="15" s="1"/>
  <c r="E30" i="15" s="1"/>
  <c r="F30" i="15" s="1"/>
  <c r="I31" i="15"/>
  <c r="N31" i="15"/>
  <c r="M31" i="15" s="1"/>
  <c r="E31" i="15" s="1"/>
  <c r="F31" i="15" s="1"/>
  <c r="E10" i="13"/>
  <c r="F10" i="13" s="1"/>
  <c r="I10" i="13"/>
  <c r="N10" i="13"/>
  <c r="I28" i="4"/>
  <c r="N28" i="4"/>
  <c r="M28" i="4" s="1"/>
  <c r="E28" i="4" s="1"/>
  <c r="F28" i="4" s="1"/>
  <c r="I34" i="4"/>
  <c r="N34" i="4"/>
  <c r="M34" i="4" s="1"/>
  <c r="E34" i="4" s="1"/>
  <c r="F34" i="4" s="1"/>
  <c r="I35" i="4"/>
  <c r="N35" i="4"/>
  <c r="M35" i="4" s="1"/>
  <c r="E35" i="4" s="1"/>
  <c r="F35" i="4" s="1"/>
  <c r="I36" i="4"/>
  <c r="N36" i="4"/>
  <c r="M36" i="4" s="1"/>
  <c r="E36" i="4" s="1"/>
  <c r="F36" i="4" s="1"/>
  <c r="I37" i="4"/>
  <c r="N37" i="4"/>
  <c r="M37" i="4" s="1"/>
  <c r="E37" i="4" s="1"/>
  <c r="F37" i="4" s="1"/>
  <c r="I38" i="4"/>
  <c r="N38" i="4"/>
  <c r="M38" i="4" s="1"/>
  <c r="E38" i="4" s="1"/>
  <c r="F38" i="4" s="1"/>
  <c r="O7" i="12" l="1"/>
  <c r="O9" i="12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8" i="7"/>
  <c r="K27" i="5"/>
  <c r="D32" i="6" s="1"/>
  <c r="H32" i="6" s="1"/>
  <c r="N80" i="7" l="1"/>
  <c r="N8" i="14"/>
  <c r="M8" i="14" s="1"/>
  <c r="E8" i="14" s="1"/>
  <c r="F8" i="14" s="1"/>
  <c r="I8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3" i="6"/>
  <c r="K23" i="6" s="1"/>
  <c r="D23" i="6" s="1"/>
  <c r="L24" i="6"/>
  <c r="K24" i="6" s="1"/>
  <c r="D24" i="6" s="1"/>
  <c r="L35" i="6"/>
  <c r="K35" i="6" s="1"/>
  <c r="D35" i="6" s="1"/>
  <c r="L36" i="6"/>
  <c r="K36" i="6" s="1"/>
  <c r="D36" i="6" s="1"/>
  <c r="L37" i="6"/>
  <c r="K37" i="6" s="1"/>
  <c r="D37" i="6" s="1"/>
  <c r="L38" i="6"/>
  <c r="K38" i="6" s="1"/>
  <c r="D38" i="6" s="1"/>
  <c r="L39" i="6"/>
  <c r="K39" i="6" s="1"/>
  <c r="D39" i="6" s="1"/>
  <c r="L40" i="6"/>
  <c r="K40" i="6" s="1"/>
  <c r="D40" i="6" s="1"/>
  <c r="E44" i="6"/>
  <c r="D40" i="4" l="1"/>
  <c r="C20" i="12" l="1"/>
  <c r="G44" i="6"/>
  <c r="C41" i="15" l="1"/>
  <c r="C40" i="15"/>
  <c r="G38" i="15"/>
  <c r="D38" i="15"/>
  <c r="N32" i="15"/>
  <c r="M32" i="15" s="1"/>
  <c r="E32" i="15" s="1"/>
  <c r="F32" i="15" s="1"/>
  <c r="I32" i="15"/>
  <c r="N29" i="15"/>
  <c r="M29" i="15" s="1"/>
  <c r="E29" i="15" s="1"/>
  <c r="F29" i="15" s="1"/>
  <c r="I29" i="15"/>
  <c r="N28" i="15"/>
  <c r="M28" i="15" s="1"/>
  <c r="E28" i="15" s="1"/>
  <c r="F28" i="15" s="1"/>
  <c r="I28" i="15"/>
  <c r="N27" i="15"/>
  <c r="M27" i="15" s="1"/>
  <c r="E27" i="15" s="1"/>
  <c r="F27" i="15" s="1"/>
  <c r="I27" i="15"/>
  <c r="N26" i="15"/>
  <c r="M26" i="15" s="1"/>
  <c r="E26" i="15" s="1"/>
  <c r="F26" i="15" s="1"/>
  <c r="I26" i="15"/>
  <c r="N20" i="15"/>
  <c r="M20" i="15" s="1"/>
  <c r="E20" i="15" s="1"/>
  <c r="F20" i="15" s="1"/>
  <c r="I20" i="15"/>
  <c r="N19" i="15"/>
  <c r="M19" i="15" s="1"/>
  <c r="E19" i="15" s="1"/>
  <c r="F19" i="15" s="1"/>
  <c r="I19" i="15"/>
  <c r="H19" i="15"/>
  <c r="N18" i="15"/>
  <c r="M18" i="15" s="1"/>
  <c r="E18" i="15" s="1"/>
  <c r="F18" i="15" s="1"/>
  <c r="I18" i="15"/>
  <c r="N17" i="15"/>
  <c r="M17" i="15" s="1"/>
  <c r="E17" i="15" s="1"/>
  <c r="F17" i="15" s="1"/>
  <c r="I17" i="15"/>
  <c r="N16" i="15"/>
  <c r="M16" i="15" s="1"/>
  <c r="E16" i="15" s="1"/>
  <c r="F16" i="15" s="1"/>
  <c r="I16" i="15"/>
  <c r="N15" i="15"/>
  <c r="M15" i="15" s="1"/>
  <c r="E15" i="15" s="1"/>
  <c r="F15" i="15" s="1"/>
  <c r="I15" i="15"/>
  <c r="N14" i="15"/>
  <c r="M14" i="15" s="1"/>
  <c r="E14" i="15" s="1"/>
  <c r="F14" i="15" s="1"/>
  <c r="I14" i="15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F8" i="15" s="1"/>
  <c r="I8" i="15"/>
  <c r="C15" i="14"/>
  <c r="H8" i="14" s="1"/>
  <c r="J8" i="14" s="1"/>
  <c r="C14" i="14"/>
  <c r="G12" i="14"/>
  <c r="D12" i="14"/>
  <c r="N10" i="14"/>
  <c r="M10" i="14" s="1"/>
  <c r="E10" i="14" s="1"/>
  <c r="I10" i="14"/>
  <c r="N9" i="13"/>
  <c r="I9" i="13"/>
  <c r="E9" i="13"/>
  <c r="F9" i="13" s="1"/>
  <c r="N8" i="13"/>
  <c r="I8" i="13"/>
  <c r="E8" i="13"/>
  <c r="F8" i="13" l="1"/>
  <c r="F29" i="13" s="1"/>
  <c r="E29" i="13"/>
  <c r="H34" i="15"/>
  <c r="J34" i="15" s="1"/>
  <c r="H35" i="15"/>
  <c r="J35" i="15" s="1"/>
  <c r="H33" i="15"/>
  <c r="J33" i="15" s="1"/>
  <c r="H36" i="15"/>
  <c r="J36" i="15" s="1"/>
  <c r="H29" i="15"/>
  <c r="H30" i="15"/>
  <c r="J30" i="15" s="1"/>
  <c r="H31" i="15"/>
  <c r="J31" i="15" s="1"/>
  <c r="H28" i="15"/>
  <c r="E12" i="14"/>
  <c r="H8" i="15"/>
  <c r="J8" i="15" s="1"/>
  <c r="H12" i="15"/>
  <c r="J12" i="15" s="1"/>
  <c r="H16" i="15"/>
  <c r="J16" i="15" s="1"/>
  <c r="H20" i="15"/>
  <c r="J20" i="15" s="1"/>
  <c r="H10" i="15"/>
  <c r="J10" i="15" s="1"/>
  <c r="H14" i="15"/>
  <c r="J14" i="15" s="1"/>
  <c r="H13" i="15"/>
  <c r="J13" i="15" s="1"/>
  <c r="H18" i="15"/>
  <c r="J18" i="15" s="1"/>
  <c r="H9" i="15"/>
  <c r="J9" i="15" s="1"/>
  <c r="H17" i="15"/>
  <c r="J17" i="15" s="1"/>
  <c r="H32" i="15"/>
  <c r="J32" i="15" s="1"/>
  <c r="H27" i="15"/>
  <c r="J27" i="15" s="1"/>
  <c r="H26" i="15"/>
  <c r="J26" i="15" s="1"/>
  <c r="H11" i="15"/>
  <c r="J11" i="15" s="1"/>
  <c r="H15" i="15"/>
  <c r="J15" i="15" s="1"/>
  <c r="F10" i="14"/>
  <c r="F12" i="14" s="1"/>
  <c r="H10" i="14"/>
  <c r="J29" i="15"/>
  <c r="J19" i="15"/>
  <c r="J28" i="15"/>
  <c r="I38" i="15"/>
  <c r="F38" i="15"/>
  <c r="E38" i="15"/>
  <c r="I12" i="14"/>
  <c r="I29" i="13"/>
  <c r="J10" i="14" l="1"/>
  <c r="J12" i="14" s="1"/>
  <c r="H12" i="14"/>
  <c r="H38" i="15"/>
  <c r="J38" i="15"/>
  <c r="E20" i="11" l="1"/>
  <c r="D24" i="16"/>
  <c r="H13" i="12" s="1"/>
  <c r="E21" i="11"/>
  <c r="D25" i="16"/>
  <c r="H14" i="12" s="1"/>
  <c r="L11" i="6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L41" i="6"/>
  <c r="L42" i="6"/>
  <c r="C32" i="13"/>
  <c r="C31" i="13"/>
  <c r="H16" i="13" l="1"/>
  <c r="J16" i="13" s="1"/>
  <c r="H19" i="13"/>
  <c r="J19" i="13" s="1"/>
  <c r="H11" i="13"/>
  <c r="J11" i="13" s="1"/>
  <c r="H22" i="13"/>
  <c r="J22" i="13" s="1"/>
  <c r="H14" i="13"/>
  <c r="J14" i="13" s="1"/>
  <c r="H17" i="13"/>
  <c r="J17" i="13" s="1"/>
  <c r="H24" i="13"/>
  <c r="J24" i="13" s="1"/>
  <c r="H20" i="13"/>
  <c r="J20" i="13" s="1"/>
  <c r="H12" i="13"/>
  <c r="J12" i="13" s="1"/>
  <c r="H23" i="13"/>
  <c r="J23" i="13" s="1"/>
  <c r="H18" i="13"/>
  <c r="J18" i="13" s="1"/>
  <c r="H21" i="13"/>
  <c r="J21" i="13" s="1"/>
  <c r="H15" i="13"/>
  <c r="J15" i="13" s="1"/>
  <c r="H13" i="13"/>
  <c r="J13" i="13" s="1"/>
  <c r="H10" i="13"/>
  <c r="J10" i="13" s="1"/>
  <c r="K42" i="6"/>
  <c r="D42" i="6" s="1"/>
  <c r="K41" i="6"/>
  <c r="D41" i="6" s="1"/>
  <c r="H9" i="13"/>
  <c r="J9" i="13" s="1"/>
  <c r="H8" i="13"/>
  <c r="I18" i="4"/>
  <c r="N18" i="4"/>
  <c r="M18" i="4" s="1"/>
  <c r="E18" i="4" s="1"/>
  <c r="F18" i="4" s="1"/>
  <c r="I19" i="4"/>
  <c r="N19" i="4"/>
  <c r="M19" i="4" s="1"/>
  <c r="E19" i="4" s="1"/>
  <c r="F19" i="4" s="1"/>
  <c r="J8" i="13" l="1"/>
  <c r="J29" i="13" s="1"/>
  <c r="N27" i="4"/>
  <c r="M27" i="4" s="1"/>
  <c r="E27" i="4" s="1"/>
  <c r="F27" i="4" s="1"/>
  <c r="I27" i="4"/>
  <c r="N26" i="4"/>
  <c r="M26" i="4" s="1"/>
  <c r="E26" i="4" s="1"/>
  <c r="F26" i="4" s="1"/>
  <c r="I26" i="4"/>
  <c r="N25" i="4"/>
  <c r="M25" i="4" s="1"/>
  <c r="E25" i="4" s="1"/>
  <c r="F25" i="4" s="1"/>
  <c r="I25" i="4"/>
  <c r="N24" i="4"/>
  <c r="M24" i="4" s="1"/>
  <c r="E24" i="4" s="1"/>
  <c r="F24" i="4" s="1"/>
  <c r="I24" i="4"/>
  <c r="N23" i="4"/>
  <c r="M23" i="4" s="1"/>
  <c r="E23" i="4" s="1"/>
  <c r="F23" i="4" s="1"/>
  <c r="I23" i="4"/>
  <c r="N22" i="4"/>
  <c r="M22" i="4" s="1"/>
  <c r="E22" i="4" s="1"/>
  <c r="F22" i="4" s="1"/>
  <c r="I22" i="4"/>
  <c r="N21" i="4"/>
  <c r="M21" i="4" s="1"/>
  <c r="E21" i="4" s="1"/>
  <c r="F21" i="4" s="1"/>
  <c r="I21" i="4"/>
  <c r="N20" i="4"/>
  <c r="M20" i="4" s="1"/>
  <c r="E20" i="4" s="1"/>
  <c r="F20" i="4" s="1"/>
  <c r="I20" i="4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E19" i="11" l="1"/>
  <c r="D23" i="16"/>
  <c r="H12" i="12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7" i="7"/>
  <c r="K37" i="7"/>
  <c r="L37" i="7"/>
  <c r="Q37" i="7"/>
  <c r="J38" i="7"/>
  <c r="K38" i="7"/>
  <c r="L38" i="7"/>
  <c r="Q38" i="7"/>
  <c r="J39" i="7"/>
  <c r="K39" i="7"/>
  <c r="L39" i="7"/>
  <c r="Q39" i="7"/>
  <c r="J40" i="7"/>
  <c r="K40" i="7"/>
  <c r="L40" i="7"/>
  <c r="Q40" i="7"/>
  <c r="J41" i="7"/>
  <c r="K41" i="7"/>
  <c r="L41" i="7"/>
  <c r="Q41" i="7"/>
  <c r="J42" i="7"/>
  <c r="K42" i="7"/>
  <c r="L42" i="7"/>
  <c r="Q42" i="7"/>
  <c r="J43" i="7"/>
  <c r="K43" i="7"/>
  <c r="L43" i="7"/>
  <c r="Q43" i="7"/>
  <c r="C22" i="12" l="1"/>
  <c r="C19" i="12"/>
  <c r="C21" i="12" s="1"/>
  <c r="C47" i="6" l="1"/>
  <c r="L10" i="6"/>
  <c r="K10" i="6" s="1"/>
  <c r="D10" i="6" s="1"/>
  <c r="C84" i="7"/>
  <c r="I49" i="7" l="1"/>
  <c r="M49" i="7" s="1"/>
  <c r="I72" i="7"/>
  <c r="M72" i="7" s="1"/>
  <c r="I47" i="7"/>
  <c r="M47" i="7" s="1"/>
  <c r="I74" i="7"/>
  <c r="M74" i="7" s="1"/>
  <c r="I75" i="7"/>
  <c r="M75" i="7" s="1"/>
  <c r="I44" i="7"/>
  <c r="M44" i="7" s="1"/>
  <c r="I45" i="7"/>
  <c r="M45" i="7" s="1"/>
  <c r="I54" i="7"/>
  <c r="M54" i="7" s="1"/>
  <c r="I77" i="7"/>
  <c r="M77" i="7" s="1"/>
  <c r="I51" i="7"/>
  <c r="M51" i="7" s="1"/>
  <c r="I52" i="7"/>
  <c r="M52" i="7" s="1"/>
  <c r="I50" i="7"/>
  <c r="M50" i="7" s="1"/>
  <c r="I73" i="7"/>
  <c r="M73" i="7" s="1"/>
  <c r="I78" i="7"/>
  <c r="M78" i="7" s="1"/>
  <c r="I48" i="7"/>
  <c r="M48" i="7" s="1"/>
  <c r="I71" i="7"/>
  <c r="M71" i="7" s="1"/>
  <c r="I53" i="7"/>
  <c r="M53" i="7" s="1"/>
  <c r="I76" i="7"/>
  <c r="M76" i="7" s="1"/>
  <c r="I46" i="7"/>
  <c r="M46" i="7" s="1"/>
  <c r="I55" i="7"/>
  <c r="M55" i="7" s="1"/>
  <c r="H38" i="4"/>
  <c r="J38" i="4" s="1"/>
  <c r="H28" i="4"/>
  <c r="J28" i="4" s="1"/>
  <c r="H34" i="4"/>
  <c r="J34" i="4" s="1"/>
  <c r="H35" i="4"/>
  <c r="J35" i="4" s="1"/>
  <c r="H36" i="4"/>
  <c r="J36" i="4" s="1"/>
  <c r="H37" i="4"/>
  <c r="J37" i="4" s="1"/>
  <c r="F39" i="6"/>
  <c r="H39" i="6" s="1"/>
  <c r="F15" i="6"/>
  <c r="H15" i="6" s="1"/>
  <c r="F40" i="6"/>
  <c r="H40" i="6" s="1"/>
  <c r="F16" i="6"/>
  <c r="H16" i="6" s="1"/>
  <c r="F37" i="6"/>
  <c r="H37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35" i="6"/>
  <c r="H35" i="6" s="1"/>
  <c r="F36" i="6"/>
  <c r="H36" i="6" s="1"/>
  <c r="F24" i="6"/>
  <c r="H24" i="6" s="1"/>
  <c r="F38" i="6"/>
  <c r="H38" i="6" s="1"/>
  <c r="F13" i="6"/>
  <c r="H13" i="6" s="1"/>
  <c r="F42" i="6"/>
  <c r="H42" i="6" s="1"/>
  <c r="F14" i="6"/>
  <c r="H14" i="6" s="1"/>
  <c r="F11" i="6"/>
  <c r="H11" i="6" s="1"/>
  <c r="F41" i="6"/>
  <c r="H41" i="6" s="1"/>
  <c r="F12" i="6"/>
  <c r="H12" i="6" s="1"/>
  <c r="H19" i="4"/>
  <c r="J19" i="4" s="1"/>
  <c r="H18" i="4"/>
  <c r="J18" i="4" s="1"/>
  <c r="H13" i="4"/>
  <c r="J13" i="4" s="1"/>
  <c r="H27" i="4"/>
  <c r="J27" i="4" s="1"/>
  <c r="H22" i="4"/>
  <c r="J22" i="4" s="1"/>
  <c r="H15" i="4"/>
  <c r="J15" i="4" s="1"/>
  <c r="H10" i="4"/>
  <c r="J10" i="4" s="1"/>
  <c r="H24" i="4"/>
  <c r="J24" i="4" s="1"/>
  <c r="H17" i="4"/>
  <c r="J17" i="4" s="1"/>
  <c r="H12" i="4"/>
  <c r="J12" i="4" s="1"/>
  <c r="H23" i="4"/>
  <c r="J23" i="4" s="1"/>
  <c r="H21" i="4"/>
  <c r="J21" i="4" s="1"/>
  <c r="H14" i="4"/>
  <c r="J14" i="4" s="1"/>
  <c r="H9" i="4"/>
  <c r="J9" i="4" s="1"/>
  <c r="H16" i="4"/>
  <c r="J16" i="4" s="1"/>
  <c r="H11" i="4"/>
  <c r="J11" i="4" s="1"/>
  <c r="H26" i="4"/>
  <c r="J26" i="4" s="1"/>
  <c r="H25" i="4"/>
  <c r="J25" i="4" s="1"/>
  <c r="H20" i="4"/>
  <c r="J20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40" i="7"/>
  <c r="M40" i="7" s="1"/>
  <c r="I41" i="7"/>
  <c r="M41" i="7" s="1"/>
  <c r="I43" i="7"/>
  <c r="M43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39" i="7"/>
  <c r="M39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38" i="7"/>
  <c r="M38" i="7" s="1"/>
  <c r="I42" i="7"/>
  <c r="M42" i="7" s="1"/>
  <c r="I21" i="7"/>
  <c r="M21" i="7" s="1"/>
  <c r="I13" i="7"/>
  <c r="M13" i="7" s="1"/>
  <c r="I29" i="7"/>
  <c r="M29" i="7" s="1"/>
  <c r="I37" i="7"/>
  <c r="M37" i="7" s="1"/>
  <c r="O5" i="12" l="1"/>
  <c r="A12" i="12"/>
  <c r="A13" i="12"/>
  <c r="A14" i="12"/>
  <c r="A15" i="12"/>
  <c r="A16" i="12"/>
  <c r="A11" i="12"/>
  <c r="I10" i="11"/>
  <c r="O14" i="12" l="1"/>
  <c r="A30" i="12" l="1"/>
  <c r="O26" i="12"/>
  <c r="O25" i="12"/>
  <c r="O24" i="12"/>
  <c r="O13" i="12"/>
  <c r="O12" i="12"/>
  <c r="O10" i="12"/>
  <c r="O3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10" i="11" l="1"/>
  <c r="E28" i="11" s="1"/>
  <c r="E11" i="16"/>
  <c r="H4" i="12" s="1"/>
  <c r="E12" i="11" l="1"/>
  <c r="I20" i="11"/>
  <c r="I21" i="11"/>
  <c r="I19" i="11"/>
  <c r="O4" i="12"/>
  <c r="O6" i="12" s="1"/>
  <c r="J24" i="16"/>
  <c r="K24" i="16" s="1"/>
  <c r="E13" i="16"/>
  <c r="H6" i="12" s="1"/>
  <c r="D31" i="16"/>
  <c r="H18" i="12" s="1"/>
  <c r="J25" i="16"/>
  <c r="K25" i="16" s="1"/>
  <c r="F11" i="16"/>
  <c r="H8" i="12" s="1"/>
  <c r="J23" i="16"/>
  <c r="K23" i="16" s="1"/>
  <c r="J21" i="11"/>
  <c r="J20" i="11"/>
  <c r="J19" i="11"/>
  <c r="O8" i="12" l="1"/>
  <c r="F13" i="16"/>
  <c r="O18" i="12"/>
  <c r="F29" i="2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80" i="7" l="1"/>
  <c r="AK29" i="2" l="1"/>
  <c r="K80" i="7" l="1"/>
  <c r="D36" i="1" l="1"/>
  <c r="D35" i="1" l="1"/>
  <c r="D34" i="1"/>
  <c r="D32" i="1"/>
  <c r="D33" i="1"/>
  <c r="L8" i="6"/>
  <c r="K8" i="6" s="1"/>
  <c r="D8" i="6" s="1"/>
  <c r="D44" i="6" s="1"/>
  <c r="N8" i="4"/>
  <c r="M8" i="4" s="1"/>
  <c r="E8" i="4" s="1"/>
  <c r="AK4" i="2"/>
  <c r="F8" i="4" l="1"/>
  <c r="E40" i="4"/>
  <c r="AK30" i="2"/>
  <c r="H8" i="4"/>
  <c r="AK5" i="1"/>
  <c r="AK4" i="1"/>
  <c r="F8" i="6"/>
  <c r="F44" i="6" s="1"/>
  <c r="AK29" i="1" l="1"/>
  <c r="H8" i="6"/>
  <c r="H80" i="7"/>
  <c r="J18" i="16" s="1"/>
  <c r="J8" i="4"/>
  <c r="J40" i="4" s="1"/>
  <c r="D22" i="16" s="1"/>
  <c r="H11" i="12" s="1"/>
  <c r="I8" i="4"/>
  <c r="E39" i="2"/>
  <c r="E41" i="2" s="1"/>
  <c r="H27" i="12" l="1"/>
  <c r="H22" i="12" s="1"/>
  <c r="E14" i="16"/>
  <c r="F14" i="16" s="1"/>
  <c r="H23" i="12" s="1"/>
  <c r="J22" i="16"/>
  <c r="K22" i="16" s="1"/>
  <c r="J19" i="16"/>
  <c r="H28" i="12" s="1"/>
  <c r="I15" i="11"/>
  <c r="H44" i="6"/>
  <c r="H40" i="4"/>
  <c r="E18" i="11"/>
  <c r="M80" i="7"/>
  <c r="L80" i="7"/>
  <c r="I80" i="7"/>
  <c r="D38" i="1"/>
  <c r="D40" i="1" s="1"/>
  <c r="J80" i="7"/>
  <c r="O28" i="12" l="1"/>
  <c r="O23" i="12"/>
  <c r="O27" i="12"/>
  <c r="O22" i="12" s="1"/>
  <c r="E22" i="11"/>
  <c r="D26" i="16"/>
  <c r="H15" i="12" s="1"/>
  <c r="E23" i="11"/>
  <c r="I23" i="11" s="1"/>
  <c r="J23" i="11" s="1"/>
  <c r="D27" i="16"/>
  <c r="H16" i="12" s="1"/>
  <c r="I18" i="11"/>
  <c r="O11" i="12"/>
  <c r="F40" i="4"/>
  <c r="I40" i="4"/>
  <c r="O16" i="12" l="1"/>
  <c r="J26" i="16"/>
  <c r="K26" i="16" s="1"/>
  <c r="O15" i="12"/>
  <c r="I22" i="11"/>
  <c r="J22" i="11" s="1"/>
  <c r="J27" i="16"/>
  <c r="D30" i="16"/>
  <c r="H17" i="12" s="1"/>
  <c r="E26" i="11"/>
  <c r="J18" i="11"/>
  <c r="C42" i="4"/>
  <c r="C83" i="7" s="1"/>
  <c r="C46" i="6" s="1"/>
  <c r="H20" i="12" l="1"/>
  <c r="H19" i="12"/>
  <c r="H21" i="12" s="1"/>
  <c r="J24" i="11"/>
  <c r="I24" i="11"/>
  <c r="J30" i="16"/>
  <c r="H29" i="12" s="1"/>
  <c r="D33" i="16"/>
  <c r="B35" i="16"/>
  <c r="K27" i="16"/>
  <c r="K28" i="16" s="1"/>
  <c r="J28" i="16"/>
  <c r="B31" i="11"/>
  <c r="I26" i="11"/>
  <c r="E30" i="11"/>
  <c r="I27" i="16" l="1"/>
  <c r="J31" i="16"/>
  <c r="H30" i="12" s="1"/>
  <c r="I24" i="16"/>
  <c r="I26" i="16"/>
  <c r="I25" i="16"/>
  <c r="I22" i="16"/>
  <c r="I23" i="16"/>
  <c r="I27" i="11"/>
  <c r="O29" i="12"/>
  <c r="O17" i="12"/>
  <c r="O20" i="12" s="1"/>
  <c r="H18" i="11"/>
  <c r="H19" i="11"/>
  <c r="H23" i="11"/>
  <c r="H21" i="11"/>
  <c r="H20" i="11"/>
  <c r="H22" i="11"/>
  <c r="O30" i="12" l="1"/>
  <c r="I28" i="16"/>
  <c r="O19" i="12"/>
  <c r="O21" i="12" s="1"/>
  <c r="H24" i="11"/>
</calcChain>
</file>

<file path=xl/sharedStrings.xml><?xml version="1.0" encoding="utf-8"?>
<sst xmlns="http://schemas.openxmlformats.org/spreadsheetml/2006/main" count="1193" uniqueCount="418">
  <si>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</si>
  <si>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</si>
  <si>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</si>
  <si>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</si>
  <si>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</si>
  <si>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</si>
  <si>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</si>
  <si>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</si>
  <si>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</si>
  <si>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</si>
  <si>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</si>
  <si>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</si>
  <si>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</si>
  <si>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</si>
  <si>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</si>
  <si>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</si>
  <si>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</si>
  <si>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</si>
  <si>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</si>
  <si>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</si>
  <si>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</si>
  <si>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</si>
  <si>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</si>
  <si>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</si>
  <si>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</si>
  <si>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</si>
  <si>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</si>
  <si>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</si>
  <si>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</si>
  <si>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</si>
  <si>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</si>
  <si>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</si>
  <si>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</si>
  <si>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</si>
  <si>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</si>
  <si>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</si>
  <si>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</si>
  <si>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</si>
  <si>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</si>
  <si>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</si>
  <si>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</si>
  <si>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</si>
  <si>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</si>
  <si>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</si>
  <si>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</si>
  <si>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</si>
  <si>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</si>
  <si>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</si>
  <si>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</si>
  <si>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</si>
  <si>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</si>
  <si>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</si>
  <si>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</si>
  <si>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</si>
  <si>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</si>
  <si>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</si>
  <si>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</si>
  <si>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</si>
  <si>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</si>
  <si>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</si>
  <si>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</si>
  <si>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</si>
  <si>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</si>
  <si>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</si>
  <si>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</si>
  <si>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</si>
  <si>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</si>
  <si>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</si>
  <si>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</si>
  <si>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</si>
  <si>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</si>
  <si>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</si>
  <si>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</si>
  <si>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</si>
  <si>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</si>
  <si>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</si>
  <si>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</si>
  <si>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</si>
  <si>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</si>
  <si>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</si>
  <si>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</si>
  <si>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</si>
  <si>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</si>
  <si>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</si>
  <si>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</si>
  <si>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</si>
  <si>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</si>
  <si>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</si>
  <si>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</si>
  <si>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</si>
  <si>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</si>
  <si>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</si>
  <si>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</si>
  <si>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</si>
  <si>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</si>
  <si>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</si>
  <si>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</si>
  <si>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</si>
  <si>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</si>
  <si>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</si>
  <si>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</si>
  <si>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</si>
  <si>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</si>
  <si>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</si>
  <si>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</si>
  <si>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</si>
  <si>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</si>
  <si>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</si>
  <si>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</si>
  <si>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</si>
  <si>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</si>
  <si>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</si>
  <si>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</si>
  <si>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</si>
  <si>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</si>
  <si>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</si>
  <si>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</si>
  <si>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</si>
  <si>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</si>
  <si>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</si>
  <si>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</si>
  <si>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</si>
  <si>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</si>
  <si>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</si>
  <si>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</si>
  <si>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</si>
  <si>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</si>
  <si>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</si>
  <si>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</si>
  <si>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</si>
  <si>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</si>
  <si>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</si>
  <si>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</si>
  <si>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</si>
  <si>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</si>
  <si>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</si>
  <si>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</si>
  <si>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</si>
  <si>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</si>
  <si>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</si>
  <si>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</si>
  <si>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</si>
  <si>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</si>
  <si>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</si>
  <si>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</si>
  <si>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</si>
  <si>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</si>
  <si>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</si>
  <si>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</si>
  <si>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</si>
  <si>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</si>
  <si>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</si>
  <si>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</si>
  <si>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</si>
  <si>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</si>
  <si>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</si>
  <si>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</si>
  <si>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</si>
  <si>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</si>
  <si>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</si>
  <si>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</si>
  <si>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</si>
  <si>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</si>
  <si>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</si>
  <si>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</si>
  <si>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</si>
  <si>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</si>
  <si>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</si>
  <si>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</si>
  <si>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</si>
  <si>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</si>
  <si>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</si>
  <si>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</si>
  <si>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</si>
  <si>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</si>
  <si>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</si>
  <si>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</si>
  <si>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</si>
  <si>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</si>
  <si>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</si>
  <si>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</si>
  <si>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</si>
  <si>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</si>
  <si>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</si>
  <si>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</si>
  <si>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</si>
  <si>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</si>
  <si>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</si>
  <si>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</si>
  <si>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</si>
  <si>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</si>
  <si>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</si>
  <si>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</si>
  <si>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</si>
  <si>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</si>
  <si>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</si>
  <si>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</si>
  <si>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</si>
  <si>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</si>
  <si>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</si>
  <si>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</si>
  <si>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</si>
  <si>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</si>
  <si>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</si>
  <si>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</si>
  <si>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</si>
  <si>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</si>
  <si>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</si>
  <si>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</si>
  <si>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</si>
  <si>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</si>
  <si>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</si>
  <si>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</si>
  <si>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</si>
  <si>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</si>
  <si>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</si>
  <si>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</si>
  <si>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</si>
  <si>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</si>
  <si>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</si>
  <si>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</si>
  <si>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</si>
  <si>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</si>
  <si>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</si>
  <si>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</si>
  <si>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</si>
  <si>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</si>
  <si>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 xml:space="preserve"> DT HINO G 310</t>
  </si>
  <si>
    <t xml:space="preserve"> DT HINO G 311</t>
  </si>
  <si>
    <t xml:space="preserve"> DT HINO G 314</t>
  </si>
  <si>
    <t xml:space="preserve"> DT HINO G 315</t>
  </si>
  <si>
    <t xml:space="preserve"> DT HINO G 317</t>
  </si>
  <si>
    <t xml:space="preserve"> DT HINO G 318</t>
  </si>
  <si>
    <t xml:space="preserve"> DT HINO G 321</t>
  </si>
  <si>
    <t xml:space="preserve"> DT HINO G 323</t>
  </si>
  <si>
    <t xml:space="preserve"> DT HINO G 324</t>
  </si>
  <si>
    <t xml:space="preserve"> DT HINO G 325</t>
  </si>
  <si>
    <t xml:space="preserve"> DT HINO G 326</t>
  </si>
  <si>
    <t xml:space="preserve"> DT HINO G 329</t>
  </si>
  <si>
    <t xml:space="preserve"> DT HINO G 331</t>
  </si>
  <si>
    <t xml:space="preserve"> DT HINO G 332</t>
  </si>
  <si>
    <t xml:space="preserve"> DT HINO G 333</t>
  </si>
  <si>
    <t xml:space="preserve"> DT HINO G 334</t>
  </si>
  <si>
    <t xml:space="preserve"> DT HINO G 335</t>
  </si>
  <si>
    <t xml:space="preserve"> DT HINO G 336</t>
  </si>
  <si>
    <t xml:space="preserve"> DT HINO G 337</t>
  </si>
  <si>
    <t xml:space="preserve"> DT HINO G 339</t>
  </si>
  <si>
    <t xml:space="preserve"> DT HINO G 341</t>
  </si>
  <si>
    <t xml:space="preserve"> DT HINO G 343</t>
  </si>
  <si>
    <t xml:space="preserve"> DT HINO G 344</t>
  </si>
  <si>
    <t xml:space="preserve"> DT HINO G 346</t>
  </si>
  <si>
    <t xml:space="preserve"> DT HINO G 347</t>
  </si>
  <si>
    <t xml:space="preserve"> DT HINO G 348</t>
  </si>
  <si>
    <t xml:space="preserve"> DT HINO G 349</t>
  </si>
  <si>
    <t xml:space="preserve"> DT HINO G 350</t>
  </si>
  <si>
    <t xml:space="preserve"> DT HINO G 351</t>
  </si>
  <si>
    <t xml:space="preserve"> DT HINO G 352</t>
  </si>
  <si>
    <t xml:space="preserve"> DT HINO G 353</t>
  </si>
  <si>
    <t xml:space="preserve"> DT HINO G 354</t>
  </si>
  <si>
    <t xml:space="preserve"> DT HINO G 355</t>
  </si>
  <si>
    <t xml:space="preserve"> DT HINO G 357</t>
  </si>
  <si>
    <t xml:space="preserve"> DT HINO G 358</t>
  </si>
  <si>
    <t xml:space="preserve"> DT HINO G 359</t>
  </si>
  <si>
    <t xml:space="preserve"> DT HINO G 360</t>
  </si>
  <si>
    <t xml:space="preserve"> DT HINO G 361</t>
  </si>
  <si>
    <t xml:space="preserve"> DT HINO G 362</t>
  </si>
  <si>
    <t xml:space="preserve"> DT HINO G 363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</si>
  <si>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</si>
  <si>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</si>
  <si>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</si>
  <si>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</si>
  <si>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</si>
  <si>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</si>
  <si>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</si>
  <si>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</si>
  <si>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</si>
  <si>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</si>
  <si>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</si>
  <si>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</si>
  <si>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</si>
  <si>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</si>
  <si>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</si>
  <si>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</si>
  <si>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</si>
  <si>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</si>
  <si>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</si>
  <si>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</si>
  <si>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</si>
  <si>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</si>
  <si>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</si>
  <si>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</si>
  <si>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</si>
  <si>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</si>
  <si>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</si>
  <si>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</si>
  <si>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</si>
  <si>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</si>
  <si>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</si>
  <si>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</si>
  <si>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</si>
  <si>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</si>
  <si>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</si>
  <si>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</si>
  <si>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</si>
  <si>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</si>
  <si>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</si>
  <si>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</si>
  <si>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</si>
  <si>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</si>
  <si>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</si>
  <si>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</si>
  <si>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</si>
  <si>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</si>
  <si>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</si>
  <si>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</si>
  <si>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</si>
  <si>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</si>
  <si>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</si>
  <si>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</si>
  <si>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</si>
  <si>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</si>
  <si>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</si>
  <si>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</si>
  <si>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</si>
  <si>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</si>
  <si>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</si>
  <si>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</si>
  <si>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</si>
  <si>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</si>
  <si>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 xml:space="preserve"> DT HINO G 370</t>
  </si>
  <si>
    <t xml:space="preserve"> DT HINO G 371</t>
  </si>
  <si>
    <t xml:space="preserve"> DT HINO G 373</t>
  </si>
  <si>
    <t xml:space="preserve"> DT HINO G 374</t>
  </si>
  <si>
    <t xml:space="preserve"> DT HINO G 375</t>
  </si>
  <si>
    <t xml:space="preserve"> DT HINO G 376</t>
  </si>
  <si>
    <t xml:space="preserve"> DT HINO G 377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</si>
  <si>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</si>
  <si>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</si>
  <si>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</si>
  <si>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</si>
  <si>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</si>
  <si>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</si>
  <si>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</si>
  <si>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</si>
  <si>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</si>
  <si>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</si>
  <si>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</si>
  <si>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</si>
  <si>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</si>
  <si>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</si>
  <si>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</si>
  <si>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</si>
  <si>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last year (2022)</t>
  </si>
  <si>
    <t>TOTAL 2023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</si>
  <si>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</si>
  <si>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</si>
  <si>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</si>
  <si>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</si>
  <si>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</si>
  <si>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</si>
  <si>
    <t>PLAN</t>
  </si>
  <si>
    <t>ACTUAL</t>
  </si>
  <si>
    <t>ACH %</t>
  </si>
  <si>
    <t>days</t>
  </si>
  <si>
    <t>OVERBURDEN REMOVAL</t>
  </si>
  <si>
    <t>hours</t>
  </si>
  <si>
    <t>PHYSICHAL AVAILIBILITY</t>
  </si>
  <si>
    <t>PA</t>
  </si>
  <si>
    <t>FUEL RATIO OVERALL (L/Ton)</t>
  </si>
  <si>
    <t>(fuel not include in contract)</t>
  </si>
  <si>
    <t>COST ITEM / TON ORE</t>
  </si>
  <si>
    <t>CV ADIL PRIMA PERKASA</t>
  </si>
  <si>
    <t>ACH % OVERBURDEN</t>
  </si>
  <si>
    <t>ACH % ORE MINING</t>
  </si>
  <si>
    <t>ACH % QUARRY</t>
  </si>
  <si>
    <t>ACH % FUEL RATIO</t>
  </si>
  <si>
    <t>ACH % FUEL CONSUMPTION</t>
  </si>
  <si>
    <t xml:space="preserve"> DT HINO G 366</t>
  </si>
  <si>
    <t xml:space="preserve"> DT HINO G 367</t>
  </si>
  <si>
    <t xml:space="preserve"> DT HINO G 368</t>
  </si>
  <si>
    <t xml:space="preserve"> DT HINO G 369</t>
  </si>
  <si>
    <t xml:space="preserve"> DT HINO G 378</t>
  </si>
  <si>
    <t xml:space="preserve"> DT HINO G 380</t>
  </si>
  <si>
    <t xml:space="preserve"> DT HINO G 381</t>
  </si>
  <si>
    <t xml:space="preserve"> DT HINO G 382</t>
  </si>
  <si>
    <t xml:space="preserve"> DT HINO G 383</t>
  </si>
  <si>
    <t xml:space="preserve"> DT HINO G 385</t>
  </si>
  <si>
    <t xml:space="preserve"> DT HINO G 386</t>
  </si>
  <si>
    <t xml:space="preserve"> DT HINO G 387</t>
  </si>
  <si>
    <t xml:space="preserve"> DT HINO G 388</t>
  </si>
  <si>
    <t xml:space="preserve"> DT HINO G 389</t>
  </si>
  <si>
    <t xml:space="preserve"> DT HINO G 390</t>
  </si>
  <si>
    <t xml:space="preserve"> DT HINO G 391</t>
  </si>
  <si>
    <t xml:space="preserve"> DT HINO G 392</t>
  </si>
  <si>
    <t xml:space="preserve"> DT HINO G 393</t>
  </si>
  <si>
    <t>NOTE</t>
  </si>
  <si>
    <t>3 hari tidak ada kegiatan, karena grade pengiriman drop</t>
  </si>
  <si>
    <t>terjadi penurunan dikarenakan produksi ore menurun</t>
  </si>
  <si>
    <t>KOMATSU PC 300 - 07</t>
  </si>
  <si>
    <t>KOBELCO SK 330 - 12</t>
  </si>
  <si>
    <t>WELDER CAR</t>
  </si>
  <si>
    <t>ADT HM 400 (bcm/hour)</t>
  </si>
  <si>
    <t>PRODUCTION hauler</t>
  </si>
  <si>
    <t>KOMATSU PC 200 - 21</t>
  </si>
  <si>
    <t xml:space="preserve"> DT HINO G 316</t>
  </si>
  <si>
    <t>LV HILUX SILVER - 20</t>
  </si>
  <si>
    <t>Juni 2023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</si>
  <si>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(JUNI)</t>
    </r>
  </si>
  <si>
    <t>KOMATSU PC 200 - 04</t>
  </si>
  <si>
    <t xml:space="preserve"> DT HINO G 319</t>
  </si>
  <si>
    <t xml:space="preserve"> DT HINO G 356</t>
  </si>
  <si>
    <t xml:space="preserve"> DT HINO G 372</t>
  </si>
  <si>
    <t xml:space="preserve"> DT HINO G 379</t>
  </si>
  <si>
    <t xml:space="preserve"> DT HINO G 312</t>
  </si>
  <si>
    <t>LV HLUX SILVER - 07</t>
  </si>
  <si>
    <t>LV TRITON PUTIH - 28</t>
  </si>
  <si>
    <t>WATER TRUCK - 02</t>
  </si>
  <si>
    <t>WELDER 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</si>
</sst>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7" fillId="0" borderId="0" xfId="2" applyNumberFormat="1" applyFont="1" applyBorder="1" applyAlignment="1">
      <alignment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169" fontId="37" fillId="0" borderId="0" xfId="3" applyNumberFormat="1" applyFont="1" applyBorder="1" applyAlignment="1">
      <alignment vertical="center"/>
    </xf>
    <xf numFmtId="169" fontId="37" fillId="0" borderId="0" xfId="13" applyNumberFormat="1" applyFont="1" applyAlignment="1">
      <alignment vertical="center"/>
    </xf>
    <xf numFmtId="169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165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9" fontId="40" fillId="0" borderId="0" xfId="13" applyNumberFormat="1" applyFont="1" applyAlignment="1">
      <alignment horizontal="center" vertical="center"/>
    </xf>
    <xf numFmtId="170" fontId="40" fillId="0" borderId="0" xfId="0" applyNumberFormat="1" applyFont="1" applyAlignment="1">
      <alignment horizontal="center" vertical="center"/>
    </xf>
    <xf numFmtId="173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70" fontId="44" fillId="0" borderId="0" xfId="0" applyNumberFormat="1" applyFont="1" applyAlignment="1">
      <alignment horizontal="center" vertical="center"/>
    </xf>
    <xf numFmtId="170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9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70" fontId="42" fillId="0" borderId="0" xfId="0" applyNumberFormat="1" applyFont="1" applyAlignment="1">
      <alignment horizontal="center" vertical="center"/>
    </xf>
    <xf numFmtId="170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9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165" fontId="43" fillId="14" borderId="0" xfId="2" applyFont="1" applyFill="1" applyAlignment="1">
      <alignment horizontal="center" vertical="center"/>
    </xf>
    <xf numFmtId="165" fontId="45" fillId="14" borderId="0" xfId="2" applyFont="1" applyFill="1" applyAlignment="1">
      <alignment horizontal="center" vertical="center"/>
    </xf>
    <xf numFmtId="165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165" fontId="50" fillId="5" borderId="0" xfId="2" applyFont="1" applyFill="1" applyBorder="1" applyAlignment="1">
      <alignment horizontal="right" vertical="center"/>
    </xf>
    <xf numFmtId="169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165" fontId="48" fillId="5" borderId="0" xfId="2" applyFont="1" applyFill="1" applyBorder="1" applyAlignment="1">
      <alignment horizontal="left" vertical="center"/>
    </xf>
    <xf numFmtId="169" fontId="49" fillId="5" borderId="0" xfId="2" applyNumberFormat="1" applyFont="1" applyFill="1" applyBorder="1" applyAlignment="1">
      <alignment horizontal="center" vertical="center"/>
    </xf>
    <xf numFmtId="166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9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165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9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4" fillId="5" borderId="4" xfId="1" applyFont="1" applyFill="1" applyBorder="1" applyAlignment="1">
      <alignment vertical="center"/>
    </xf>
    <xf numFmtId="43" fontId="54" fillId="5" borderId="5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43" fontId="54" fillId="5" borderId="3" xfId="1" applyFont="1" applyFill="1" applyBorder="1" applyAlignment="1">
      <alignment vertical="center"/>
    </xf>
    <xf numFmtId="43" fontId="54" fillId="5" borderId="0" xfId="1" applyFont="1" applyFill="1" applyBorder="1" applyAlignment="1">
      <alignment vertical="center"/>
    </xf>
    <xf numFmtId="10" fontId="19" fillId="5" borderId="3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5" fillId="5" borderId="0" xfId="0" applyFont="1" applyFill="1" applyAlignment="1">
      <alignment horizontal="left" vertical="center"/>
    </xf>
    <xf numFmtId="43" fontId="54" fillId="5" borderId="0" xfId="1" applyFont="1" applyFill="1" applyAlignment="1">
      <alignment vertical="center"/>
    </xf>
    <xf numFmtId="10" fontId="19" fillId="5" borderId="0" xfId="3" applyNumberFormat="1" applyFont="1" applyFill="1" applyBorder="1" applyAlignment="1">
      <alignment vertical="center"/>
    </xf>
    <xf numFmtId="0" fontId="54" fillId="5" borderId="0" xfId="0" applyFont="1" applyFill="1" applyAlignment="1">
      <alignment vertical="center"/>
    </xf>
    <xf numFmtId="171" fontId="54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3" xfId="0" applyFont="1" applyFill="1" applyBorder="1" applyAlignment="1">
      <alignment horizontal="left" vertical="center"/>
    </xf>
    <xf numFmtId="4" fontId="19" fillId="5" borderId="3" xfId="0" applyNumberFormat="1" applyFont="1" applyFill="1" applyBorder="1" applyAlignment="1">
      <alignment vertical="center"/>
    </xf>
    <xf numFmtId="0" fontId="19" fillId="5" borderId="3" xfId="0" applyFont="1" applyFill="1" applyBorder="1" applyAlignment="1">
      <alignment horizontal="right" vertical="center"/>
    </xf>
    <xf numFmtId="43" fontId="54" fillId="5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horizontal="right" vertical="center"/>
    </xf>
    <xf numFmtId="0" fontId="56" fillId="5" borderId="0" xfId="1" applyNumberFormat="1" applyFont="1" applyFill="1" applyBorder="1" applyAlignment="1">
      <alignment horizontal="left" vertical="center"/>
    </xf>
    <xf numFmtId="10" fontId="44" fillId="0" borderId="0" xfId="3" applyNumberFormat="1" applyFont="1" applyFill="1" applyAlignment="1">
      <alignment horizontal="center" vertical="center"/>
    </xf>
    <xf numFmtId="10" fontId="47" fillId="16" borderId="0" xfId="1" applyNumberFormat="1" applyFont="1" applyFill="1" applyAlignment="1">
      <alignment horizontal="center" vertical="center"/>
    </xf>
    <xf numFmtId="10" fontId="46" fillId="16" borderId="0" xfId="3" applyNumberFormat="1" applyFont="1" applyFill="1" applyAlignment="1">
      <alignment horizontal="center" vertical="center"/>
    </xf>
    <xf numFmtId="10" fontId="0" fillId="0" borderId="0" xfId="0" applyNumberFormat="1" applyAlignment="1">
      <alignment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165" fontId="57" fillId="5" borderId="0" xfId="2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172" fontId="18" fillId="17" borderId="0" xfId="0" quotePrefix="1" applyNumberFormat="1" applyFont="1" applyFill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165" fontId="48" fillId="5" borderId="0" xfId="2" applyFont="1" applyFill="1" applyBorder="1" applyAlignment="1">
      <alignment horizontal="center" vertical="center"/>
    </xf>
    <xf numFmtId="165" fontId="24" fillId="5" borderId="0" xfId="2" applyFont="1" applyFill="1" applyAlignment="1">
      <alignment horizontal="center" vertical="center"/>
    </xf>
    <xf numFmtId="169" fontId="48" fillId="5" borderId="0" xfId="2" applyNumberFormat="1" applyFont="1" applyFill="1" applyBorder="1" applyAlignment="1">
      <alignment horizontal="center" vertical="center"/>
    </xf>
    <xf numFmtId="165" fontId="35" fillId="5" borderId="0" xfId="2" applyFont="1" applyFill="1" applyBorder="1" applyAlignment="1">
      <alignment horizontal="center" vertical="center"/>
    </xf>
    <xf numFmtId="0" fontId="4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center" vertical="center"/>
    </xf>
    <xf numFmtId="165" fontId="24" fillId="5" borderId="0" xfId="2" applyFont="1" applyFill="1" applyBorder="1" applyAlignment="1">
      <alignment horizontal="center" vertical="center"/>
    </xf>
    <xf numFmtId="172" fontId="18" fillId="17" borderId="0" xfId="0" applyNumberFormat="1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MTD'!$C$3:$N$3</c:f>
              <c:numCache>
                <c:formatCode>_(* #,##0.00_);_(* \(#,##0.00\);_(* "-"??_);_(@_)</c:formatCode>
                <c:ptCount val="12"/>
                <c:pt idx="0">
                  <c:v>162229.22999999998</c:v>
                </c:pt>
                <c:pt idx="1">
                  <c:v>170387.16</c:v>
                </c:pt>
                <c:pt idx="2">
                  <c:v>141007.28000000003</c:v>
                </c:pt>
                <c:pt idx="3">
                  <c:v>111460.29999999999</c:v>
                </c:pt>
                <c:pt idx="4">
                  <c:v>111460.29999999999</c:v>
                </c:pt>
                <c:pt idx="5">
                  <c:v>101363.00000000001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  <c:pt idx="3">
                  <c:v>202342.57</c:v>
                </c:pt>
                <c:pt idx="4">
                  <c:v>204340.21</c:v>
                </c:pt>
                <c:pt idx="5">
                  <c:v>152743.09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MTD'!$C$6:$N$6</c:f>
              <c:numCache>
                <c:formatCode>_(* #,##0.00_);_(* \(#,##0.00\);_(* "-"??_);_(@_)</c:formatCode>
                <c:ptCount val="12"/>
                <c:pt idx="0">
                  <c:v>0.66885470281959669</c:v>
                </c:pt>
                <c:pt idx="1">
                  <c:v>0.73559844212340286</c:v>
                </c:pt>
                <c:pt idx="2">
                  <c:v>0.63861587834135125</c:v>
                </c:pt>
                <c:pt idx="3">
                  <c:v>0.55084948263729172</c:v>
                </c:pt>
                <c:pt idx="4">
                  <c:v>0.54546435084900813</c:v>
                </c:pt>
                <c:pt idx="5">
                  <c:v>0.66361758165295737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MTD'!$C$17:$N$17</c:f>
              <c:numCache>
                <c:formatCode>_-[$Rp-3809]* #,##0.00_-;\-[$Rp-3809]* #,##0.00_-;_-[$Rp-3809]* "-"??_-;_-@_-</c:formatCode>
                <c:ptCount val="12"/>
                <c:pt idx="0">
                  <c:v>19443108410.401791</c:v>
                </c:pt>
                <c:pt idx="1">
                  <c:v>19529041056.261246</c:v>
                </c:pt>
                <c:pt idx="2">
                  <c:v>21329558212.942268</c:v>
                </c:pt>
                <c:pt idx="3">
                  <c:v>18392351432.699123</c:v>
                </c:pt>
                <c:pt idx="4">
                  <c:v>20097756520.941818</c:v>
                </c:pt>
                <c:pt idx="5">
                  <c:v>17831911388.736458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MTD'!$C$18:$N$18</c:f>
              <c:numCache>
                <c:formatCode>_-[$Rp-3809]* #,##0.00_-;\-[$Rp-3809]* #,##0.00_-;_-[$Rp-3809]* "-"??_-;_-@_-</c:formatCode>
                <c:ptCount val="12"/>
                <c:pt idx="0">
                  <c:v>37814170652.160004</c:v>
                </c:pt>
                <c:pt idx="1">
                  <c:v>36112147975.679993</c:v>
                </c:pt>
                <c:pt idx="2">
                  <c:v>34423821465.599998</c:v>
                </c:pt>
                <c:pt idx="3">
                  <c:v>31546016033.280003</c:v>
                </c:pt>
                <c:pt idx="4">
                  <c:v>31857456099.84</c:v>
                </c:pt>
                <c:pt idx="5">
                  <c:v>23813258703.360001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MTD'!$C$21:$N$21</c:f>
              <c:numCache>
                <c:formatCode>0%</c:formatCode>
                <c:ptCount val="12"/>
                <c:pt idx="0">
                  <c:v>0.48582480918985405</c:v>
                </c:pt>
                <c:pt idx="1">
                  <c:v>0.45921131389322978</c:v>
                </c:pt>
                <c:pt idx="2">
                  <c:v>0.38038377772040599</c:v>
                </c:pt>
                <c:pt idx="3">
                  <c:v>0.41696753677878684</c:v>
                </c:pt>
                <c:pt idx="4">
                  <c:v>0.36913492219980626</c:v>
                </c:pt>
                <c:pt idx="5">
                  <c:v>0.2511771861689634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MTD'!$C$27:$N$27</c:f>
              <c:numCache>
                <c:formatCode>#,##0.00</c:formatCode>
                <c:ptCount val="12"/>
                <c:pt idx="0">
                  <c:v>416876</c:v>
                </c:pt>
                <c:pt idx="1">
                  <c:v>449940.00000000006</c:v>
                </c:pt>
                <c:pt idx="2">
                  <c:v>446332</c:v>
                </c:pt>
                <c:pt idx="3">
                  <c:v>373910</c:v>
                </c:pt>
                <c:pt idx="4">
                  <c:v>407315.81021849712</c:v>
                </c:pt>
                <c:pt idx="5">
                  <c:v>424666.66699578729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  <c:pt idx="3">
                  <c:v>202342.57</c:v>
                </c:pt>
                <c:pt idx="4">
                  <c:v>204340.21</c:v>
                </c:pt>
                <c:pt idx="5">
                  <c:v>152743.09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MTD'!$C$22:$N$22</c:f>
              <c:numCache>
                <c:formatCode>_(* #,##0.00_);_(* \(#,##0.00\);_(* "-"??_);_(@_)</c:formatCode>
                <c:ptCount val="12"/>
                <c:pt idx="0">
                  <c:v>1.7187375733252401</c:v>
                </c:pt>
                <c:pt idx="1">
                  <c:v>1.9424888767968427</c:v>
                </c:pt>
                <c:pt idx="2">
                  <c:v>2.0214183424561618</c:v>
                </c:pt>
                <c:pt idx="3">
                  <c:v>1.8479057570534958</c:v>
                </c:pt>
                <c:pt idx="4">
                  <c:v>1.9933218734506397</c:v>
                </c:pt>
                <c:pt idx="5">
                  <c:v>2.7802676179707202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MTD'!$C$30:$N$30</c:f>
              <c:numCache>
                <c:formatCode>_([$$-409]* #,##0.00_);_([$$-409]* \(#,##0.00\);_([$$-409]* "-"??_);_(@_)</c:formatCode>
                <c:ptCount val="12"/>
                <c:pt idx="0">
                  <c:v>5.3988395035065313</c:v>
                </c:pt>
                <c:pt idx="1">
                  <c:v>5.6782812041210873</c:v>
                </c:pt>
                <c:pt idx="2">
                  <c:v>6.5059703339357373</c:v>
                </c:pt>
                <c:pt idx="3">
                  <c:v>6.1218408638227384</c:v>
                </c:pt>
                <c:pt idx="4">
                  <c:v>6.624083316902035</c:v>
                </c:pt>
                <c:pt idx="5">
                  <c:v>7.8626395452258846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MTD'!$C$7:$N$7</c:f>
              <c:numCache>
                <c:formatCode>0.00%</c:formatCode>
                <c:ptCount val="12"/>
                <c:pt idx="0">
                  <c:v>0.74253772354962899</c:v>
                </c:pt>
                <c:pt idx="1">
                  <c:v>0.83765309627028406</c:v>
                </c:pt>
                <c:pt idx="2">
                  <c:v>0.70707209506681568</c:v>
                </c:pt>
                <c:pt idx="3">
                  <c:v>0.66103056420606143</c:v>
                </c:pt>
                <c:pt idx="4">
                  <c:v>0.6355740395301217</c:v>
                </c:pt>
                <c:pt idx="5">
                  <c:v>0.68447057535660794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D8-42E6-B1FB-DE11EDA8869A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MTD'!$C$8:$N$8</c:f>
              <c:numCache>
                <c:formatCode>0.00%</c:formatCode>
                <c:ptCount val="12"/>
                <c:pt idx="0">
                  <c:v>0.97757868733841513</c:v>
                </c:pt>
                <c:pt idx="1">
                  <c:v>1.0200287269450323</c:v>
                </c:pt>
                <c:pt idx="2">
                  <c:v>0.72406828784212274</c:v>
                </c:pt>
                <c:pt idx="3">
                  <c:v>0.60339142988368932</c:v>
                </c:pt>
                <c:pt idx="4">
                  <c:v>0.67460717335175269</c:v>
                </c:pt>
                <c:pt idx="5">
                  <c:v>0.72982920810426066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8-42E6-B1FB-DE11EDA8869A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MTD'!$C$9:$N$9</c:f>
              <c:numCache>
                <c:formatCode>0.00%</c:formatCode>
                <c:ptCount val="12"/>
                <c:pt idx="0">
                  <c:v>0.41234954552156672</c:v>
                </c:pt>
                <c:pt idx="1">
                  <c:v>0.8113318461598763</c:v>
                </c:pt>
                <c:pt idx="2">
                  <c:v>0.86128618495725751</c:v>
                </c:pt>
                <c:pt idx="3">
                  <c:v>0.66264458702897411</c:v>
                </c:pt>
                <c:pt idx="4">
                  <c:v>1.0618765095897726</c:v>
                </c:pt>
                <c:pt idx="5">
                  <c:v>1.046106275049153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8-42E6-B1FB-DE11EDA8869A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MTD'!$C$23:$N$23</c:f>
              <c:numCache>
                <c:formatCode>0.00%</c:formatCode>
                <c:ptCount val="12"/>
                <c:pt idx="0">
                  <c:v>1.2101905679386677</c:v>
                </c:pt>
                <c:pt idx="1">
                  <c:v>1.086235306263057</c:v>
                </c:pt>
                <c:pt idx="2">
                  <c:v>0.95477514944032693</c:v>
                </c:pt>
                <c:pt idx="3">
                  <c:v>0.941606460913054</c:v>
                </c:pt>
                <c:pt idx="4">
                  <c:v>1.0986685237185958</c:v>
                </c:pt>
                <c:pt idx="5" formatCode="_(* #,##0.00_);_(* \(#,##0.00\);_(* &quot;-&quot;??_);_(@_)">
                  <c:v>0.73820424971186194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8-42E6-B1FB-DE11EDA8869A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MTD'!$C$28:$N$28</c:f>
              <c:numCache>
                <c:formatCode>0.00%</c:formatCode>
                <c:ptCount val="12"/>
                <c:pt idx="0">
                  <c:v>1.2396340073786931</c:v>
                </c:pt>
                <c:pt idx="1">
                  <c:v>1.0628169729208339</c:v>
                </c:pt>
                <c:pt idx="2">
                  <c:v>1.3193021041287654</c:v>
                </c:pt>
                <c:pt idx="3">
                  <c:v>1.5605752921291223</c:v>
                </c:pt>
                <c:pt idx="4">
                  <c:v>1.463297376141411</c:v>
                </c:pt>
                <c:pt idx="5" formatCode="#,##0.00">
                  <c:v>1.01147534452527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D8-42E6-B1FB-DE11EDA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636494</xdr:colOff>
      <xdr:row>4</xdr:row>
      <xdr:rowOff>134471</xdr:rowOff>
    </xdr:from>
    <xdr:to>
      <xdr:col>11</xdr:col>
      <xdr:colOff>8965</xdr:colOff>
      <xdr:row>6</xdr:row>
      <xdr:rowOff>64108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CBAE-D0C7-40B5-B7E6-A92CD040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995083"/>
          <a:ext cx="1210236" cy="29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31</xdr:row>
      <xdr:rowOff>0</xdr:rowOff>
    </xdr:from>
    <xdr:to>
      <xdr:col>7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1021080</xdr:colOff>
      <xdr:row>31</xdr:row>
      <xdr:rowOff>0</xdr:rowOff>
    </xdr:from>
    <xdr:to>
      <xdr:col>11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640080</xdr:colOff>
      <xdr:row>31</xdr:row>
      <xdr:rowOff>0</xdr:rowOff>
    </xdr:from>
    <xdr:to>
      <xdr:col>14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152399</xdr:rowOff>
    </xdr:from>
    <xdr:to>
      <xdr:col>8</xdr:col>
      <xdr:colOff>502920</xdr:colOff>
      <xdr:row>65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9835-954C-402D-92DA-D3671FF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7" totalsRowShown="0" headerRowDxfId="26" dataDxfId="25">
  <autoFilter ref="A3:K27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0:C35" totalsRowShown="0" headerRowDxfId="13" dataDxfId="11" headerRowBorderDxfId="12">
  <autoFilter ref="A30:C35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E3-0FA4-4AEF-BB24-9A119179F6A7}">
  <sheetPr>
    <tabColor rgb="FFFF0000"/>
  </sheetPr>
  <dimension ref="B2:N39"/>
  <sheetViews>
    <sheetView topLeftCell="A7" zoomScale="85" zoomScaleNormal="85" workbookViewId="0">
      <selection activeCell="N36" sqref="N36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2" ht="19.95" customHeight="1" x14ac:dyDescent="0.3">
      <c r="B2" s="184" t="s">
        <v>407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</row>
    <row r="3" spans="2:12" ht="19.95" customHeight="1" x14ac:dyDescent="0.3"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2:12" x14ac:dyDescent="0.3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15" customHeight="1" x14ac:dyDescent="0.3">
      <c r="B5" s="107"/>
      <c r="C5" s="185" t="s">
        <v>185</v>
      </c>
      <c r="D5" s="186" t="s">
        <v>406</v>
      </c>
      <c r="E5" s="186"/>
      <c r="F5" s="186"/>
      <c r="G5" s="107"/>
      <c r="H5" s="187" t="s">
        <v>371</v>
      </c>
      <c r="I5" s="187"/>
      <c r="J5" s="187"/>
      <c r="K5" s="107"/>
      <c r="L5" s="107"/>
    </row>
    <row r="6" spans="2:12" ht="14.4" customHeight="1" x14ac:dyDescent="0.3">
      <c r="B6" s="107"/>
      <c r="C6" s="185"/>
      <c r="D6" s="186"/>
      <c r="E6" s="186"/>
      <c r="F6" s="186"/>
      <c r="G6" s="107"/>
      <c r="H6" s="187"/>
      <c r="I6" s="187"/>
      <c r="J6" s="187"/>
      <c r="K6" s="107"/>
      <c r="L6" s="107"/>
    </row>
    <row r="7" spans="2:12" ht="14.4" customHeight="1" x14ac:dyDescent="0.3">
      <c r="B7" s="107"/>
      <c r="C7" s="185"/>
      <c r="D7" s="186"/>
      <c r="E7" s="186"/>
      <c r="F7" s="186"/>
      <c r="G7" s="107"/>
      <c r="H7" s="187"/>
      <c r="I7" s="187"/>
      <c r="J7" s="187"/>
      <c r="K7" s="107"/>
      <c r="L7" s="107"/>
    </row>
    <row r="8" spans="2:12" ht="15.6" x14ac:dyDescent="0.3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2" ht="15.6" x14ac:dyDescent="0.3">
      <c r="B9" s="107"/>
      <c r="C9" s="107"/>
      <c r="D9" s="155" t="s">
        <v>360</v>
      </c>
      <c r="E9" s="156" t="s">
        <v>361</v>
      </c>
      <c r="F9" s="155" t="s">
        <v>362</v>
      </c>
      <c r="G9" s="107"/>
      <c r="H9" s="109" t="s">
        <v>73</v>
      </c>
      <c r="I9" s="109"/>
      <c r="J9" s="116">
        <v>30</v>
      </c>
      <c r="K9" s="112" t="s">
        <v>363</v>
      </c>
      <c r="L9" s="107"/>
    </row>
    <row r="10" spans="2:12" ht="15.6" x14ac:dyDescent="0.3">
      <c r="B10" s="107"/>
      <c r="C10" s="109" t="s">
        <v>364</v>
      </c>
      <c r="D10" s="157">
        <v>148089.6384</v>
      </c>
      <c r="E10" s="158">
        <v>101363.00000000001</v>
      </c>
      <c r="F10" s="159">
        <f>E10/D10</f>
        <v>0.68447057535660794</v>
      </c>
      <c r="G10" s="107"/>
      <c r="H10" s="109" t="s">
        <v>75</v>
      </c>
      <c r="I10" s="109"/>
      <c r="J10" s="116">
        <f>9*J9</f>
        <v>270</v>
      </c>
      <c r="K10" s="112" t="s">
        <v>365</v>
      </c>
      <c r="L10" s="107"/>
    </row>
    <row r="11" spans="2:12" ht="15.6" x14ac:dyDescent="0.3">
      <c r="B11" s="107"/>
      <c r="C11" s="109" t="s">
        <v>76</v>
      </c>
      <c r="D11" s="160">
        <v>209286.07447316591</v>
      </c>
      <c r="E11" s="161">
        <f>'REPORT unit DT HAUL'!D80</f>
        <v>152743.09</v>
      </c>
      <c r="F11" s="162">
        <f t="shared" ref="F11:F12" si="0">E11/D11</f>
        <v>0.72982920810426066</v>
      </c>
      <c r="G11" s="107"/>
      <c r="H11" s="109" t="s">
        <v>366</v>
      </c>
      <c r="I11" s="111"/>
      <c r="J11" s="163">
        <v>0.85</v>
      </c>
      <c r="K11" s="112" t="s">
        <v>367</v>
      </c>
      <c r="L11" s="107"/>
    </row>
    <row r="12" spans="2:12" ht="15.6" x14ac:dyDescent="0.3">
      <c r="B12" s="107"/>
      <c r="C12" s="109" t="s">
        <v>183</v>
      </c>
      <c r="D12" s="160">
        <v>29617.927680000001</v>
      </c>
      <c r="E12" s="161">
        <v>30983.5</v>
      </c>
      <c r="F12" s="162">
        <f t="shared" si="0"/>
        <v>1.046106275049153</v>
      </c>
      <c r="G12" s="107"/>
      <c r="H12" s="109"/>
      <c r="I12" s="111"/>
      <c r="J12" s="163"/>
      <c r="K12" s="112"/>
      <c r="L12" s="107"/>
    </row>
    <row r="13" spans="2:12" ht="15.6" x14ac:dyDescent="0.3">
      <c r="B13" s="107"/>
      <c r="C13" s="109" t="s">
        <v>78</v>
      </c>
      <c r="D13" s="160">
        <f>D10/D11</f>
        <v>0.7075943240503928</v>
      </c>
      <c r="E13" s="161">
        <f>E10/E11</f>
        <v>0.66361758165295737</v>
      </c>
      <c r="F13" s="162">
        <f>D13/E13</f>
        <v>1.0662681996578465</v>
      </c>
      <c r="G13" s="107"/>
      <c r="H13" s="109" t="s">
        <v>87</v>
      </c>
      <c r="I13" s="112"/>
      <c r="J13" s="164">
        <v>11500</v>
      </c>
      <c r="K13" s="164"/>
      <c r="L13" s="107"/>
    </row>
    <row r="14" spans="2:12" ht="15.6" x14ac:dyDescent="0.3">
      <c r="B14" s="107"/>
      <c r="C14" s="109" t="s">
        <v>368</v>
      </c>
      <c r="D14" s="160">
        <v>2.0524053709222612</v>
      </c>
      <c r="E14" s="161">
        <f>J18/E11</f>
        <v>2.7802676179707202</v>
      </c>
      <c r="F14" s="162">
        <f>D14/E14</f>
        <v>0.73820424971186194</v>
      </c>
      <c r="G14" s="107"/>
      <c r="H14" s="165" t="s">
        <v>369</v>
      </c>
      <c r="I14" s="112"/>
      <c r="J14" s="110"/>
      <c r="K14" s="107"/>
      <c r="L14" s="107"/>
    </row>
    <row r="15" spans="2:12" ht="15.6" x14ac:dyDescent="0.3">
      <c r="B15" s="107"/>
      <c r="C15" s="109"/>
      <c r="D15" s="166"/>
      <c r="E15" s="161"/>
      <c r="F15" s="167"/>
      <c r="G15" s="107"/>
      <c r="H15" s="165"/>
      <c r="I15" s="112"/>
      <c r="J15" s="110"/>
      <c r="K15" s="107"/>
      <c r="L15" s="107"/>
    </row>
    <row r="16" spans="2:12" ht="7.95" customHeight="1" x14ac:dyDescent="0.3">
      <c r="B16" s="107"/>
      <c r="C16" s="109"/>
      <c r="D16" s="166"/>
      <c r="E16" s="161"/>
      <c r="F16" s="167"/>
      <c r="G16" s="107"/>
      <c r="H16" s="165"/>
      <c r="I16" s="112"/>
      <c r="J16" s="110"/>
      <c r="K16" s="107"/>
      <c r="L16" s="107"/>
    </row>
    <row r="17" spans="2:14" ht="15.6" x14ac:dyDescent="0.3">
      <c r="B17" s="107"/>
      <c r="C17" s="109" t="s">
        <v>401</v>
      </c>
      <c r="D17" s="168"/>
      <c r="E17" s="169"/>
      <c r="F17" s="167"/>
      <c r="G17" s="107"/>
      <c r="H17" s="188" t="s">
        <v>141</v>
      </c>
      <c r="I17" s="171" t="s">
        <v>360</v>
      </c>
      <c r="J17" s="172">
        <v>429539.86330796208</v>
      </c>
      <c r="K17" s="173" t="s">
        <v>142</v>
      </c>
      <c r="L17" s="116"/>
    </row>
    <row r="18" spans="2:14" ht="15.6" x14ac:dyDescent="0.3">
      <c r="B18" s="107"/>
      <c r="C18" s="109" t="s">
        <v>402</v>
      </c>
      <c r="D18" s="174">
        <v>80</v>
      </c>
      <c r="E18" s="161">
        <f>(E10+E12)/((SUM('REPORT unit OB'!D12:D26)+SUM('REPORT unit QUARRY'!D16:D27)))</f>
        <v>52.176818450620935</v>
      </c>
      <c r="F18" s="162">
        <f t="shared" ref="F18" si="1">E18/D18</f>
        <v>0.65221023063276173</v>
      </c>
      <c r="G18" s="107"/>
      <c r="H18" s="188"/>
      <c r="I18" s="171" t="s">
        <v>361</v>
      </c>
      <c r="J18" s="172">
        <f>'REPORT unit OB'!G40+'REPORT unit QUARRY'!G29+'REPORT unit DEVELOP'!G12+'REPORT unit ORE GETTING'!G38+'REPORT unit DT HAUL'!H80+'REPORT unit LV &amp; support'!E44</f>
        <v>424666.66699578729</v>
      </c>
      <c r="K18" s="175" t="s">
        <v>142</v>
      </c>
      <c r="L18" s="107"/>
    </row>
    <row r="19" spans="2:14" ht="15.6" x14ac:dyDescent="0.3">
      <c r="B19" s="107"/>
      <c r="C19" s="109"/>
      <c r="D19" s="109"/>
      <c r="E19" s="113"/>
      <c r="F19" s="107"/>
      <c r="G19" s="107"/>
      <c r="H19" s="188"/>
      <c r="I19" s="171" t="s">
        <v>362</v>
      </c>
      <c r="J19" s="162">
        <f>J17/J18</f>
        <v>1.01147534452527</v>
      </c>
      <c r="K19" s="175"/>
      <c r="L19" s="107"/>
      <c r="N19" s="180"/>
    </row>
    <row r="20" spans="2:14" ht="7.95" customHeight="1" x14ac:dyDescent="0.3">
      <c r="B20" s="107"/>
      <c r="C20" s="109"/>
      <c r="D20" s="109"/>
      <c r="E20" s="113"/>
      <c r="F20" s="107"/>
      <c r="G20" s="107"/>
      <c r="H20" s="170"/>
      <c r="I20" s="116"/>
      <c r="J20" s="122"/>
      <c r="K20" s="112"/>
      <c r="L20" s="107"/>
    </row>
    <row r="21" spans="2:14" ht="17.399999999999999" x14ac:dyDescent="0.3">
      <c r="B21" s="107"/>
      <c r="C21" s="119" t="s">
        <v>171</v>
      </c>
      <c r="D21" s="119"/>
      <c r="E21" s="120"/>
      <c r="F21" s="107"/>
      <c r="G21" s="107"/>
      <c r="H21" s="176" t="s">
        <v>370</v>
      </c>
      <c r="I21" s="112"/>
      <c r="J21" s="122"/>
      <c r="K21" s="107"/>
      <c r="L21" s="107"/>
    </row>
    <row r="22" spans="2:14" ht="15.6" x14ac:dyDescent="0.3">
      <c r="B22" s="107"/>
      <c r="C22" s="123" t="s">
        <v>172</v>
      </c>
      <c r="D22" s="183">
        <f>'REPORT unit OB'!J40</f>
        <v>6335696322.349102</v>
      </c>
      <c r="E22" s="183"/>
      <c r="F22" s="183"/>
      <c r="G22" s="107"/>
      <c r="H22" s="109" t="s">
        <v>181</v>
      </c>
      <c r="I22" s="125">
        <f>J22/$J$30</f>
        <v>0.35530102097473693</v>
      </c>
      <c r="J22" s="126">
        <f>D22/E11</f>
        <v>41479.430083214254</v>
      </c>
      <c r="K22" s="127">
        <f>J22/$J$32</f>
        <v>2.7936038579750981</v>
      </c>
      <c r="L22" s="127"/>
    </row>
    <row r="23" spans="2:14" ht="15.6" x14ac:dyDescent="0.3">
      <c r="B23" s="107"/>
      <c r="C23" s="123" t="s">
        <v>173</v>
      </c>
      <c r="D23" s="183">
        <f>'REPORT unit QUARRY'!J29</f>
        <v>1349807297.0610795</v>
      </c>
      <c r="E23" s="183"/>
      <c r="F23" s="183"/>
      <c r="G23" s="107"/>
      <c r="H23" s="109" t="s">
        <v>182</v>
      </c>
      <c r="I23" s="125">
        <f t="shared" ref="I23:I27" si="2">J23/$J$30</f>
        <v>7.5696164456811196E-2</v>
      </c>
      <c r="J23" s="126">
        <f>D23/E11</f>
        <v>8837.1087494765197</v>
      </c>
      <c r="K23" s="127">
        <f t="shared" ref="K23:K27" si="3">J23/$J$32</f>
        <v>0.59517165608004574</v>
      </c>
      <c r="L23" s="127"/>
    </row>
    <row r="24" spans="2:14" ht="15.6" x14ac:dyDescent="0.3">
      <c r="B24" s="107"/>
      <c r="C24" s="123" t="s">
        <v>174</v>
      </c>
      <c r="D24" s="183">
        <f>'REPORT unit DEVELOP'!J12</f>
        <v>114657000</v>
      </c>
      <c r="E24" s="183"/>
      <c r="F24" s="183"/>
      <c r="G24" s="107"/>
      <c r="H24" s="109" t="s">
        <v>177</v>
      </c>
      <c r="I24" s="125">
        <f t="shared" si="2"/>
        <v>6.4298771735947042E-3</v>
      </c>
      <c r="J24" s="126">
        <f>D24/E11</f>
        <v>750.65261544728469</v>
      </c>
      <c r="K24" s="127">
        <f t="shared" si="3"/>
        <v>5.0555806536050962E-2</v>
      </c>
      <c r="L24" s="127"/>
    </row>
    <row r="25" spans="2:14" ht="15.6" x14ac:dyDescent="0.3">
      <c r="B25" s="107"/>
      <c r="C25" s="123" t="s">
        <v>175</v>
      </c>
      <c r="D25" s="183">
        <f>'REPORT unit ORE GETTING'!J38</f>
        <v>2556683769.3262773</v>
      </c>
      <c r="E25" s="183"/>
      <c r="F25" s="183"/>
      <c r="G25" s="107"/>
      <c r="H25" s="109" t="s">
        <v>178</v>
      </c>
      <c r="I25" s="125">
        <f t="shared" si="2"/>
        <v>0.14337687719451145</v>
      </c>
      <c r="J25" s="126">
        <f>D25/E11</f>
        <v>16738.45782042433</v>
      </c>
      <c r="K25" s="127">
        <f t="shared" si="3"/>
        <v>1.1273207045005611</v>
      </c>
      <c r="L25" s="127"/>
    </row>
    <row r="26" spans="2:14" ht="15.6" x14ac:dyDescent="0.3">
      <c r="B26" s="107"/>
      <c r="C26" s="123" t="s">
        <v>176</v>
      </c>
      <c r="D26" s="183">
        <f>'REPORT unit DT HAUL'!M80</f>
        <v>7115945500</v>
      </c>
      <c r="E26" s="183"/>
      <c r="F26" s="183"/>
      <c r="G26" s="107"/>
      <c r="H26" s="109" t="s">
        <v>179</v>
      </c>
      <c r="I26" s="125">
        <f t="shared" si="2"/>
        <v>0.39905680018659095</v>
      </c>
      <c r="J26" s="126">
        <f>D26/E11</f>
        <v>46587.675422829278</v>
      </c>
      <c r="K26" s="127">
        <f t="shared" si="3"/>
        <v>3.1376397779383942</v>
      </c>
      <c r="L26" s="127"/>
    </row>
    <row r="27" spans="2:14" ht="15.6" x14ac:dyDescent="0.3">
      <c r="B27" s="107"/>
      <c r="C27" s="123" t="s">
        <v>83</v>
      </c>
      <c r="D27" s="183">
        <f>'REPORT unit LV &amp; support'!H44</f>
        <v>359121500</v>
      </c>
      <c r="E27" s="183"/>
      <c r="F27" s="183"/>
      <c r="G27" s="107"/>
      <c r="H27" s="109" t="s">
        <v>180</v>
      </c>
      <c r="I27" s="125">
        <f t="shared" si="2"/>
        <v>2.0139260013754861E-2</v>
      </c>
      <c r="J27" s="126">
        <f>D27/E11</f>
        <v>2351.1472761222785</v>
      </c>
      <c r="K27" s="127">
        <f t="shared" si="3"/>
        <v>0.15834774219573536</v>
      </c>
      <c r="L27" s="127"/>
    </row>
    <row r="28" spans="2:14" ht="15.6" x14ac:dyDescent="0.3">
      <c r="B28" s="107"/>
      <c r="C28" s="123"/>
      <c r="D28" s="123"/>
      <c r="E28" s="124"/>
      <c r="F28" s="107"/>
      <c r="G28" s="107"/>
      <c r="H28" s="115"/>
      <c r="I28" s="128">
        <f>SUM(I22:I27)</f>
        <v>1</v>
      </c>
      <c r="J28" s="129">
        <f t="shared" ref="J28:K28" si="4">SUM(J22:J27)</f>
        <v>116744.47196751395</v>
      </c>
      <c r="K28" s="130">
        <f t="shared" si="4"/>
        <v>7.8626395452258855</v>
      </c>
      <c r="L28" s="130"/>
    </row>
    <row r="29" spans="2:14" ht="15.6" x14ac:dyDescent="0.3">
      <c r="B29" s="107"/>
      <c r="C29" s="131"/>
      <c r="D29" s="131"/>
      <c r="E29" s="132"/>
      <c r="F29" s="107"/>
      <c r="G29" s="107"/>
      <c r="H29" s="133"/>
      <c r="I29" s="125"/>
      <c r="J29" s="134"/>
      <c r="K29" s="135"/>
      <c r="L29" s="135"/>
    </row>
    <row r="30" spans="2:14" ht="18" x14ac:dyDescent="0.3">
      <c r="B30" s="107"/>
      <c r="C30" s="136" t="s">
        <v>46</v>
      </c>
      <c r="D30" s="197">
        <f>SUM(D22:F27)</f>
        <v>17831911388.736458</v>
      </c>
      <c r="E30" s="197"/>
      <c r="F30" s="197"/>
      <c r="G30" s="138"/>
      <c r="H30" s="133" t="s">
        <v>95</v>
      </c>
      <c r="I30" s="139"/>
      <c r="J30" s="190">
        <f>D30/E11</f>
        <v>116744.47196751393</v>
      </c>
      <c r="K30" s="190"/>
      <c r="L30" s="135"/>
    </row>
    <row r="31" spans="2:14" ht="18" x14ac:dyDescent="0.3">
      <c r="B31" s="107"/>
      <c r="C31" s="136" t="s">
        <v>49</v>
      </c>
      <c r="D31" s="191">
        <f>E11*(J33*J32)</f>
        <v>23813258703.360001</v>
      </c>
      <c r="E31" s="191"/>
      <c r="F31" s="191"/>
      <c r="G31" s="138"/>
      <c r="H31" s="133" t="s">
        <v>85</v>
      </c>
      <c r="I31" s="139"/>
      <c r="J31" s="192">
        <f>J30/J32</f>
        <v>7.8626395452258846</v>
      </c>
      <c r="K31" s="192"/>
      <c r="L31" s="142"/>
    </row>
    <row r="32" spans="2:14" ht="18" x14ac:dyDescent="0.3">
      <c r="B32" s="107"/>
      <c r="C32" s="136"/>
      <c r="D32" s="191"/>
      <c r="E32" s="191"/>
      <c r="F32" s="191"/>
      <c r="G32" s="138"/>
      <c r="H32" s="143" t="s">
        <v>80</v>
      </c>
      <c r="I32" s="144"/>
      <c r="J32" s="193">
        <v>14848</v>
      </c>
      <c r="K32" s="193"/>
      <c r="L32" s="107"/>
    </row>
    <row r="33" spans="2:12" ht="18" x14ac:dyDescent="0.3">
      <c r="B33" s="107"/>
      <c r="C33" s="194" t="s">
        <v>81</v>
      </c>
      <c r="D33" s="195">
        <f>D31-D30</f>
        <v>5981347314.6235428</v>
      </c>
      <c r="E33" s="195"/>
      <c r="F33" s="195"/>
      <c r="G33" s="107"/>
      <c r="H33" s="143" t="s">
        <v>86</v>
      </c>
      <c r="I33" s="144"/>
      <c r="J33" s="196">
        <v>10.5</v>
      </c>
      <c r="K33" s="196"/>
      <c r="L33" s="107"/>
    </row>
    <row r="34" spans="2:12" ht="18" x14ac:dyDescent="0.3">
      <c r="B34" s="107"/>
      <c r="C34" s="194"/>
      <c r="D34" s="195"/>
      <c r="E34" s="195"/>
      <c r="F34" s="195"/>
      <c r="G34" s="107"/>
      <c r="H34" s="143"/>
      <c r="I34" s="144"/>
      <c r="J34" s="150"/>
      <c r="K34" s="107"/>
      <c r="L34" s="107"/>
    </row>
    <row r="35" spans="2:12" ht="14.4" customHeight="1" x14ac:dyDescent="0.3">
      <c r="B35" s="189" t="str">
        <f>IF(D31&lt;D30,("….RUGI …..!!!!!"),("OKE….."))</f>
        <v>OKE…..</v>
      </c>
      <c r="C35" s="189"/>
      <c r="D35" s="189"/>
      <c r="E35" s="189"/>
      <c r="F35" s="189"/>
      <c r="G35" s="189"/>
      <c r="H35" s="189"/>
      <c r="I35" s="189"/>
      <c r="J35" s="189"/>
      <c r="K35" s="189"/>
      <c r="L35" s="189"/>
    </row>
    <row r="36" spans="2:12" ht="14.4" customHeight="1" x14ac:dyDescent="0.3"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</row>
    <row r="37" spans="2:12" ht="14.4" customHeight="1" x14ac:dyDescent="0.3"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</row>
    <row r="39" spans="2:12" x14ac:dyDescent="0.3">
      <c r="H39" s="153"/>
    </row>
  </sheetData>
  <mergeCells count="21">
    <mergeCell ref="B35:L37"/>
    <mergeCell ref="J30:K30"/>
    <mergeCell ref="D31:F31"/>
    <mergeCell ref="J31:K31"/>
    <mergeCell ref="D32:F32"/>
    <mergeCell ref="J32:K32"/>
    <mergeCell ref="C33:C34"/>
    <mergeCell ref="D33:F34"/>
    <mergeCell ref="J33:K33"/>
    <mergeCell ref="D30:F30"/>
    <mergeCell ref="D23:F23"/>
    <mergeCell ref="D24:F24"/>
    <mergeCell ref="D25:F25"/>
    <mergeCell ref="D26:F26"/>
    <mergeCell ref="D27:F27"/>
    <mergeCell ref="D22:F22"/>
    <mergeCell ref="B2:L3"/>
    <mergeCell ref="C5:C7"/>
    <mergeCell ref="D5:F7"/>
    <mergeCell ref="H5:J7"/>
    <mergeCell ref="H17:H19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07" t="s">
        <v>1</v>
      </c>
      <c r="D2" s="207" t="s">
        <v>2</v>
      </c>
      <c r="E2" s="207" t="s">
        <v>3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6" t="s">
        <v>4</v>
      </c>
      <c r="AK2" s="206" t="s">
        <v>57</v>
      </c>
      <c r="AL2" s="3"/>
    </row>
    <row r="3" spans="2:38" s="4" customFormat="1" x14ac:dyDescent="0.3">
      <c r="B3" s="4" t="s">
        <v>5</v>
      </c>
      <c r="C3" s="207"/>
      <c r="D3" s="207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06"/>
      <c r="AK3" s="206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07" t="s">
        <v>21</v>
      </c>
      <c r="C29" s="207"/>
      <c r="D29" s="207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08" t="s">
        <v>12</v>
      </c>
      <c r="AA32" s="208"/>
      <c r="AB32" s="208"/>
      <c r="AG32" s="208" t="s">
        <v>13</v>
      </c>
      <c r="AH32" s="208"/>
      <c r="AI32" s="208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08" t="s">
        <v>19</v>
      </c>
      <c r="AA36" s="208"/>
      <c r="AB36" s="208"/>
      <c r="AG36" s="208" t="s">
        <v>20</v>
      </c>
      <c r="AH36" s="208"/>
      <c r="AI36" s="208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07" t="s">
        <v>1</v>
      </c>
      <c r="E2" s="207" t="s">
        <v>2</v>
      </c>
      <c r="F2" s="207" t="s">
        <v>22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6" t="s">
        <v>23</v>
      </c>
      <c r="AL2" s="206" t="s">
        <v>24</v>
      </c>
      <c r="AN2" s="3"/>
    </row>
    <row r="3" spans="1:40" s="4" customFormat="1" x14ac:dyDescent="0.3">
      <c r="C3" s="4" t="s">
        <v>5</v>
      </c>
      <c r="D3" s="207"/>
      <c r="E3" s="207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06"/>
      <c r="AL3" s="206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08" t="s">
        <v>12</v>
      </c>
      <c r="AB33" s="208"/>
      <c r="AC33" s="208"/>
      <c r="AH33" s="208" t="s">
        <v>13</v>
      </c>
      <c r="AI33" s="208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08" t="s">
        <v>9</v>
      </c>
      <c r="U35" s="208"/>
      <c r="V35" s="208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08" t="s">
        <v>19</v>
      </c>
      <c r="AB37" s="208"/>
      <c r="AC37" s="208"/>
      <c r="AH37" s="208" t="s">
        <v>20</v>
      </c>
      <c r="AI37" s="208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AA33:AC33"/>
    <mergeCell ref="AH33:AI33"/>
    <mergeCell ref="T35:V35"/>
    <mergeCell ref="AA37:AC37"/>
    <mergeCell ref="AH37:AI37"/>
    <mergeCell ref="D2:D3"/>
    <mergeCell ref="E2:E3"/>
    <mergeCell ref="F2:AJ2"/>
    <mergeCell ref="AK2:AK3"/>
    <mergeCell ref="AL2:AL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4"/>
  <sheetViews>
    <sheetView topLeftCell="J109" workbookViewId="0">
      <selection activeCell="Q136" sqref="Q136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96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345</v>
      </c>
      <c r="P2" s="64" t="s">
        <v>346</v>
      </c>
    </row>
    <row r="3" spans="1:16" x14ac:dyDescent="0.3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3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3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277</v>
      </c>
      <c r="P6" s="64" t="s">
        <v>150</v>
      </c>
    </row>
    <row r="7" spans="1:16" x14ac:dyDescent="0.3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285</v>
      </c>
      <c r="P7" s="64" t="s">
        <v>113</v>
      </c>
    </row>
    <row r="8" spans="1:16" x14ac:dyDescent="0.3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312</v>
      </c>
      <c r="P8" s="64" t="s">
        <v>113</v>
      </c>
    </row>
    <row r="9" spans="1:16" x14ac:dyDescent="0.3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278</v>
      </c>
      <c r="P9" s="64" t="s">
        <v>113</v>
      </c>
    </row>
    <row r="10" spans="1:16" x14ac:dyDescent="0.3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3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286</v>
      </c>
      <c r="P11" s="64" t="s">
        <v>113</v>
      </c>
    </row>
    <row r="12" spans="1:16" x14ac:dyDescent="0.3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3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341</v>
      </c>
      <c r="P13" s="64" t="s">
        <v>112</v>
      </c>
    </row>
    <row r="14" spans="1:16" x14ac:dyDescent="0.3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300</v>
      </c>
      <c r="P14" s="64" t="s">
        <v>112</v>
      </c>
    </row>
    <row r="15" spans="1:16" x14ac:dyDescent="0.3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287</v>
      </c>
      <c r="P15" s="64" t="s">
        <v>112</v>
      </c>
    </row>
    <row r="16" spans="1:16" x14ac:dyDescent="0.3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301</v>
      </c>
      <c r="P16" s="64" t="s">
        <v>112</v>
      </c>
    </row>
    <row r="17" spans="1:16" x14ac:dyDescent="0.3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302</v>
      </c>
      <c r="P17" s="64" t="s">
        <v>112</v>
      </c>
    </row>
    <row r="18" spans="1:16" x14ac:dyDescent="0.3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313</v>
      </c>
      <c r="P18" s="64" t="s">
        <v>112</v>
      </c>
    </row>
    <row r="19" spans="1:16" x14ac:dyDescent="0.3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3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3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O21" s="64" t="s">
        <v>303</v>
      </c>
      <c r="P21" s="64" t="s">
        <v>111</v>
      </c>
    </row>
    <row r="22" spans="1:16" x14ac:dyDescent="0.3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304</v>
      </c>
      <c r="P22" s="64" t="s">
        <v>111</v>
      </c>
    </row>
    <row r="23" spans="1:16" x14ac:dyDescent="0.3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305</v>
      </c>
      <c r="P23" s="64" t="s">
        <v>111</v>
      </c>
    </row>
    <row r="24" spans="1:16" x14ac:dyDescent="0.3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306</v>
      </c>
      <c r="P24" s="64" t="s">
        <v>111</v>
      </c>
    </row>
    <row r="25" spans="1:16" x14ac:dyDescent="0.3">
      <c r="A25" s="64">
        <v>20</v>
      </c>
      <c r="B25" s="64" t="s">
        <v>38</v>
      </c>
      <c r="C25" s="64">
        <v>10</v>
      </c>
      <c r="D25" s="57"/>
      <c r="E25" s="57"/>
      <c r="F25" s="57"/>
      <c r="H25" s="53">
        <v>8000000</v>
      </c>
      <c r="I25" s="53"/>
      <c r="J25" s="53"/>
      <c r="K25" s="53">
        <v>8000000</v>
      </c>
      <c r="O25" s="64" t="s">
        <v>307</v>
      </c>
      <c r="P25" s="64" t="s">
        <v>111</v>
      </c>
    </row>
    <row r="26" spans="1:16" x14ac:dyDescent="0.3">
      <c r="A26" s="64">
        <v>21</v>
      </c>
      <c r="B26" s="64" t="s">
        <v>133</v>
      </c>
      <c r="C26" s="64">
        <v>4</v>
      </c>
      <c r="D26" s="57"/>
      <c r="E26" s="57"/>
      <c r="F26" s="57"/>
      <c r="H26" s="53">
        <v>3000000</v>
      </c>
      <c r="I26" s="53"/>
      <c r="J26" s="53"/>
      <c r="K26" s="53">
        <v>3000000</v>
      </c>
      <c r="O26" s="64" t="s">
        <v>193</v>
      </c>
      <c r="P26" s="64" t="s">
        <v>111</v>
      </c>
    </row>
    <row r="27" spans="1:16" x14ac:dyDescent="0.3">
      <c r="A27" s="65">
        <v>22</v>
      </c>
      <c r="B27" s="64" t="s">
        <v>152</v>
      </c>
      <c r="C27" s="65">
        <v>10</v>
      </c>
      <c r="D27" s="65"/>
      <c r="E27" s="65"/>
      <c r="F27" s="65"/>
      <c r="G27" s="65"/>
      <c r="H27" s="53">
        <v>12000000</v>
      </c>
      <c r="K27" s="53">
        <f>Table2[[#This Row],[Column4]]</f>
        <v>12000000</v>
      </c>
      <c r="O27" s="64" t="s">
        <v>194</v>
      </c>
      <c r="P27" s="64" t="s">
        <v>111</v>
      </c>
    </row>
    <row r="28" spans="1:16" x14ac:dyDescent="0.3">
      <c r="A28" s="209" t="s">
        <v>134</v>
      </c>
      <c r="B28" s="209"/>
      <c r="C28" s="209"/>
      <c r="O28" s="64" t="s">
        <v>342</v>
      </c>
      <c r="P28" s="64" t="s">
        <v>111</v>
      </c>
    </row>
    <row r="29" spans="1:16" x14ac:dyDescent="0.3">
      <c r="J29" s="154" t="s">
        <v>351</v>
      </c>
      <c r="O29" s="64" t="s">
        <v>195</v>
      </c>
      <c r="P29" s="64" t="s">
        <v>109</v>
      </c>
    </row>
    <row r="30" spans="1:16" ht="14.4" thickBot="1" x14ac:dyDescent="0.35">
      <c r="A30" s="58" t="s">
        <v>1</v>
      </c>
      <c r="B30" s="59" t="s">
        <v>88</v>
      </c>
      <c r="C30" s="59" t="s">
        <v>135</v>
      </c>
      <c r="O30" s="64" t="s">
        <v>196</v>
      </c>
      <c r="P30" s="64" t="s">
        <v>114</v>
      </c>
    </row>
    <row r="31" spans="1:16" ht="14.4" thickTop="1" x14ac:dyDescent="0.3">
      <c r="A31" s="64">
        <v>1</v>
      </c>
      <c r="B31" s="64" t="s">
        <v>136</v>
      </c>
      <c r="C31" s="60">
        <v>24</v>
      </c>
      <c r="O31" s="64" t="s">
        <v>288</v>
      </c>
      <c r="P31" s="64" t="s">
        <v>114</v>
      </c>
    </row>
    <row r="32" spans="1:16" x14ac:dyDescent="0.3">
      <c r="A32" s="64">
        <v>2</v>
      </c>
      <c r="B32" s="64" t="s">
        <v>137</v>
      </c>
      <c r="C32" s="60">
        <v>16</v>
      </c>
      <c r="O32" s="64" t="s">
        <v>197</v>
      </c>
      <c r="P32" s="64" t="s">
        <v>114</v>
      </c>
    </row>
    <row r="33" spans="1:16" x14ac:dyDescent="0.3">
      <c r="A33" s="64">
        <v>3</v>
      </c>
      <c r="B33" s="61" t="s">
        <v>138</v>
      </c>
      <c r="C33" s="60">
        <v>8</v>
      </c>
      <c r="O33" s="64" t="s">
        <v>198</v>
      </c>
      <c r="P33" s="64" t="s">
        <v>114</v>
      </c>
    </row>
    <row r="34" spans="1:16" x14ac:dyDescent="0.3">
      <c r="A34" s="64">
        <v>4</v>
      </c>
      <c r="B34" s="64" t="s">
        <v>139</v>
      </c>
      <c r="C34" s="60">
        <v>16</v>
      </c>
      <c r="O34" s="64" t="s">
        <v>199</v>
      </c>
      <c r="P34" s="64" t="s">
        <v>114</v>
      </c>
    </row>
    <row r="35" spans="1:16" x14ac:dyDescent="0.3">
      <c r="A35" s="64">
        <v>5</v>
      </c>
      <c r="B35" s="64" t="s">
        <v>140</v>
      </c>
      <c r="C35" s="60">
        <v>8</v>
      </c>
      <c r="O35" s="64" t="s">
        <v>200</v>
      </c>
      <c r="P35" s="64" t="s">
        <v>114</v>
      </c>
    </row>
    <row r="36" spans="1:16" x14ac:dyDescent="0.3">
      <c r="O36" s="64" t="s">
        <v>201</v>
      </c>
      <c r="P36" s="64" t="s">
        <v>114</v>
      </c>
    </row>
    <row r="37" spans="1:16" x14ac:dyDescent="0.3">
      <c r="O37" s="64" t="s">
        <v>202</v>
      </c>
      <c r="P37" s="64" t="s">
        <v>114</v>
      </c>
    </row>
    <row r="38" spans="1:16" x14ac:dyDescent="0.3">
      <c r="B38" s="64">
        <v>14652.34</v>
      </c>
      <c r="O38" s="64" t="s">
        <v>203</v>
      </c>
      <c r="P38" s="64" t="s">
        <v>114</v>
      </c>
    </row>
    <row r="39" spans="1:16" x14ac:dyDescent="0.3">
      <c r="O39" s="64" t="s">
        <v>204</v>
      </c>
      <c r="P39" s="64" t="s">
        <v>114</v>
      </c>
    </row>
    <row r="40" spans="1:16" x14ac:dyDescent="0.3">
      <c r="O40" s="64" t="s">
        <v>298</v>
      </c>
      <c r="P40" s="64" t="s">
        <v>116</v>
      </c>
    </row>
    <row r="41" spans="1:16" x14ac:dyDescent="0.3">
      <c r="O41" s="64" t="s">
        <v>317</v>
      </c>
      <c r="P41" s="64" t="s">
        <v>116</v>
      </c>
    </row>
    <row r="42" spans="1:16" x14ac:dyDescent="0.3">
      <c r="O42" s="64" t="s">
        <v>289</v>
      </c>
      <c r="P42" s="64" t="s">
        <v>116</v>
      </c>
    </row>
    <row r="43" spans="1:16" x14ac:dyDescent="0.3">
      <c r="O43" s="64" t="s">
        <v>299</v>
      </c>
      <c r="P43" s="64" t="s">
        <v>116</v>
      </c>
    </row>
    <row r="44" spans="1:16" x14ac:dyDescent="0.3">
      <c r="O44" s="64" t="s">
        <v>290</v>
      </c>
      <c r="P44" s="64" t="s">
        <v>116</v>
      </c>
    </row>
    <row r="45" spans="1:16" x14ac:dyDescent="0.3">
      <c r="O45" s="64" t="s">
        <v>291</v>
      </c>
      <c r="P45" s="64" t="s">
        <v>116</v>
      </c>
    </row>
    <row r="46" spans="1:16" x14ac:dyDescent="0.3">
      <c r="O46" s="64" t="s">
        <v>292</v>
      </c>
      <c r="P46" s="64" t="s">
        <v>116</v>
      </c>
    </row>
    <row r="47" spans="1:16" x14ac:dyDescent="0.3">
      <c r="O47" s="64" t="s">
        <v>205</v>
      </c>
      <c r="P47" s="64" t="s">
        <v>116</v>
      </c>
    </row>
    <row r="48" spans="1:16" x14ac:dyDescent="0.3">
      <c r="O48" s="64" t="s">
        <v>206</v>
      </c>
      <c r="P48" s="64" t="s">
        <v>116</v>
      </c>
    </row>
    <row r="49" spans="15:16" x14ac:dyDescent="0.3">
      <c r="O49" s="64" t="s">
        <v>207</v>
      </c>
      <c r="P49" s="64" t="s">
        <v>116</v>
      </c>
    </row>
    <row r="50" spans="15:16" x14ac:dyDescent="0.3">
      <c r="O50" s="64" t="s">
        <v>208</v>
      </c>
      <c r="P50" s="64" t="s">
        <v>116</v>
      </c>
    </row>
    <row r="51" spans="15:16" x14ac:dyDescent="0.3">
      <c r="O51" s="64" t="s">
        <v>209</v>
      </c>
      <c r="P51" s="64" t="s">
        <v>116</v>
      </c>
    </row>
    <row r="52" spans="15:16" x14ac:dyDescent="0.3">
      <c r="O52" s="64" t="s">
        <v>210</v>
      </c>
      <c r="P52" s="64" t="s">
        <v>116</v>
      </c>
    </row>
    <row r="53" spans="15:16" x14ac:dyDescent="0.3">
      <c r="O53" s="64" t="s">
        <v>211</v>
      </c>
      <c r="P53" s="64" t="s">
        <v>116</v>
      </c>
    </row>
    <row r="54" spans="15:16" x14ac:dyDescent="0.3">
      <c r="O54" s="64" t="s">
        <v>212</v>
      </c>
      <c r="P54" s="64" t="s">
        <v>116</v>
      </c>
    </row>
    <row r="55" spans="15:16" x14ac:dyDescent="0.3">
      <c r="O55" s="64" t="s">
        <v>213</v>
      </c>
      <c r="P55" s="64" t="s">
        <v>116</v>
      </c>
    </row>
    <row r="56" spans="15:16" x14ac:dyDescent="0.3">
      <c r="O56" s="64" t="s">
        <v>214</v>
      </c>
      <c r="P56" s="64" t="s">
        <v>116</v>
      </c>
    </row>
    <row r="57" spans="15:16" x14ac:dyDescent="0.3">
      <c r="O57" s="64" t="s">
        <v>215</v>
      </c>
      <c r="P57" s="64" t="s">
        <v>116</v>
      </c>
    </row>
    <row r="58" spans="15:16" x14ac:dyDescent="0.3">
      <c r="O58" s="64" t="s">
        <v>216</v>
      </c>
      <c r="P58" s="64" t="s">
        <v>116</v>
      </c>
    </row>
    <row r="59" spans="15:16" x14ac:dyDescent="0.3">
      <c r="O59" s="64" t="s">
        <v>217</v>
      </c>
      <c r="P59" s="64" t="s">
        <v>116</v>
      </c>
    </row>
    <row r="60" spans="15:16" x14ac:dyDescent="0.3">
      <c r="O60" s="64" t="s">
        <v>218</v>
      </c>
      <c r="P60" s="64" t="s">
        <v>116</v>
      </c>
    </row>
    <row r="61" spans="15:16" x14ac:dyDescent="0.3">
      <c r="O61" s="64" t="s">
        <v>279</v>
      </c>
      <c r="P61" s="64" t="s">
        <v>116</v>
      </c>
    </row>
    <row r="62" spans="15:16" x14ac:dyDescent="0.3">
      <c r="O62" s="64" t="s">
        <v>280</v>
      </c>
      <c r="P62" s="64" t="s">
        <v>116</v>
      </c>
    </row>
    <row r="63" spans="15:16" x14ac:dyDescent="0.3">
      <c r="O63" s="64" t="s">
        <v>281</v>
      </c>
      <c r="P63" s="64" t="s">
        <v>116</v>
      </c>
    </row>
    <row r="64" spans="15:16" x14ac:dyDescent="0.3">
      <c r="O64" s="64" t="s">
        <v>324</v>
      </c>
      <c r="P64" s="64" t="s">
        <v>120</v>
      </c>
    </row>
    <row r="65" spans="15:16" x14ac:dyDescent="0.3">
      <c r="O65" s="64" t="s">
        <v>293</v>
      </c>
      <c r="P65" s="64" t="s">
        <v>120</v>
      </c>
    </row>
    <row r="66" spans="15:16" x14ac:dyDescent="0.3">
      <c r="O66" s="64" t="s">
        <v>294</v>
      </c>
      <c r="P66" s="64" t="s">
        <v>120</v>
      </c>
    </row>
    <row r="67" spans="15:16" x14ac:dyDescent="0.3">
      <c r="O67" s="64" t="s">
        <v>219</v>
      </c>
      <c r="P67" s="64" t="s">
        <v>120</v>
      </c>
    </row>
    <row r="68" spans="15:16" x14ac:dyDescent="0.3">
      <c r="O68" s="64" t="s">
        <v>220</v>
      </c>
      <c r="P68" s="64" t="s">
        <v>120</v>
      </c>
    </row>
    <row r="69" spans="15:16" x14ac:dyDescent="0.3">
      <c r="O69" s="64" t="s">
        <v>221</v>
      </c>
      <c r="P69" s="64" t="s">
        <v>120</v>
      </c>
    </row>
    <row r="70" spans="15:16" x14ac:dyDescent="0.3">
      <c r="O70" s="64" t="s">
        <v>222</v>
      </c>
      <c r="P70" s="64" t="s">
        <v>120</v>
      </c>
    </row>
    <row r="71" spans="15:16" x14ac:dyDescent="0.3">
      <c r="O71" s="64" t="s">
        <v>282</v>
      </c>
      <c r="P71" s="64" t="s">
        <v>120</v>
      </c>
    </row>
    <row r="72" spans="15:16" x14ac:dyDescent="0.3">
      <c r="O72" s="64" t="s">
        <v>308</v>
      </c>
      <c r="P72" s="64" t="s">
        <v>118</v>
      </c>
    </row>
    <row r="73" spans="15:16" x14ac:dyDescent="0.3">
      <c r="O73" s="64" t="s">
        <v>223</v>
      </c>
      <c r="P73" s="64" t="s">
        <v>118</v>
      </c>
    </row>
    <row r="74" spans="15:16" x14ac:dyDescent="0.3">
      <c r="O74" s="64" t="s">
        <v>295</v>
      </c>
      <c r="P74" s="64" t="s">
        <v>118</v>
      </c>
    </row>
    <row r="75" spans="15:16" x14ac:dyDescent="0.3">
      <c r="O75" s="64" t="s">
        <v>224</v>
      </c>
      <c r="P75" s="64" t="s">
        <v>118</v>
      </c>
    </row>
    <row r="76" spans="15:16" x14ac:dyDescent="0.3">
      <c r="O76" s="64" t="s">
        <v>283</v>
      </c>
      <c r="P76" s="64" t="s">
        <v>118</v>
      </c>
    </row>
    <row r="77" spans="15:16" x14ac:dyDescent="0.3">
      <c r="O77" s="64" t="s">
        <v>225</v>
      </c>
      <c r="P77" s="64" t="s">
        <v>121</v>
      </c>
    </row>
    <row r="78" spans="15:16" x14ac:dyDescent="0.3">
      <c r="O78" s="64" t="s">
        <v>314</v>
      </c>
      <c r="P78" s="64" t="s">
        <v>129</v>
      </c>
    </row>
    <row r="79" spans="15:16" x14ac:dyDescent="0.3">
      <c r="O79" s="64" t="s">
        <v>315</v>
      </c>
      <c r="P79" s="64" t="s">
        <v>123</v>
      </c>
    </row>
    <row r="80" spans="15:16" x14ac:dyDescent="0.3">
      <c r="O80" s="64" t="s">
        <v>325</v>
      </c>
      <c r="P80" s="64" t="s">
        <v>123</v>
      </c>
    </row>
    <row r="81" spans="15:16" x14ac:dyDescent="0.3">
      <c r="O81" s="64" t="s">
        <v>226</v>
      </c>
      <c r="P81" s="64" t="s">
        <v>123</v>
      </c>
    </row>
    <row r="82" spans="15:16" x14ac:dyDescent="0.3">
      <c r="O82" s="64" t="s">
        <v>336</v>
      </c>
      <c r="P82" s="64" t="s">
        <v>38</v>
      </c>
    </row>
    <row r="83" spans="15:16" x14ac:dyDescent="0.3">
      <c r="O83" s="64" t="s">
        <v>269</v>
      </c>
      <c r="P83" s="64" t="s">
        <v>38</v>
      </c>
    </row>
    <row r="84" spans="15:16" x14ac:dyDescent="0.3">
      <c r="O84" s="64" t="s">
        <v>270</v>
      </c>
      <c r="P84" s="64" t="s">
        <v>38</v>
      </c>
    </row>
    <row r="85" spans="15:16" x14ac:dyDescent="0.3">
      <c r="O85" s="64" t="s">
        <v>271</v>
      </c>
      <c r="P85" s="64" t="s">
        <v>38</v>
      </c>
    </row>
    <row r="86" spans="15:16" x14ac:dyDescent="0.3">
      <c r="O86" s="64" t="s">
        <v>284</v>
      </c>
      <c r="P86" s="64" t="s">
        <v>38</v>
      </c>
    </row>
    <row r="87" spans="15:16" x14ac:dyDescent="0.3">
      <c r="O87" s="64" t="s">
        <v>337</v>
      </c>
      <c r="P87" s="64" t="s">
        <v>38</v>
      </c>
    </row>
    <row r="88" spans="15:16" x14ac:dyDescent="0.3">
      <c r="O88" s="64" t="s">
        <v>267</v>
      </c>
      <c r="P88" s="64" t="s">
        <v>38</v>
      </c>
    </row>
    <row r="89" spans="15:16" x14ac:dyDescent="0.3">
      <c r="O89" s="64" t="s">
        <v>311</v>
      </c>
      <c r="P89" s="64" t="s">
        <v>38</v>
      </c>
    </row>
    <row r="90" spans="15:16" x14ac:dyDescent="0.3">
      <c r="O90" s="64" t="s">
        <v>318</v>
      </c>
      <c r="P90" s="64" t="s">
        <v>38</v>
      </c>
    </row>
    <row r="91" spans="15:16" x14ac:dyDescent="0.3">
      <c r="O91" s="64" t="s">
        <v>343</v>
      </c>
      <c r="P91" s="64" t="s">
        <v>38</v>
      </c>
    </row>
    <row r="92" spans="15:16" x14ac:dyDescent="0.3">
      <c r="O92" s="64" t="s">
        <v>319</v>
      </c>
      <c r="P92" s="64" t="s">
        <v>38</v>
      </c>
    </row>
    <row r="93" spans="15:16" x14ac:dyDescent="0.3">
      <c r="O93" s="64" t="s">
        <v>320</v>
      </c>
      <c r="P93" s="64" t="s">
        <v>38</v>
      </c>
    </row>
    <row r="94" spans="15:16" x14ac:dyDescent="0.3">
      <c r="O94" s="64" t="s">
        <v>321</v>
      </c>
      <c r="P94" s="64" t="s">
        <v>38</v>
      </c>
    </row>
    <row r="95" spans="15:16" x14ac:dyDescent="0.3">
      <c r="O95" s="64" t="s">
        <v>348</v>
      </c>
      <c r="P95" s="64" t="s">
        <v>38</v>
      </c>
    </row>
    <row r="96" spans="15:16" x14ac:dyDescent="0.3">
      <c r="O96" s="64" t="s">
        <v>268</v>
      </c>
      <c r="P96" s="64" t="s">
        <v>38</v>
      </c>
    </row>
    <row r="97" spans="15:16" x14ac:dyDescent="0.3">
      <c r="O97" s="64" t="s">
        <v>322</v>
      </c>
      <c r="P97" s="64" t="s">
        <v>38</v>
      </c>
    </row>
    <row r="98" spans="15:16" x14ac:dyDescent="0.3">
      <c r="O98" s="64" t="s">
        <v>344</v>
      </c>
      <c r="P98" s="64" t="s">
        <v>38</v>
      </c>
    </row>
    <row r="99" spans="15:16" x14ac:dyDescent="0.3">
      <c r="O99" s="64" t="s">
        <v>296</v>
      </c>
      <c r="P99" s="64" t="s">
        <v>38</v>
      </c>
    </row>
    <row r="100" spans="15:16" x14ac:dyDescent="0.3">
      <c r="O100" s="64" t="s">
        <v>310</v>
      </c>
      <c r="P100" s="64" t="s">
        <v>38</v>
      </c>
    </row>
    <row r="101" spans="15:16" x14ac:dyDescent="0.3">
      <c r="O101" s="64" t="s">
        <v>323</v>
      </c>
      <c r="P101" s="64" t="s">
        <v>38</v>
      </c>
    </row>
    <row r="102" spans="15:16" x14ac:dyDescent="0.3">
      <c r="O102" s="64" t="s">
        <v>272</v>
      </c>
      <c r="P102" s="64" t="s">
        <v>130</v>
      </c>
    </row>
    <row r="103" spans="15:16" x14ac:dyDescent="0.3">
      <c r="O103" s="64" t="s">
        <v>326</v>
      </c>
      <c r="P103" s="64" t="s">
        <v>152</v>
      </c>
    </row>
    <row r="104" spans="15:16" x14ac:dyDescent="0.3">
      <c r="O104" s="64" t="s">
        <v>273</v>
      </c>
      <c r="P104" s="64" t="s">
        <v>130</v>
      </c>
    </row>
    <row r="105" spans="15:16" x14ac:dyDescent="0.3">
      <c r="O105" s="64" t="s">
        <v>274</v>
      </c>
      <c r="P105" s="64" t="s">
        <v>130</v>
      </c>
    </row>
    <row r="106" spans="15:16" x14ac:dyDescent="0.3">
      <c r="O106" s="64" t="s">
        <v>347</v>
      </c>
      <c r="P106" s="64" t="s">
        <v>130</v>
      </c>
    </row>
    <row r="107" spans="15:16" x14ac:dyDescent="0.3">
      <c r="O107" s="64" t="s">
        <v>338</v>
      </c>
      <c r="P107" s="64" t="s">
        <v>152</v>
      </c>
    </row>
    <row r="108" spans="15:16" x14ac:dyDescent="0.3">
      <c r="O108" s="64" t="s">
        <v>275</v>
      </c>
      <c r="P108" s="64" t="s">
        <v>152</v>
      </c>
    </row>
    <row r="109" spans="15:16" x14ac:dyDescent="0.3">
      <c r="O109" s="64" t="s">
        <v>276</v>
      </c>
      <c r="P109" s="64" t="s">
        <v>152</v>
      </c>
    </row>
    <row r="110" spans="15:16" x14ac:dyDescent="0.3">
      <c r="O110" s="64" t="s">
        <v>327</v>
      </c>
      <c r="P110" s="64" t="s">
        <v>152</v>
      </c>
    </row>
    <row r="111" spans="15:16" x14ac:dyDescent="0.3">
      <c r="O111" s="64" t="s">
        <v>340</v>
      </c>
    </row>
    <row r="112" spans="15:16" x14ac:dyDescent="0.3">
      <c r="O112" s="64" t="s">
        <v>354</v>
      </c>
      <c r="P112" s="64" t="s">
        <v>38</v>
      </c>
    </row>
    <row r="113" spans="15:16" x14ac:dyDescent="0.3">
      <c r="O113" s="64" t="s">
        <v>355</v>
      </c>
    </row>
    <row r="114" spans="15:16" x14ac:dyDescent="0.3">
      <c r="O114" s="64" t="s">
        <v>358</v>
      </c>
      <c r="P114" s="64" t="s">
        <v>118</v>
      </c>
    </row>
    <row r="115" spans="15:16" x14ac:dyDescent="0.3">
      <c r="O115" s="64" t="s">
        <v>398</v>
      </c>
      <c r="P115" s="64" t="s">
        <v>112</v>
      </c>
    </row>
    <row r="116" spans="15:16" x14ac:dyDescent="0.3">
      <c r="O116" s="64" t="s">
        <v>399</v>
      </c>
      <c r="P116" s="64" t="s">
        <v>115</v>
      </c>
    </row>
    <row r="117" spans="15:16" x14ac:dyDescent="0.3">
      <c r="O117" s="64" t="s">
        <v>359</v>
      </c>
      <c r="P117" s="64" t="s">
        <v>38</v>
      </c>
    </row>
    <row r="118" spans="15:16" x14ac:dyDescent="0.3">
      <c r="O118" s="64" t="s">
        <v>400</v>
      </c>
      <c r="P118" s="64" t="s">
        <v>152</v>
      </c>
    </row>
    <row r="119" spans="15:16" x14ac:dyDescent="0.3">
      <c r="O119" s="64" t="s">
        <v>403</v>
      </c>
      <c r="P119" s="64" t="s">
        <v>111</v>
      </c>
    </row>
    <row r="120" spans="15:16" x14ac:dyDescent="0.3">
      <c r="O120" s="64" t="s">
        <v>408</v>
      </c>
      <c r="P120" s="64" t="s">
        <v>111</v>
      </c>
    </row>
    <row r="121" spans="15:16" x14ac:dyDescent="0.3">
      <c r="O121" s="64" t="s">
        <v>414</v>
      </c>
      <c r="P121" s="64" t="s">
        <v>38</v>
      </c>
    </row>
    <row r="122" spans="15:16" x14ac:dyDescent="0.3">
      <c r="O122" s="64" t="s">
        <v>405</v>
      </c>
      <c r="P122" s="64" t="s">
        <v>38</v>
      </c>
    </row>
    <row r="123" spans="15:16" x14ac:dyDescent="0.3">
      <c r="O123" s="64" t="s">
        <v>415</v>
      </c>
      <c r="P123" s="64" t="s">
        <v>38</v>
      </c>
    </row>
    <row r="124" spans="15:16" x14ac:dyDescent="0.3">
      <c r="O124" s="64" t="s">
        <v>417</v>
      </c>
    </row>
  </sheetData>
  <autoFilter ref="O2:P2" xr:uid="{00000000-0001-0000-0000-000000000000}"/>
  <mergeCells count="1">
    <mergeCell ref="A28:C28"/>
  </mergeCells>
  <dataValidations count="1">
    <dataValidation type="list" allowBlank="1" showInputMessage="1" showErrorMessage="1" sqref="P1:P1048576" xr:uid="{36C518E1-E374-4D0C-9CAA-E2513EA46D10}">
      <formula1>$B$6:$B$27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zoomScale="85" zoomScaleNormal="85" workbookViewId="0">
      <selection activeCell="E15" sqref="E15"/>
    </sheetView>
  </sheetViews>
  <sheetFormatPr defaultRowHeight="14.4" x14ac:dyDescent="0.3"/>
  <cols>
    <col min="1" max="1" width="8.88671875" style="12"/>
    <col min="2" max="2" width="8.88671875" style="12" customWidth="1"/>
    <col min="3" max="3" width="31.5546875" style="12" bestFit="1" customWidth="1"/>
    <col min="4" max="4" width="6.5546875" style="12" customWidth="1"/>
    <col min="5" max="5" width="32.33203125" style="12" bestFit="1" customWidth="1"/>
    <col min="6" max="6" width="3.6640625" style="12" customWidth="1"/>
    <col min="7" max="7" width="28.109375" style="12" customWidth="1"/>
    <col min="8" max="8" width="10.44140625" style="12" customWidth="1"/>
    <col min="9" max="9" width="17.6640625" style="12" customWidth="1"/>
    <col min="10" max="10" width="9.109375" style="12" customWidth="1"/>
    <col min="11" max="16384" width="8.88671875" style="12"/>
  </cols>
  <sheetData>
    <row r="2" spans="2:10" x14ac:dyDescent="0.3">
      <c r="B2" s="184" t="s">
        <v>356</v>
      </c>
      <c r="C2" s="184"/>
      <c r="D2" s="184"/>
      <c r="E2" s="184"/>
      <c r="F2" s="184"/>
      <c r="G2" s="184"/>
      <c r="H2" s="184"/>
      <c r="I2" s="184"/>
      <c r="J2" s="184"/>
    </row>
    <row r="3" spans="2:10" x14ac:dyDescent="0.3">
      <c r="B3" s="184"/>
      <c r="C3" s="184"/>
      <c r="D3" s="184"/>
      <c r="E3" s="184"/>
      <c r="F3" s="184"/>
      <c r="G3" s="184"/>
      <c r="H3" s="184"/>
      <c r="I3" s="184"/>
      <c r="J3" s="184"/>
    </row>
    <row r="4" spans="2:10" x14ac:dyDescent="0.3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3">
      <c r="B5" s="107"/>
      <c r="C5" s="185" t="s">
        <v>185</v>
      </c>
      <c r="D5" s="186" t="s">
        <v>357</v>
      </c>
      <c r="E5" s="198"/>
      <c r="F5" s="107"/>
      <c r="G5" s="187" t="s">
        <v>184</v>
      </c>
      <c r="H5" s="199"/>
      <c r="I5" s="199"/>
      <c r="J5" s="107"/>
    </row>
    <row r="6" spans="2:10" ht="14.4" customHeight="1" x14ac:dyDescent="0.3">
      <c r="B6" s="107"/>
      <c r="C6" s="185"/>
      <c r="D6" s="198"/>
      <c r="E6" s="198"/>
      <c r="F6" s="107"/>
      <c r="G6" s="199"/>
      <c r="H6" s="199"/>
      <c r="I6" s="199"/>
      <c r="J6" s="107"/>
    </row>
    <row r="7" spans="2:10" ht="14.4" customHeight="1" x14ac:dyDescent="0.3">
      <c r="B7" s="107"/>
      <c r="C7" s="185"/>
      <c r="D7" s="198"/>
      <c r="E7" s="198"/>
      <c r="F7" s="107"/>
      <c r="G7" s="199"/>
      <c r="H7" s="199"/>
      <c r="I7" s="199"/>
      <c r="J7" s="107"/>
    </row>
    <row r="8" spans="2:10" ht="15.6" x14ac:dyDescent="0.3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5.6" x14ac:dyDescent="0.3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5.6" x14ac:dyDescent="0.3">
      <c r="B10" s="107"/>
      <c r="C10" s="109" t="s">
        <v>76</v>
      </c>
      <c r="D10" s="109"/>
      <c r="E10" s="110">
        <f>'REPORT unit DT HAUL'!D80</f>
        <v>152743.09</v>
      </c>
      <c r="F10" s="107"/>
      <c r="G10" s="109" t="s">
        <v>75</v>
      </c>
      <c r="H10" s="109"/>
      <c r="I10" s="109">
        <f>9*I9</f>
        <v>252</v>
      </c>
      <c r="J10" s="107"/>
    </row>
    <row r="11" spans="2:10" ht="15.6" x14ac:dyDescent="0.3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5.6" x14ac:dyDescent="0.3">
      <c r="B12" s="107"/>
      <c r="C12" s="109" t="s">
        <v>78</v>
      </c>
      <c r="D12" s="109"/>
      <c r="E12" s="110">
        <f>E9/E10</f>
        <v>1.1155146854761155</v>
      </c>
      <c r="F12" s="107"/>
      <c r="G12" s="109"/>
      <c r="H12" s="112"/>
      <c r="I12" s="109"/>
      <c r="J12" s="107"/>
    </row>
    <row r="13" spans="2:10" ht="15.6" x14ac:dyDescent="0.3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5.6" x14ac:dyDescent="0.3">
      <c r="B14" s="107"/>
      <c r="C14" s="109" t="s">
        <v>349</v>
      </c>
      <c r="D14" s="109"/>
      <c r="E14" s="113"/>
      <c r="F14" s="107"/>
      <c r="G14" s="114" t="s">
        <v>350</v>
      </c>
      <c r="H14" s="115"/>
      <c r="I14" s="109"/>
      <c r="J14" s="107"/>
    </row>
    <row r="15" spans="2:10" ht="15.6" x14ac:dyDescent="0.3">
      <c r="B15" s="107"/>
      <c r="C15" s="109" t="s">
        <v>165</v>
      </c>
      <c r="D15" s="109"/>
      <c r="E15" s="110">
        <f>(E9+E11)/AVERAGE('REPORT unit OB'!D8:D38)</f>
        <v>1261.748076923077</v>
      </c>
      <c r="F15" s="107"/>
      <c r="G15" s="115" t="s">
        <v>141</v>
      </c>
      <c r="H15" s="116" t="s">
        <v>142</v>
      </c>
      <c r="I15" s="117">
        <f>'REPORT unit OB'!G40+'REPORT unit QUARRY'!G29+'REPORT unit DEVELOP'!G12+'REPORT unit ORE GETTING'!G38+'REPORT unit DT HAUL'!H80+'REPORT unit LV &amp; support'!E44</f>
        <v>424666.66699578729</v>
      </c>
      <c r="J15" s="107"/>
    </row>
    <row r="16" spans="2:10" ht="15.6" x14ac:dyDescent="0.3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7.399999999999999" x14ac:dyDescent="0.3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5.6" x14ac:dyDescent="0.3">
      <c r="B18" s="107"/>
      <c r="C18" s="123" t="s">
        <v>172</v>
      </c>
      <c r="D18" s="120" t="s">
        <v>79</v>
      </c>
      <c r="E18" s="124">
        <f>'REPORT unit OB'!J40</f>
        <v>6335696322.349102</v>
      </c>
      <c r="F18" s="107"/>
      <c r="G18" s="109" t="s">
        <v>181</v>
      </c>
      <c r="H18" s="125">
        <f>I18/$I$26</f>
        <v>0.35530102097473693</v>
      </c>
      <c r="I18" s="126">
        <f>E18/E10</f>
        <v>41479.430083214254</v>
      </c>
      <c r="J18" s="127">
        <f>I18/$I$28</f>
        <v>2.7936038579750981</v>
      </c>
    </row>
    <row r="19" spans="2:10" ht="15.6" x14ac:dyDescent="0.3">
      <c r="B19" s="107"/>
      <c r="C19" s="123" t="s">
        <v>173</v>
      </c>
      <c r="D19" s="120" t="s">
        <v>79</v>
      </c>
      <c r="E19" s="124">
        <f>'REPORT unit QUARRY'!J29</f>
        <v>1349807297.0610795</v>
      </c>
      <c r="F19" s="107"/>
      <c r="G19" s="109" t="s">
        <v>182</v>
      </c>
      <c r="H19" s="125">
        <f t="shared" ref="H19:H23" si="0">I19/$I$26</f>
        <v>7.5696164456811196E-2</v>
      </c>
      <c r="I19" s="126">
        <f>E19/E10</f>
        <v>8837.1087494765197</v>
      </c>
      <c r="J19" s="127">
        <f t="shared" ref="J19:J23" si="1">I19/$I$28</f>
        <v>0.59517165608004574</v>
      </c>
    </row>
    <row r="20" spans="2:10" ht="15.6" x14ac:dyDescent="0.3">
      <c r="B20" s="107"/>
      <c r="C20" s="123" t="s">
        <v>174</v>
      </c>
      <c r="D20" s="120" t="s">
        <v>79</v>
      </c>
      <c r="E20" s="124">
        <f>'REPORT unit DEVELOP'!J12</f>
        <v>114657000</v>
      </c>
      <c r="F20" s="107"/>
      <c r="G20" s="109" t="s">
        <v>177</v>
      </c>
      <c r="H20" s="125">
        <f t="shared" si="0"/>
        <v>6.4298771735947042E-3</v>
      </c>
      <c r="I20" s="126">
        <f>E20/E10</f>
        <v>750.65261544728469</v>
      </c>
      <c r="J20" s="127">
        <f t="shared" si="1"/>
        <v>5.0555806536050962E-2</v>
      </c>
    </row>
    <row r="21" spans="2:10" ht="15.6" x14ac:dyDescent="0.3">
      <c r="B21" s="107"/>
      <c r="C21" s="123" t="s">
        <v>175</v>
      </c>
      <c r="D21" s="120" t="s">
        <v>79</v>
      </c>
      <c r="E21" s="124">
        <f>'REPORT unit ORE GETTING'!J38</f>
        <v>2556683769.3262773</v>
      </c>
      <c r="F21" s="107"/>
      <c r="G21" s="109" t="s">
        <v>178</v>
      </c>
      <c r="H21" s="125">
        <f t="shared" si="0"/>
        <v>0.14337687719451145</v>
      </c>
      <c r="I21" s="126">
        <f>E21/E10</f>
        <v>16738.45782042433</v>
      </c>
      <c r="J21" s="127">
        <f t="shared" si="1"/>
        <v>1.1273207045005611</v>
      </c>
    </row>
    <row r="22" spans="2:10" ht="15.6" x14ac:dyDescent="0.3">
      <c r="B22" s="107"/>
      <c r="C22" s="123" t="s">
        <v>176</v>
      </c>
      <c r="D22" s="120" t="s">
        <v>79</v>
      </c>
      <c r="E22" s="124">
        <f>'REPORT unit DT HAUL'!M80</f>
        <v>7115945500</v>
      </c>
      <c r="F22" s="107"/>
      <c r="G22" s="109" t="s">
        <v>179</v>
      </c>
      <c r="H22" s="125">
        <f t="shared" si="0"/>
        <v>0.39905680018659095</v>
      </c>
      <c r="I22" s="126">
        <f>E22/E10</f>
        <v>46587.675422829278</v>
      </c>
      <c r="J22" s="127">
        <f t="shared" si="1"/>
        <v>3.1376397779383942</v>
      </c>
    </row>
    <row r="23" spans="2:10" ht="15.6" x14ac:dyDescent="0.3">
      <c r="B23" s="107"/>
      <c r="C23" s="123" t="s">
        <v>83</v>
      </c>
      <c r="D23" s="120" t="s">
        <v>79</v>
      </c>
      <c r="E23" s="124">
        <f>'REPORT unit LV &amp; support'!H44</f>
        <v>359121500</v>
      </c>
      <c r="F23" s="107"/>
      <c r="G23" s="109" t="s">
        <v>180</v>
      </c>
      <c r="H23" s="125">
        <f t="shared" si="0"/>
        <v>2.0139260013754861E-2</v>
      </c>
      <c r="I23" s="126">
        <f>E23/E10</f>
        <v>2351.1472761222785</v>
      </c>
      <c r="J23" s="127">
        <f t="shared" si="1"/>
        <v>0.15834774219573536</v>
      </c>
    </row>
    <row r="24" spans="2:10" ht="15.6" x14ac:dyDescent="0.3">
      <c r="B24" s="107"/>
      <c r="C24" s="123"/>
      <c r="D24" s="123"/>
      <c r="E24" s="124"/>
      <c r="F24" s="107"/>
      <c r="G24" s="115"/>
      <c r="H24" s="128">
        <f>SUM(H18:H23)</f>
        <v>1</v>
      </c>
      <c r="I24" s="129">
        <f t="shared" ref="I24:J24" si="2">SUM(I18:I23)</f>
        <v>116744.47196751395</v>
      </c>
      <c r="J24" s="130">
        <f t="shared" si="2"/>
        <v>7.8626395452258855</v>
      </c>
    </row>
    <row r="25" spans="2:10" ht="15.6" x14ac:dyDescent="0.3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8" x14ac:dyDescent="0.3">
      <c r="B26" s="107"/>
      <c r="C26" s="136" t="s">
        <v>46</v>
      </c>
      <c r="D26" s="120" t="s">
        <v>79</v>
      </c>
      <c r="E26" s="137">
        <f>SUM(E18:E24)</f>
        <v>17831911388.736458</v>
      </c>
      <c r="F26" s="138"/>
      <c r="G26" s="133" t="s">
        <v>95</v>
      </c>
      <c r="H26" s="139"/>
      <c r="I26" s="134">
        <f>E26/E10</f>
        <v>116744.47196751393</v>
      </c>
      <c r="J26" s="135"/>
    </row>
    <row r="27" spans="2:10" ht="18" x14ac:dyDescent="0.3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7.8626395452258846</v>
      </c>
      <c r="J27" s="142"/>
    </row>
    <row r="28" spans="2:10" ht="18" x14ac:dyDescent="0.3">
      <c r="B28" s="107"/>
      <c r="C28" s="136" t="s">
        <v>49</v>
      </c>
      <c r="D28" s="120" t="s">
        <v>79</v>
      </c>
      <c r="E28" s="140">
        <f>E10*(I29*I28)</f>
        <v>23813258703.360001</v>
      </c>
      <c r="F28" s="138"/>
      <c r="G28" s="143" t="s">
        <v>80</v>
      </c>
      <c r="H28" s="144"/>
      <c r="I28" s="145">
        <v>14848</v>
      </c>
      <c r="J28" s="107"/>
    </row>
    <row r="29" spans="2:10" ht="18" x14ac:dyDescent="0.3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3.4" x14ac:dyDescent="0.3">
      <c r="B30" s="107"/>
      <c r="C30" s="148" t="s">
        <v>81</v>
      </c>
      <c r="D30" s="148" t="s">
        <v>79</v>
      </c>
      <c r="E30" s="149">
        <f>E28-E26</f>
        <v>5981347314.6235428</v>
      </c>
      <c r="F30" s="107"/>
      <c r="G30" s="143"/>
      <c r="H30" s="144"/>
      <c r="I30" s="150"/>
      <c r="J30" s="107"/>
    </row>
    <row r="31" spans="2:10" ht="14.4" customHeight="1" x14ac:dyDescent="0.3">
      <c r="B31" s="189" t="str">
        <f>IF(E28&lt;E26,("….RUGI …..!!!!!"),("OKE….."))</f>
        <v>OKE…..</v>
      </c>
      <c r="C31" s="189"/>
      <c r="D31" s="189"/>
      <c r="E31" s="189"/>
      <c r="F31" s="189"/>
      <c r="G31" s="189"/>
      <c r="H31" s="189"/>
      <c r="I31" s="189"/>
      <c r="J31" s="189"/>
    </row>
    <row r="32" spans="2:10" ht="14.4" customHeight="1" x14ac:dyDescent="0.3">
      <c r="B32" s="189"/>
      <c r="C32" s="189"/>
      <c r="D32" s="189"/>
      <c r="E32" s="189"/>
      <c r="F32" s="189"/>
      <c r="G32" s="189"/>
      <c r="H32" s="189"/>
      <c r="I32" s="189"/>
      <c r="J32" s="189"/>
    </row>
    <row r="33" spans="2:10" ht="14.4" customHeight="1" x14ac:dyDescent="0.3">
      <c r="B33" s="189"/>
      <c r="C33" s="189"/>
      <c r="D33" s="189"/>
      <c r="E33" s="189"/>
      <c r="F33" s="189"/>
      <c r="G33" s="189"/>
      <c r="H33" s="189"/>
      <c r="I33" s="189"/>
      <c r="J33" s="189"/>
    </row>
    <row r="35" spans="2:10" x14ac:dyDescent="0.3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Q74"/>
  <sheetViews>
    <sheetView tabSelected="1" zoomScaleNormal="10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J9" sqref="J9"/>
    </sheetView>
  </sheetViews>
  <sheetFormatPr defaultRowHeight="12" x14ac:dyDescent="0.3"/>
  <cols>
    <col min="1" max="1" width="26" style="69" customWidth="1"/>
    <col min="2" max="2" width="17.77734375" style="69" customWidth="1"/>
    <col min="3" max="14" width="15.77734375" style="74" customWidth="1"/>
    <col min="15" max="15" width="17.77734375" style="74" customWidth="1"/>
    <col min="16" max="16384" width="8.88671875" style="74"/>
  </cols>
  <sheetData>
    <row r="1" spans="1:17" x14ac:dyDescent="0.3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</row>
    <row r="2" spans="1:17" s="69" customFormat="1" x14ac:dyDescent="0.3">
      <c r="B2" s="70" t="s">
        <v>352</v>
      </c>
      <c r="C2" s="70" t="s">
        <v>153</v>
      </c>
      <c r="D2" s="70" t="s">
        <v>154</v>
      </c>
      <c r="E2" s="70" t="s">
        <v>155</v>
      </c>
      <c r="F2" s="70" t="s">
        <v>156</v>
      </c>
      <c r="G2" s="70" t="s">
        <v>157</v>
      </c>
      <c r="H2" s="70" t="s">
        <v>158</v>
      </c>
      <c r="I2" s="70" t="s">
        <v>159</v>
      </c>
      <c r="J2" s="70" t="s">
        <v>160</v>
      </c>
      <c r="K2" s="70" t="s">
        <v>161</v>
      </c>
      <c r="L2" s="70" t="s">
        <v>162</v>
      </c>
      <c r="M2" s="70" t="s">
        <v>163</v>
      </c>
      <c r="N2" s="70" t="s">
        <v>164</v>
      </c>
      <c r="O2" s="71" t="s">
        <v>353</v>
      </c>
    </row>
    <row r="3" spans="1:17" x14ac:dyDescent="0.3">
      <c r="A3" s="72" t="s">
        <v>364</v>
      </c>
      <c r="B3" s="91">
        <v>2593394.6799999997</v>
      </c>
      <c r="C3" s="73">
        <v>162229.22999999998</v>
      </c>
      <c r="D3" s="73">
        <v>170387.16</v>
      </c>
      <c r="E3" s="73">
        <v>141007.28000000003</v>
      </c>
      <c r="F3" s="73">
        <v>111460.29999999999</v>
      </c>
      <c r="G3" s="73">
        <v>111460.29999999999</v>
      </c>
      <c r="H3" s="73">
        <f>SUMMARY!$E$10</f>
        <v>101363.00000000001</v>
      </c>
      <c r="I3" s="73"/>
      <c r="J3" s="73"/>
      <c r="K3" s="73"/>
      <c r="L3" s="73"/>
      <c r="M3" s="73"/>
      <c r="N3" s="73"/>
      <c r="O3" s="91">
        <f>SUM(C3:N3)</f>
        <v>797907.27</v>
      </c>
    </row>
    <row r="4" spans="1:17" x14ac:dyDescent="0.3">
      <c r="A4" s="75" t="s">
        <v>76</v>
      </c>
      <c r="B4" s="92">
        <v>2365922.3199999998</v>
      </c>
      <c r="C4" s="76">
        <v>242547.79000000004</v>
      </c>
      <c r="D4" s="76">
        <v>231630.66999999995</v>
      </c>
      <c r="E4" s="76">
        <v>220801.4</v>
      </c>
      <c r="F4" s="76">
        <v>202342.57</v>
      </c>
      <c r="G4" s="76">
        <v>204340.21</v>
      </c>
      <c r="H4" s="76">
        <f>SUMMARY!$E$11</f>
        <v>152743.09</v>
      </c>
      <c r="I4" s="76"/>
      <c r="J4" s="76"/>
      <c r="K4" s="76"/>
      <c r="L4" s="76"/>
      <c r="M4" s="76"/>
      <c r="N4" s="76"/>
      <c r="O4" s="92">
        <f>SUM(C4:N4)</f>
        <v>1254405.73</v>
      </c>
    </row>
    <row r="5" spans="1:17" x14ac:dyDescent="0.3">
      <c r="A5" s="101" t="s">
        <v>183</v>
      </c>
      <c r="B5" s="103">
        <v>485042.22</v>
      </c>
      <c r="C5" s="102">
        <v>18017.98</v>
      </c>
      <c r="D5" s="102">
        <v>33006.630000000005</v>
      </c>
      <c r="E5" s="102">
        <v>34352.259999999995</v>
      </c>
      <c r="F5" s="102">
        <v>22346.49</v>
      </c>
      <c r="G5" s="102">
        <v>22346.49</v>
      </c>
      <c r="H5" s="102">
        <f>SUMMARY!$E$12</f>
        <v>30983.5</v>
      </c>
      <c r="I5" s="102"/>
      <c r="J5" s="102"/>
      <c r="K5" s="102"/>
      <c r="L5" s="102"/>
      <c r="M5" s="102"/>
      <c r="N5" s="102"/>
      <c r="O5" s="103">
        <f>SUM(C5:N5)</f>
        <v>161053.35</v>
      </c>
    </row>
    <row r="6" spans="1:17" x14ac:dyDescent="0.3">
      <c r="A6" s="77" t="s">
        <v>78</v>
      </c>
      <c r="B6" s="93">
        <v>1.0961453206122169</v>
      </c>
      <c r="C6" s="78">
        <v>0.66885470281959669</v>
      </c>
      <c r="D6" s="78">
        <v>0.73559844212340286</v>
      </c>
      <c r="E6" s="78">
        <v>0.63861587834135125</v>
      </c>
      <c r="F6" s="78">
        <v>0.55084948263729172</v>
      </c>
      <c r="G6" s="78">
        <v>0.54546435084900813</v>
      </c>
      <c r="H6" s="78">
        <f>SUMMARY!$E$13</f>
        <v>0.66361758165295737</v>
      </c>
      <c r="I6" s="78"/>
      <c r="J6" s="78"/>
      <c r="K6" s="78"/>
      <c r="L6" s="78"/>
      <c r="M6" s="78"/>
      <c r="N6" s="78"/>
      <c r="O6" s="93">
        <f>O3/O4</f>
        <v>0.63608388491656531</v>
      </c>
    </row>
    <row r="7" spans="1:17" x14ac:dyDescent="0.3">
      <c r="A7" s="69" t="s">
        <v>372</v>
      </c>
      <c r="B7" s="94"/>
      <c r="C7" s="177">
        <v>0.74253772354962899</v>
      </c>
      <c r="D7" s="177">
        <v>0.83765309627028406</v>
      </c>
      <c r="E7" s="177">
        <v>0.70707209506681568</v>
      </c>
      <c r="F7" s="177">
        <v>0.66103056420606143</v>
      </c>
      <c r="G7" s="177">
        <v>0.6355740395301217</v>
      </c>
      <c r="H7" s="108">
        <f>SUMMARY!$F$10</f>
        <v>0.68447057535660794</v>
      </c>
      <c r="I7" s="79"/>
      <c r="J7" s="79"/>
      <c r="K7" s="79"/>
      <c r="L7" s="79"/>
      <c r="M7" s="79"/>
      <c r="N7" s="79"/>
      <c r="O7" s="98">
        <f t="shared" ref="O7:O9" si="0">AVERAGE(C7:N7)</f>
        <v>0.71138968232991984</v>
      </c>
    </row>
    <row r="8" spans="1:17" x14ac:dyDescent="0.3">
      <c r="A8" s="69" t="s">
        <v>373</v>
      </c>
      <c r="B8" s="94"/>
      <c r="C8" s="177">
        <v>0.97757868733841513</v>
      </c>
      <c r="D8" s="177">
        <v>1.0200287269450323</v>
      </c>
      <c r="E8" s="177">
        <v>0.72406828784212274</v>
      </c>
      <c r="F8" s="177">
        <v>0.60339142988368932</v>
      </c>
      <c r="G8" s="177">
        <v>0.67460717335175269</v>
      </c>
      <c r="H8" s="108">
        <f>SUMMARY!$F$11</f>
        <v>0.72982920810426066</v>
      </c>
      <c r="I8" s="79"/>
      <c r="J8" s="79"/>
      <c r="K8" s="79"/>
      <c r="L8" s="79"/>
      <c r="M8" s="79"/>
      <c r="N8" s="79"/>
      <c r="O8" s="98">
        <f t="shared" si="0"/>
        <v>0.78825058557754557</v>
      </c>
    </row>
    <row r="9" spans="1:17" x14ac:dyDescent="0.3">
      <c r="A9" s="69" t="s">
        <v>374</v>
      </c>
      <c r="B9" s="94"/>
      <c r="C9" s="177">
        <v>0.41234954552156672</v>
      </c>
      <c r="D9" s="177">
        <v>0.8113318461598763</v>
      </c>
      <c r="E9" s="177">
        <v>0.86128618495725751</v>
      </c>
      <c r="F9" s="177">
        <v>0.66264458702897411</v>
      </c>
      <c r="G9" s="177">
        <v>1.0618765095897726</v>
      </c>
      <c r="H9" s="108">
        <f>SUMMARY!$F$12</f>
        <v>1.046106275049153</v>
      </c>
      <c r="I9" s="79"/>
      <c r="J9" s="79"/>
      <c r="K9" s="79"/>
      <c r="L9" s="79"/>
      <c r="M9" s="79"/>
      <c r="N9" s="79"/>
      <c r="O9" s="98">
        <f t="shared" si="0"/>
        <v>0.80926582471776676</v>
      </c>
    </row>
    <row r="10" spans="1:17" x14ac:dyDescent="0.3">
      <c r="A10" s="69" t="s">
        <v>165</v>
      </c>
      <c r="B10" s="94">
        <v>996.25291105027236</v>
      </c>
      <c r="C10" s="79">
        <v>910.65663588850146</v>
      </c>
      <c r="D10" s="79">
        <v>1244.3992947995494</v>
      </c>
      <c r="E10" s="79">
        <v>213.95746705710121</v>
      </c>
      <c r="F10" s="79">
        <v>182.79616120218577</v>
      </c>
      <c r="G10" s="79">
        <v>43.066234309623425</v>
      </c>
      <c r="H10" s="79">
        <f>SUMMARY!$E$18</f>
        <v>52.176818450620935</v>
      </c>
      <c r="I10" s="79"/>
      <c r="J10" s="79"/>
      <c r="K10" s="79"/>
      <c r="L10" s="79"/>
      <c r="M10" s="79"/>
      <c r="N10" s="79"/>
      <c r="O10" s="94">
        <f>AVERAGE(C10:N10)</f>
        <v>441.17543528459709</v>
      </c>
    </row>
    <row r="11" spans="1:17" x14ac:dyDescent="0.3">
      <c r="A11" s="94" t="str">
        <f>'SUMMARY 2'!C18</f>
        <v>COST OB REMOVAL</v>
      </c>
      <c r="B11" s="95">
        <v>117351549119.59256</v>
      </c>
      <c r="C11" s="80">
        <v>7778110546.181385</v>
      </c>
      <c r="D11" s="80">
        <v>7751770028.8050671</v>
      </c>
      <c r="E11" s="80">
        <v>7633760648.9456692</v>
      </c>
      <c r="F11" s="80">
        <v>5863845675.0929871</v>
      </c>
      <c r="G11" s="80">
        <v>7157900981.7813101</v>
      </c>
      <c r="H11" s="80">
        <f>SUMMARY!$D$22</f>
        <v>6335696322.349102</v>
      </c>
      <c r="I11" s="80"/>
      <c r="J11" s="80"/>
      <c r="K11" s="80"/>
      <c r="L11" s="80"/>
      <c r="M11" s="80"/>
      <c r="N11" s="80"/>
      <c r="O11" s="95">
        <f t="shared" ref="O11:O30" si="1">SUM(C11:N11)</f>
        <v>42521084203.155518</v>
      </c>
      <c r="Q11" s="108"/>
    </row>
    <row r="12" spans="1:17" x14ac:dyDescent="0.3">
      <c r="A12" s="94" t="str">
        <f>'SUMMARY 2'!C19</f>
        <v>COST QUARRY HAULING</v>
      </c>
      <c r="B12" s="95">
        <v>15778967244.113117</v>
      </c>
      <c r="C12" s="80">
        <v>618619864.22040582</v>
      </c>
      <c r="D12" s="80">
        <v>1075055326.3786521</v>
      </c>
      <c r="E12" s="80">
        <v>1215626563.5057042</v>
      </c>
      <c r="F12" s="80">
        <v>913239430.08529866</v>
      </c>
      <c r="G12" s="80">
        <v>1072130001.1488132</v>
      </c>
      <c r="H12" s="80">
        <f>SUMMARY!$D$23</f>
        <v>1349807297.0610795</v>
      </c>
      <c r="I12" s="80"/>
      <c r="J12" s="80"/>
      <c r="K12" s="80"/>
      <c r="L12" s="80"/>
      <c r="M12" s="80"/>
      <c r="N12" s="80"/>
      <c r="O12" s="95">
        <f t="shared" si="1"/>
        <v>6244478482.3999538</v>
      </c>
      <c r="Q12" s="108"/>
    </row>
    <row r="13" spans="1:17" x14ac:dyDescent="0.3">
      <c r="A13" s="94" t="str">
        <f>'SUMMARY 2'!C20</f>
        <v>COST DEVELOP ACT.</v>
      </c>
      <c r="B13" s="95">
        <v>279499500</v>
      </c>
      <c r="C13" s="80">
        <v>0</v>
      </c>
      <c r="D13" s="80">
        <v>141737500</v>
      </c>
      <c r="E13" s="80">
        <v>112614000</v>
      </c>
      <c r="F13" s="80">
        <v>50126000</v>
      </c>
      <c r="G13" s="80">
        <v>0</v>
      </c>
      <c r="H13" s="80">
        <f>SUMMARY!$D$24</f>
        <v>114657000</v>
      </c>
      <c r="I13" s="80"/>
      <c r="J13" s="80"/>
      <c r="K13" s="80"/>
      <c r="L13" s="80"/>
      <c r="M13" s="80"/>
      <c r="N13" s="80"/>
      <c r="O13" s="95">
        <f t="shared" si="1"/>
        <v>419134500</v>
      </c>
      <c r="Q13" s="108"/>
    </row>
    <row r="14" spans="1:17" x14ac:dyDescent="0.3">
      <c r="A14" s="94" t="str">
        <f>'SUMMARY 2'!C21</f>
        <v>COST ORE GETTING</v>
      </c>
      <c r="B14" s="95">
        <v>36943314302.027191</v>
      </c>
      <c r="C14" s="80">
        <v>2360847500</v>
      </c>
      <c r="D14" s="80">
        <v>2163072201.0775251</v>
      </c>
      <c r="E14" s="80">
        <v>2216656000.4908934</v>
      </c>
      <c r="F14" s="80">
        <v>1626803827.5208366</v>
      </c>
      <c r="G14" s="80">
        <v>2197725538.0116959</v>
      </c>
      <c r="H14" s="80">
        <f>SUMMARY!$D$25</f>
        <v>2556683769.3262773</v>
      </c>
      <c r="I14" s="80"/>
      <c r="J14" s="80"/>
      <c r="K14" s="80"/>
      <c r="L14" s="80"/>
      <c r="M14" s="80"/>
      <c r="N14" s="80"/>
      <c r="O14" s="95">
        <f t="shared" si="1"/>
        <v>13121788836.427229</v>
      </c>
      <c r="Q14" s="108"/>
    </row>
    <row r="15" spans="1:17" x14ac:dyDescent="0.3">
      <c r="A15" s="94" t="str">
        <f>'SUMMARY 2'!C22</f>
        <v>COST ORE HAULING</v>
      </c>
      <c r="B15" s="95">
        <v>97545270500</v>
      </c>
      <c r="C15" s="80">
        <v>8362268500</v>
      </c>
      <c r="D15" s="80">
        <v>8066319000</v>
      </c>
      <c r="E15" s="80">
        <v>9946061000</v>
      </c>
      <c r="F15" s="80">
        <v>9642996500</v>
      </c>
      <c r="G15" s="80">
        <v>9457370000</v>
      </c>
      <c r="H15" s="80">
        <f>SUMMARY!$D$26</f>
        <v>7115945500</v>
      </c>
      <c r="I15" s="80"/>
      <c r="J15" s="80"/>
      <c r="K15" s="80"/>
      <c r="L15" s="80"/>
      <c r="M15" s="80"/>
      <c r="N15" s="80"/>
      <c r="O15" s="95">
        <f t="shared" si="1"/>
        <v>52590960500</v>
      </c>
      <c r="Q15" s="108"/>
    </row>
    <row r="16" spans="1:17" x14ac:dyDescent="0.3">
      <c r="A16" s="94" t="str">
        <f>'SUMMARY 2'!C23</f>
        <v>COST UNIT SUPPORT</v>
      </c>
      <c r="B16" s="95">
        <v>4177854000</v>
      </c>
      <c r="C16" s="80">
        <v>323262000</v>
      </c>
      <c r="D16" s="80">
        <v>331087000</v>
      </c>
      <c r="E16" s="80">
        <v>204840000</v>
      </c>
      <c r="F16" s="80">
        <v>295340000</v>
      </c>
      <c r="G16" s="80">
        <v>212630000</v>
      </c>
      <c r="H16" s="80">
        <f>SUMMARY!$D$27</f>
        <v>359121500</v>
      </c>
      <c r="I16" s="80"/>
      <c r="J16" s="80"/>
      <c r="K16" s="80"/>
      <c r="L16" s="80"/>
      <c r="M16" s="80"/>
      <c r="N16" s="80"/>
      <c r="O16" s="95">
        <f t="shared" si="1"/>
        <v>1726280500</v>
      </c>
      <c r="Q16" s="108"/>
    </row>
    <row r="17" spans="1:15" x14ac:dyDescent="0.3">
      <c r="A17" s="69" t="s">
        <v>46</v>
      </c>
      <c r="B17" s="95">
        <v>272076454665.73285</v>
      </c>
      <c r="C17" s="80">
        <v>19443108410.401791</v>
      </c>
      <c r="D17" s="80">
        <v>19529041056.261246</v>
      </c>
      <c r="E17" s="80">
        <v>21329558212.942268</v>
      </c>
      <c r="F17" s="80">
        <v>18392351432.699123</v>
      </c>
      <c r="G17" s="80">
        <v>20097756520.941818</v>
      </c>
      <c r="H17" s="80">
        <f>SUMMARY!$D$30</f>
        <v>17831911388.736458</v>
      </c>
      <c r="I17" s="80"/>
      <c r="J17" s="80"/>
      <c r="K17" s="80"/>
      <c r="L17" s="80"/>
      <c r="M17" s="80"/>
      <c r="N17" s="80"/>
      <c r="O17" s="95">
        <f t="shared" si="1"/>
        <v>116623727021.9827</v>
      </c>
    </row>
    <row r="18" spans="1:15" x14ac:dyDescent="0.3">
      <c r="A18" s="69" t="s">
        <v>49</v>
      </c>
      <c r="B18" s="95">
        <v>368856753377.27997</v>
      </c>
      <c r="C18" s="80">
        <v>37814170652.160004</v>
      </c>
      <c r="D18" s="80">
        <v>36112147975.679993</v>
      </c>
      <c r="E18" s="80">
        <v>34423821465.599998</v>
      </c>
      <c r="F18" s="80">
        <v>31546016033.280003</v>
      </c>
      <c r="G18" s="80">
        <v>31857456099.84</v>
      </c>
      <c r="H18" s="80">
        <f>SUMMARY!$D$31</f>
        <v>23813258703.360001</v>
      </c>
      <c r="I18" s="80"/>
      <c r="J18" s="80"/>
      <c r="K18" s="80"/>
      <c r="L18" s="80"/>
      <c r="M18" s="80"/>
      <c r="N18" s="80"/>
      <c r="O18" s="95">
        <f t="shared" si="1"/>
        <v>195566870929.91998</v>
      </c>
    </row>
    <row r="19" spans="1:15" x14ac:dyDescent="0.3">
      <c r="A19" s="71" t="s">
        <v>166</v>
      </c>
      <c r="B19" s="96">
        <v>96780298711.547134</v>
      </c>
      <c r="C19" s="81">
        <f>C18-C17</f>
        <v>18371062241.758213</v>
      </c>
      <c r="D19" s="81">
        <f>D18-D17</f>
        <v>16583106919.418747</v>
      </c>
      <c r="E19" s="81">
        <v>13094263252.65773</v>
      </c>
      <c r="F19" s="81">
        <v>13153664600.580879</v>
      </c>
      <c r="G19" s="81">
        <v>11759699578.898182</v>
      </c>
      <c r="H19" s="81">
        <f>H18-H17</f>
        <v>5981347314.6235428</v>
      </c>
      <c r="I19" s="81"/>
      <c r="J19" s="81"/>
      <c r="K19" s="81"/>
      <c r="L19" s="81"/>
      <c r="M19" s="81"/>
      <c r="N19" s="81"/>
      <c r="O19" s="96">
        <f t="shared" si="1"/>
        <v>78943143907.937286</v>
      </c>
    </row>
    <row r="20" spans="1:15" x14ac:dyDescent="0.3">
      <c r="A20" s="86" t="s">
        <v>339</v>
      </c>
      <c r="B20" s="88">
        <v>0.73762091157225806</v>
      </c>
      <c r="C20" s="87">
        <f>C17/C18</f>
        <v>0.51417519081014595</v>
      </c>
      <c r="D20" s="87">
        <f>D17/D18</f>
        <v>0.54078868610677022</v>
      </c>
      <c r="E20" s="87">
        <v>0.61961622227959401</v>
      </c>
      <c r="F20" s="87">
        <v>0.58303246322121316</v>
      </c>
      <c r="G20" s="87">
        <v>0.63086507780019374</v>
      </c>
      <c r="H20" s="87">
        <f>H17/H18</f>
        <v>0.74882281383103655</v>
      </c>
      <c r="I20" s="87"/>
      <c r="J20" s="87"/>
      <c r="K20" s="87"/>
      <c r="L20" s="87"/>
      <c r="M20" s="87"/>
      <c r="N20" s="87"/>
      <c r="O20" s="87">
        <f t="shared" ref="O20" si="2">O17/O18</f>
        <v>0.59633682569771229</v>
      </c>
    </row>
    <row r="21" spans="1:15" x14ac:dyDescent="0.3">
      <c r="A21" s="86" t="s">
        <v>167</v>
      </c>
      <c r="B21" s="88">
        <v>0.26237908842774194</v>
      </c>
      <c r="C21" s="87">
        <f>IFERROR(C19/C18,"")</f>
        <v>0.48582480918985405</v>
      </c>
      <c r="D21" s="87">
        <f>IFERROR(D19/D18,"")</f>
        <v>0.45921131389322978</v>
      </c>
      <c r="E21" s="87">
        <v>0.38038377772040599</v>
      </c>
      <c r="F21" s="87">
        <v>0.41696753677878684</v>
      </c>
      <c r="G21" s="87">
        <v>0.36913492219980626</v>
      </c>
      <c r="H21" s="87">
        <f>IFERROR(H19/H18,"")</f>
        <v>0.2511771861689634</v>
      </c>
      <c r="I21" s="87"/>
      <c r="J21" s="87"/>
      <c r="K21" s="87"/>
      <c r="L21" s="87"/>
      <c r="M21" s="87"/>
      <c r="N21" s="87"/>
      <c r="O21" s="88">
        <f t="shared" ref="O21" si="3">O19/O18</f>
        <v>0.40366317430228765</v>
      </c>
    </row>
    <row r="22" spans="1:15" x14ac:dyDescent="0.3">
      <c r="A22" s="89" t="s">
        <v>316</v>
      </c>
      <c r="B22" s="97">
        <v>2.4824366268315292</v>
      </c>
      <c r="C22" s="90">
        <f t="shared" ref="C22:D22" si="4">IFERROR(C27/C4,0)</f>
        <v>1.7187375733252401</v>
      </c>
      <c r="D22" s="90">
        <f t="shared" si="4"/>
        <v>1.9424888767968427</v>
      </c>
      <c r="E22" s="90">
        <v>2.0214183424561618</v>
      </c>
      <c r="F22" s="90">
        <v>1.8479057570534958</v>
      </c>
      <c r="G22" s="90">
        <v>1.9933218734506397</v>
      </c>
      <c r="H22" s="90">
        <f t="shared" ref="H22" si="5">IFERROR(H27/H4,0)</f>
        <v>2.7802676179707202</v>
      </c>
      <c r="I22" s="90"/>
      <c r="J22" s="90"/>
      <c r="K22" s="90"/>
      <c r="L22" s="90"/>
      <c r="M22" s="90"/>
      <c r="N22" s="90"/>
      <c r="O22" s="97">
        <f t="shared" ref="O22" si="6">IFERROR(O27/O4,0)</f>
        <v>2.0081544726476053</v>
      </c>
    </row>
    <row r="23" spans="1:15" x14ac:dyDescent="0.3">
      <c r="A23" s="89" t="s">
        <v>375</v>
      </c>
      <c r="B23" s="97"/>
      <c r="C23" s="178">
        <f>2.08/C22</f>
        <v>1.2101905679386677</v>
      </c>
      <c r="D23" s="178">
        <f>2.11/D22</f>
        <v>1.086235306263057</v>
      </c>
      <c r="E23" s="178">
        <v>0.95477514944032693</v>
      </c>
      <c r="F23" s="178">
        <v>0.941606460913054</v>
      </c>
      <c r="G23" s="178">
        <v>1.0986685237185958</v>
      </c>
      <c r="H23" s="90">
        <f>SUMMARY!$F$14</f>
        <v>0.73820424971186194</v>
      </c>
      <c r="I23" s="90"/>
      <c r="J23" s="90"/>
      <c r="K23" s="90"/>
      <c r="L23" s="90"/>
      <c r="M23" s="90"/>
      <c r="N23" s="90"/>
      <c r="O23" s="179">
        <f>AVERAGE(C23:N23)</f>
        <v>1.0049467096642604</v>
      </c>
    </row>
    <row r="24" spans="1:15" x14ac:dyDescent="0.3">
      <c r="A24" s="69" t="s">
        <v>73</v>
      </c>
      <c r="B24" s="69">
        <v>367</v>
      </c>
      <c r="C24" s="74">
        <v>31</v>
      </c>
      <c r="D24" s="74">
        <v>28</v>
      </c>
      <c r="E24" s="74">
        <v>31</v>
      </c>
      <c r="F24" s="74">
        <v>30</v>
      </c>
      <c r="G24" s="74">
        <v>31</v>
      </c>
      <c r="H24" s="74">
        <f>SUMMARY!$J$9</f>
        <v>30</v>
      </c>
      <c r="O24" s="69">
        <f t="shared" si="1"/>
        <v>181</v>
      </c>
    </row>
    <row r="25" spans="1:15" x14ac:dyDescent="0.3">
      <c r="A25" s="69" t="s">
        <v>75</v>
      </c>
      <c r="B25" s="69">
        <v>3303</v>
      </c>
      <c r="C25" s="74">
        <v>279</v>
      </c>
      <c r="D25" s="74">
        <v>252</v>
      </c>
      <c r="E25" s="74">
        <v>279</v>
      </c>
      <c r="F25" s="74">
        <v>270</v>
      </c>
      <c r="G25" s="74">
        <v>279</v>
      </c>
      <c r="H25" s="74">
        <f>SUMMARY!$J$10</f>
        <v>270</v>
      </c>
      <c r="O25" s="69">
        <f t="shared" si="1"/>
        <v>1629</v>
      </c>
    </row>
    <row r="26" spans="1:15" x14ac:dyDescent="0.3">
      <c r="A26" s="69" t="s">
        <v>77</v>
      </c>
      <c r="B26" s="98">
        <v>0.84999999999999976</v>
      </c>
      <c r="C26" s="82">
        <v>0.85</v>
      </c>
      <c r="D26" s="82">
        <v>0.85</v>
      </c>
      <c r="E26" s="82">
        <v>0.85</v>
      </c>
      <c r="F26" s="82">
        <v>0.85</v>
      </c>
      <c r="G26" s="82">
        <v>0.85</v>
      </c>
      <c r="H26" s="82">
        <f>SUMMARY!$J$11</f>
        <v>0.85</v>
      </c>
      <c r="I26" s="82"/>
      <c r="J26" s="82"/>
      <c r="K26" s="82"/>
      <c r="L26" s="82"/>
      <c r="M26" s="82"/>
      <c r="N26" s="82"/>
      <c r="O26" s="98">
        <f>AVERAGE(C26:N26)</f>
        <v>0.85</v>
      </c>
    </row>
    <row r="27" spans="1:15" x14ac:dyDescent="0.3">
      <c r="A27" s="69" t="s">
        <v>141</v>
      </c>
      <c r="B27" s="99">
        <v>5873252.2234062254</v>
      </c>
      <c r="C27" s="83">
        <v>416876</v>
      </c>
      <c r="D27" s="83">
        <v>449940.00000000006</v>
      </c>
      <c r="E27" s="83">
        <v>446332</v>
      </c>
      <c r="F27" s="83">
        <v>373910</v>
      </c>
      <c r="G27" s="83">
        <v>407315.81021849712</v>
      </c>
      <c r="H27" s="83">
        <f>SUMMARY!$J$18</f>
        <v>424666.66699578729</v>
      </c>
      <c r="I27" s="83"/>
      <c r="J27" s="83"/>
      <c r="K27" s="83"/>
      <c r="L27" s="83"/>
      <c r="M27" s="83"/>
      <c r="N27" s="83"/>
      <c r="O27" s="99">
        <f t="shared" si="1"/>
        <v>2519040.4772142842</v>
      </c>
    </row>
    <row r="28" spans="1:15" x14ac:dyDescent="0.3">
      <c r="A28" s="69" t="s">
        <v>376</v>
      </c>
      <c r="B28" s="99"/>
      <c r="C28" s="108">
        <v>1.2396340073786931</v>
      </c>
      <c r="D28" s="108">
        <v>1.0628169729208339</v>
      </c>
      <c r="E28" s="108">
        <v>1.3193021041287654</v>
      </c>
      <c r="F28" s="108">
        <v>1.5605752921291223</v>
      </c>
      <c r="G28" s="108">
        <v>1.463297376141411</v>
      </c>
      <c r="H28" s="83">
        <f>SUMMARY!$J$19</f>
        <v>1.01147534452527</v>
      </c>
      <c r="I28" s="83"/>
      <c r="J28" s="83"/>
      <c r="K28" s="83"/>
      <c r="L28" s="83"/>
      <c r="M28" s="83"/>
      <c r="N28" s="83"/>
      <c r="O28" s="98">
        <f>AVERAGE(C28:N28)</f>
        <v>1.276183516204016</v>
      </c>
    </row>
    <row r="29" spans="1:15" s="106" customFormat="1" x14ac:dyDescent="0.3">
      <c r="A29" s="104" t="s">
        <v>95</v>
      </c>
      <c r="B29" s="100">
        <v>1535031.7436756471</v>
      </c>
      <c r="C29" s="85">
        <v>80161.968948064983</v>
      </c>
      <c r="D29" s="85">
        <v>84311.119318789904</v>
      </c>
      <c r="E29" s="85">
        <v>96600.647518277823</v>
      </c>
      <c r="F29" s="85">
        <v>90897.093146040017</v>
      </c>
      <c r="G29" s="85">
        <v>98354.389089361415</v>
      </c>
      <c r="H29" s="85">
        <f>SUMMARY!$J$30</f>
        <v>116744.47196751393</v>
      </c>
      <c r="I29" s="85"/>
      <c r="J29" s="85"/>
      <c r="K29" s="85"/>
      <c r="L29" s="105"/>
      <c r="M29" s="105"/>
      <c r="N29" s="105"/>
      <c r="O29" s="104">
        <f t="shared" si="1"/>
        <v>567069.68998804805</v>
      </c>
    </row>
    <row r="30" spans="1:15" x14ac:dyDescent="0.3">
      <c r="A30" s="84" t="str">
        <f>[1]SUMMARY!G21</f>
        <v>( USD / Ton )</v>
      </c>
      <c r="B30" s="100">
        <v>104.79207638114839</v>
      </c>
      <c r="C30" s="85">
        <v>5.3988395035065313</v>
      </c>
      <c r="D30" s="85">
        <v>5.6782812041210873</v>
      </c>
      <c r="E30" s="85">
        <v>6.5059703339357373</v>
      </c>
      <c r="F30" s="85">
        <v>6.1218408638227384</v>
      </c>
      <c r="G30" s="85">
        <v>6.624083316902035</v>
      </c>
      <c r="H30" s="85">
        <f>SUMMARY!$J$31</f>
        <v>7.8626395452258846</v>
      </c>
      <c r="I30" s="85"/>
      <c r="J30" s="85"/>
      <c r="K30" s="85"/>
      <c r="L30" s="85"/>
      <c r="M30" s="85"/>
      <c r="N30" s="85"/>
      <c r="O30" s="100">
        <f t="shared" si="1"/>
        <v>38.191654767514017</v>
      </c>
    </row>
    <row r="31" spans="1:15" x14ac:dyDescent="0.3">
      <c r="I31" s="79"/>
      <c r="J31" s="82"/>
    </row>
    <row r="41" spans="1:2" x14ac:dyDescent="0.3">
      <c r="A41" s="151"/>
      <c r="B41" s="151"/>
    </row>
    <row r="43" spans="1:2" x14ac:dyDescent="0.3">
      <c r="A43" s="152"/>
      <c r="B43" s="152"/>
    </row>
    <row r="59" spans="9:10" x14ac:dyDescent="0.3">
      <c r="I59" s="181"/>
    </row>
    <row r="61" spans="9:10" x14ac:dyDescent="0.3">
      <c r="J61" s="182"/>
    </row>
    <row r="67" spans="1:2" x14ac:dyDescent="0.3">
      <c r="A67" s="69" t="s">
        <v>395</v>
      </c>
      <c r="B67" s="74"/>
    </row>
    <row r="68" spans="1:2" x14ac:dyDescent="0.3">
      <c r="A68" s="69" t="s">
        <v>372</v>
      </c>
      <c r="B68" s="182"/>
    </row>
    <row r="69" spans="1:2" x14ac:dyDescent="0.3">
      <c r="A69" s="69" t="s">
        <v>373</v>
      </c>
      <c r="B69" s="182" t="s">
        <v>396</v>
      </c>
    </row>
    <row r="70" spans="1:2" x14ac:dyDescent="0.3">
      <c r="A70" s="69" t="s">
        <v>374</v>
      </c>
      <c r="B70" s="182"/>
    </row>
    <row r="71" spans="1:2" x14ac:dyDescent="0.3">
      <c r="A71" s="69" t="s">
        <v>375</v>
      </c>
      <c r="B71" s="182" t="s">
        <v>397</v>
      </c>
    </row>
    <row r="72" spans="1:2" x14ac:dyDescent="0.3">
      <c r="A72" s="69" t="s">
        <v>376</v>
      </c>
      <c r="B72" s="182"/>
    </row>
    <row r="73" spans="1:2" x14ac:dyDescent="0.3">
      <c r="B73" s="74"/>
    </row>
    <row r="74" spans="1:2" x14ac:dyDescent="0.3">
      <c r="B74" s="74"/>
    </row>
  </sheetData>
  <pageMargins left="0.7" right="0.7" top="0.75" bottom="0.75" header="0.3" footer="0.3"/>
  <pageSetup paperSize="8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45"/>
  <sheetViews>
    <sheetView zoomScaleNormal="100" workbookViewId="0">
      <pane xSplit="3" ySplit="7" topLeftCell="D23" activePane="bottomRight" state="frozenSplit"/>
      <selection activeCell="B47" sqref="B47"/>
      <selection pane="topRight" activeCell="B47" sqref="B47"/>
      <selection pane="bottomLeft" activeCell="B47" sqref="B47"/>
      <selection pane="bottomRight" activeCell="H41" sqref="H41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168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186</v>
      </c>
      <c r="D8" s="42">
        <v>227.10000000000036</v>
      </c>
      <c r="E8" s="62">
        <f>IF(O8="K",VLOOKUP(M8,Table2[[#All],[UNIT]:[Column7]],10,FALSE),0)</f>
        <v>1000000</v>
      </c>
      <c r="F8" s="43">
        <f>D8*E8</f>
        <v>227100000.00000036</v>
      </c>
      <c r="G8" s="42">
        <v>6742</v>
      </c>
      <c r="H8" s="44">
        <f t="shared" ref="H8:H28" si="0">G8*$C$43</f>
        <v>77533000</v>
      </c>
      <c r="I8" s="42">
        <f t="shared" ref="I8:I40" si="1">IFERROR(G8/D8,0)</f>
        <v>29.687362395420472</v>
      </c>
      <c r="J8" s="45">
        <f>F8+H8</f>
        <v>304633000.00000036</v>
      </c>
      <c r="K8" s="36"/>
      <c r="L8" s="41" t="s">
        <v>297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v>2</v>
      </c>
      <c r="C9" s="41" t="s">
        <v>187</v>
      </c>
      <c r="D9" s="42">
        <v>217</v>
      </c>
      <c r="E9" s="62">
        <f>IF(O9="K",VLOOKUP(M9,Table2[[#All],[UNIT]:[Column7]],10,FALSE),0)</f>
        <v>1000000</v>
      </c>
      <c r="F9" s="43">
        <f t="shared" ref="F9:F27" si="2">D9*E9</f>
        <v>217000000</v>
      </c>
      <c r="G9" s="42">
        <v>6146</v>
      </c>
      <c r="H9" s="44">
        <f t="shared" si="0"/>
        <v>70679000</v>
      </c>
      <c r="I9" s="42">
        <f t="shared" ref="I9:I27" si="3">IFERROR(G9/D9,0)</f>
        <v>28.322580645161292</v>
      </c>
      <c r="J9" s="45">
        <f t="shared" ref="J9:J27" si="4">F9+H9</f>
        <v>287679000</v>
      </c>
      <c r="K9" s="36"/>
      <c r="L9" s="41" t="s">
        <v>297</v>
      </c>
      <c r="M9" s="41" t="str">
        <f>VLOOKUP(N9,'list rate unit'!O:P,2,FALSE)</f>
        <v>PC 500 LCE-10R</v>
      </c>
      <c r="N9" s="41" t="str">
        <f t="shared" ref="N9:N27" si="5">C9</f>
        <v>KOMATSU PC 500 - 02</v>
      </c>
      <c r="O9" s="15" t="s">
        <v>56</v>
      </c>
    </row>
    <row r="10" spans="2:15" x14ac:dyDescent="0.3">
      <c r="B10" s="41">
        <v>3</v>
      </c>
      <c r="C10" s="41" t="s">
        <v>188</v>
      </c>
      <c r="D10" s="42">
        <v>215.19999999999982</v>
      </c>
      <c r="E10" s="62">
        <f>IF(O10="K",VLOOKUP(M10,Table2[[#All],[UNIT]:[Column7]],10,FALSE),0)</f>
        <v>1000000</v>
      </c>
      <c r="F10" s="43">
        <f t="shared" si="2"/>
        <v>215199999.99999982</v>
      </c>
      <c r="G10" s="42">
        <v>6702</v>
      </c>
      <c r="H10" s="44">
        <f t="shared" si="0"/>
        <v>77073000</v>
      </c>
      <c r="I10" s="42">
        <f t="shared" si="3"/>
        <v>31.143122676579953</v>
      </c>
      <c r="J10" s="45">
        <f t="shared" si="4"/>
        <v>292272999.99999982</v>
      </c>
      <c r="K10" s="36"/>
      <c r="L10" s="41" t="s">
        <v>297</v>
      </c>
      <c r="M10" s="41" t="str">
        <f>VLOOKUP(N10,'list rate unit'!O:P,2,FALSE)</f>
        <v>PC 500 LCE-10R</v>
      </c>
      <c r="N10" s="41" t="str">
        <f t="shared" si="5"/>
        <v>KOMATSU PC 500 - 03</v>
      </c>
      <c r="O10" s="15" t="s">
        <v>56</v>
      </c>
    </row>
    <row r="11" spans="2:15" x14ac:dyDescent="0.3">
      <c r="B11" s="41">
        <v>4</v>
      </c>
      <c r="C11" s="41" t="s">
        <v>277</v>
      </c>
      <c r="D11" s="42">
        <v>212</v>
      </c>
      <c r="E11" s="62">
        <f>IF(O11="K",VLOOKUP(M11,Table2[[#All],[UNIT]:[Column7]],10,FALSE),0)</f>
        <v>1000000</v>
      </c>
      <c r="F11" s="43">
        <f t="shared" si="2"/>
        <v>212000000</v>
      </c>
      <c r="G11" s="42">
        <v>6434.5388127853876</v>
      </c>
      <c r="H11" s="44">
        <f t="shared" si="0"/>
        <v>73997196.347031951</v>
      </c>
      <c r="I11" s="42">
        <f t="shared" si="3"/>
        <v>30.351598173515978</v>
      </c>
      <c r="J11" s="45">
        <f t="shared" si="4"/>
        <v>285997196.34703195</v>
      </c>
      <c r="K11" s="36"/>
      <c r="L11" s="41" t="s">
        <v>297</v>
      </c>
      <c r="M11" s="41" t="str">
        <f>VLOOKUP(N11,'list rate unit'!O:P,2,FALSE)</f>
        <v>PC 500 LCE-10R</v>
      </c>
      <c r="N11" s="41" t="str">
        <f t="shared" si="5"/>
        <v>KOMATSU PC 500 - 04</v>
      </c>
      <c r="O11" s="15" t="s">
        <v>56</v>
      </c>
    </row>
    <row r="12" spans="2:15" x14ac:dyDescent="0.3">
      <c r="B12" s="41">
        <v>5</v>
      </c>
      <c r="C12" s="41" t="s">
        <v>278</v>
      </c>
      <c r="D12" s="42">
        <v>10</v>
      </c>
      <c r="E12" s="62">
        <f>IF(O12="K",VLOOKUP(M12,Table2[[#All],[UNIT]:[Column7]],10,FALSE),0)</f>
        <v>950000</v>
      </c>
      <c r="F12" s="43">
        <f t="shared" si="2"/>
        <v>9500000</v>
      </c>
      <c r="G12" s="42">
        <v>341.11111111111114</v>
      </c>
      <c r="H12" s="44">
        <f t="shared" si="0"/>
        <v>3922777.777777778</v>
      </c>
      <c r="I12" s="42">
        <f t="shared" si="3"/>
        <v>34.111111111111114</v>
      </c>
      <c r="J12" s="45">
        <f t="shared" si="4"/>
        <v>13422777.777777778</v>
      </c>
      <c r="K12" s="36"/>
      <c r="L12" s="41" t="s">
        <v>297</v>
      </c>
      <c r="M12" s="41" t="str">
        <f>VLOOKUP(N12,'list rate unit'!O:P,2,FALSE)</f>
        <v>PC 400 LC SE-8</v>
      </c>
      <c r="N12" s="41" t="str">
        <f t="shared" si="5"/>
        <v>KOMATSU PC 400 - 04</v>
      </c>
      <c r="O12" s="15" t="s">
        <v>56</v>
      </c>
    </row>
    <row r="13" spans="2:15" x14ac:dyDescent="0.3">
      <c r="B13" s="41">
        <v>6</v>
      </c>
      <c r="C13" s="41" t="s">
        <v>189</v>
      </c>
      <c r="D13" s="42">
        <v>6</v>
      </c>
      <c r="E13" s="62">
        <f>IF(O13="K",VLOOKUP(M13,Table2[[#All],[UNIT]:[Column7]],10,FALSE),0)</f>
        <v>950000</v>
      </c>
      <c r="F13" s="43">
        <f t="shared" si="2"/>
        <v>5700000</v>
      </c>
      <c r="G13" s="42">
        <v>147.59210526315789</v>
      </c>
      <c r="H13" s="44">
        <f t="shared" si="0"/>
        <v>1697309.2105263157</v>
      </c>
      <c r="I13" s="42">
        <f t="shared" si="3"/>
        <v>24.598684210526315</v>
      </c>
      <c r="J13" s="45">
        <f t="shared" si="4"/>
        <v>7397309.2105263155</v>
      </c>
      <c r="K13" s="36"/>
      <c r="L13" s="41" t="s">
        <v>297</v>
      </c>
      <c r="M13" s="41" t="str">
        <f>VLOOKUP(N13,'list rate unit'!O:P,2,FALSE)</f>
        <v>PC 400 LC SE-8</v>
      </c>
      <c r="N13" s="41" t="str">
        <f t="shared" si="5"/>
        <v>KOMATSU PC 400 - 05</v>
      </c>
      <c r="O13" s="15" t="s">
        <v>56</v>
      </c>
    </row>
    <row r="14" spans="2:15" x14ac:dyDescent="0.3">
      <c r="B14" s="41">
        <v>7</v>
      </c>
      <c r="C14" s="41" t="s">
        <v>207</v>
      </c>
      <c r="D14" s="42">
        <v>176</v>
      </c>
      <c r="E14" s="62">
        <f>IF(O14="K",VLOOKUP(M14,Table2[[#All],[UNIT]:[Column7]],10,FALSE),0)</f>
        <v>1424304.3667884208</v>
      </c>
      <c r="F14" s="43">
        <f t="shared" si="2"/>
        <v>250677568.55476207</v>
      </c>
      <c r="G14" s="42">
        <v>2987.463917525773</v>
      </c>
      <c r="H14" s="44">
        <f t="shared" si="0"/>
        <v>34355835.051546387</v>
      </c>
      <c r="I14" s="42">
        <f t="shared" si="3"/>
        <v>16.97422680412371</v>
      </c>
      <c r="J14" s="45">
        <f t="shared" si="4"/>
        <v>285033403.60630846</v>
      </c>
      <c r="K14" s="36"/>
      <c r="L14" s="41" t="s">
        <v>297</v>
      </c>
      <c r="M14" s="41" t="str">
        <f>VLOOKUP(N14,'list rate unit'!O:P,2,FALSE)</f>
        <v>HM 400-3R</v>
      </c>
      <c r="N14" s="41" t="str">
        <f t="shared" si="5"/>
        <v>KOMATSU HM 400 - 11</v>
      </c>
      <c r="O14" s="15" t="s">
        <v>56</v>
      </c>
    </row>
    <row r="15" spans="2:15" x14ac:dyDescent="0.3">
      <c r="B15" s="41">
        <v>8</v>
      </c>
      <c r="C15" s="41" t="s">
        <v>208</v>
      </c>
      <c r="D15" s="42">
        <v>156</v>
      </c>
      <c r="E15" s="62">
        <f>IF(O15="K",VLOOKUP(M15,Table2[[#All],[UNIT]:[Column7]],10,FALSE),0)</f>
        <v>1424304.3667884208</v>
      </c>
      <c r="F15" s="43">
        <f t="shared" si="2"/>
        <v>222191481.21899366</v>
      </c>
      <c r="G15" s="42">
        <v>3605.0746268656712</v>
      </c>
      <c r="H15" s="44">
        <f t="shared" si="0"/>
        <v>41458358.208955221</v>
      </c>
      <c r="I15" s="42">
        <f t="shared" si="3"/>
        <v>23.109452736318406</v>
      </c>
      <c r="J15" s="45">
        <f t="shared" si="4"/>
        <v>263649839.42794889</v>
      </c>
      <c r="K15" s="36"/>
      <c r="L15" s="41" t="s">
        <v>297</v>
      </c>
      <c r="M15" s="41" t="str">
        <f>VLOOKUP(N15,'list rate unit'!O:P,2,FALSE)</f>
        <v>HM 400-3R</v>
      </c>
      <c r="N15" s="41" t="str">
        <f t="shared" si="5"/>
        <v>KOMATSU HM 400 - 12</v>
      </c>
      <c r="O15" s="15" t="s">
        <v>56</v>
      </c>
    </row>
    <row r="16" spans="2:15" x14ac:dyDescent="0.3">
      <c r="B16" s="41">
        <v>9</v>
      </c>
      <c r="C16" s="41" t="s">
        <v>209</v>
      </c>
      <c r="D16" s="42">
        <v>99</v>
      </c>
      <c r="E16" s="62">
        <f>IF(O16="K",VLOOKUP(M16,Table2[[#All],[UNIT]:[Column7]],10,FALSE),0)</f>
        <v>1424304.3667884208</v>
      </c>
      <c r="F16" s="43">
        <f t="shared" si="2"/>
        <v>141006132.31205365</v>
      </c>
      <c r="G16" s="42">
        <v>1782.4759615384617</v>
      </c>
      <c r="H16" s="44">
        <f t="shared" si="0"/>
        <v>20498473.557692308</v>
      </c>
      <c r="I16" s="42">
        <f t="shared" si="3"/>
        <v>18.004807692307693</v>
      </c>
      <c r="J16" s="45">
        <f t="shared" si="4"/>
        <v>161504605.86974597</v>
      </c>
      <c r="K16" s="36"/>
      <c r="L16" s="41" t="s">
        <v>297</v>
      </c>
      <c r="M16" s="41" t="str">
        <f>VLOOKUP(N16,'list rate unit'!O:P,2,FALSE)</f>
        <v>HM 400-3R</v>
      </c>
      <c r="N16" s="41" t="str">
        <f t="shared" si="5"/>
        <v>KOMATSU HM 400 - 13</v>
      </c>
      <c r="O16" s="15" t="s">
        <v>56</v>
      </c>
    </row>
    <row r="17" spans="2:15" x14ac:dyDescent="0.3">
      <c r="B17" s="41">
        <v>10</v>
      </c>
      <c r="C17" s="41" t="s">
        <v>210</v>
      </c>
      <c r="D17" s="42">
        <v>148</v>
      </c>
      <c r="E17" s="62">
        <f>IF(O17="K",VLOOKUP(M17,Table2[[#All],[UNIT]:[Column7]],10,FALSE),0)</f>
        <v>1424304.3667884208</v>
      </c>
      <c r="F17" s="43">
        <f t="shared" si="2"/>
        <v>210797046.28468627</v>
      </c>
      <c r="G17" s="42">
        <v>3085.9720930232561</v>
      </c>
      <c r="H17" s="44">
        <f t="shared" si="0"/>
        <v>35488679.069767445</v>
      </c>
      <c r="I17" s="42">
        <f t="shared" si="3"/>
        <v>20.851162790697675</v>
      </c>
      <c r="J17" s="45">
        <f t="shared" si="4"/>
        <v>246285725.35445371</v>
      </c>
      <c r="K17" s="36"/>
      <c r="L17" s="41" t="s">
        <v>297</v>
      </c>
      <c r="M17" s="41" t="str">
        <f>VLOOKUP(N17,'list rate unit'!O:P,2,FALSE)</f>
        <v>HM 400-3R</v>
      </c>
      <c r="N17" s="41" t="str">
        <f t="shared" si="5"/>
        <v>KOMATSU HM 400 - 14</v>
      </c>
      <c r="O17" s="15" t="s">
        <v>56</v>
      </c>
    </row>
    <row r="18" spans="2:15" x14ac:dyDescent="0.3">
      <c r="B18" s="41">
        <v>11</v>
      </c>
      <c r="C18" s="41" t="s">
        <v>211</v>
      </c>
      <c r="D18" s="42">
        <v>190</v>
      </c>
      <c r="E18" s="62">
        <f>IF(O18="K",VLOOKUP(M18,Table2[[#All],[UNIT]:[Column7]],10,FALSE),0)</f>
        <v>1424304.3667884208</v>
      </c>
      <c r="F18" s="43">
        <f t="shared" ref="F18:F19" si="6">D18*E18</f>
        <v>270617829.68979996</v>
      </c>
      <c r="G18" s="42">
        <v>4595.454545454546</v>
      </c>
      <c r="H18" s="44">
        <f t="shared" si="0"/>
        <v>52847727.272727281</v>
      </c>
      <c r="I18" s="42">
        <f t="shared" ref="I18:I19" si="7">IFERROR(G18/D18,0)</f>
        <v>24.186602870813399</v>
      </c>
      <c r="J18" s="45">
        <f t="shared" ref="J18:J19" si="8">F18+H18</f>
        <v>323465556.96252728</v>
      </c>
      <c r="K18" s="36"/>
      <c r="L18" s="41" t="s">
        <v>297</v>
      </c>
      <c r="M18" s="41" t="str">
        <f>VLOOKUP(N18,'list rate unit'!O:P,2,FALSE)</f>
        <v>HM 400-3R</v>
      </c>
      <c r="N18" s="41" t="str">
        <f t="shared" ref="N18:N19" si="9">C18</f>
        <v>KOMATSU HM 400 - 15</v>
      </c>
      <c r="O18" s="15" t="s">
        <v>56</v>
      </c>
    </row>
    <row r="19" spans="2:15" x14ac:dyDescent="0.3">
      <c r="B19" s="41">
        <v>12</v>
      </c>
      <c r="C19" s="41" t="s">
        <v>212</v>
      </c>
      <c r="D19" s="42">
        <v>149</v>
      </c>
      <c r="E19" s="62">
        <f>IF(O19="K",VLOOKUP(M19,Table2[[#All],[UNIT]:[Column7]],10,FALSE),0)</f>
        <v>1424304.3667884208</v>
      </c>
      <c r="F19" s="43">
        <f t="shared" si="6"/>
        <v>212221350.65147471</v>
      </c>
      <c r="G19" s="42">
        <v>4166.7055837563448</v>
      </c>
      <c r="H19" s="44">
        <f t="shared" si="0"/>
        <v>47917114.213197969</v>
      </c>
      <c r="I19" s="42">
        <f t="shared" si="7"/>
        <v>27.964467005076141</v>
      </c>
      <c r="J19" s="45">
        <f t="shared" si="8"/>
        <v>260138464.86467269</v>
      </c>
      <c r="K19" s="36"/>
      <c r="L19" s="41" t="s">
        <v>297</v>
      </c>
      <c r="M19" s="41" t="str">
        <f>VLOOKUP(N19,'list rate unit'!O:P,2,FALSE)</f>
        <v>HM 400-3R</v>
      </c>
      <c r="N19" s="41" t="str">
        <f t="shared" si="9"/>
        <v>KOMATSU HM 400 - 16</v>
      </c>
      <c r="O19" s="15" t="s">
        <v>56</v>
      </c>
    </row>
    <row r="20" spans="2:15" x14ac:dyDescent="0.3">
      <c r="B20" s="41">
        <v>13</v>
      </c>
      <c r="C20" s="41" t="s">
        <v>213</v>
      </c>
      <c r="D20" s="42">
        <v>158</v>
      </c>
      <c r="E20" s="62">
        <f>IF(O20="K",VLOOKUP(M20,Table2[[#All],[UNIT]:[Column7]],10,FALSE),0)</f>
        <v>1424304.3667884208</v>
      </c>
      <c r="F20" s="43">
        <f t="shared" si="2"/>
        <v>225040089.9525705</v>
      </c>
      <c r="G20" s="42">
        <v>3560.4482758620693</v>
      </c>
      <c r="H20" s="44">
        <f t="shared" si="0"/>
        <v>40945155.172413796</v>
      </c>
      <c r="I20" s="42">
        <f t="shared" si="3"/>
        <v>22.53448275862069</v>
      </c>
      <c r="J20" s="45">
        <f t="shared" si="4"/>
        <v>265985245.12498429</v>
      </c>
      <c r="K20" s="36"/>
      <c r="L20" s="41" t="s">
        <v>297</v>
      </c>
      <c r="M20" s="41" t="str">
        <f>VLOOKUP(N20,'list rate unit'!O:P,2,FALSE)</f>
        <v>HM 400-3R</v>
      </c>
      <c r="N20" s="41" t="str">
        <f t="shared" si="5"/>
        <v>KOMATSU HM 400 - 17</v>
      </c>
      <c r="O20" s="15" t="s">
        <v>56</v>
      </c>
    </row>
    <row r="21" spans="2:15" x14ac:dyDescent="0.3">
      <c r="B21" s="41">
        <v>14</v>
      </c>
      <c r="C21" s="41" t="s">
        <v>214</v>
      </c>
      <c r="D21" s="42">
        <v>183</v>
      </c>
      <c r="E21" s="62">
        <f>IF(O21="K",VLOOKUP(M21,Table2[[#All],[UNIT]:[Column7]],10,FALSE),0)</f>
        <v>1424304.3667884208</v>
      </c>
      <c r="F21" s="43">
        <f t="shared" si="2"/>
        <v>260647699.12228101</v>
      </c>
      <c r="G21" s="42">
        <v>4295.9865470852019</v>
      </c>
      <c r="H21" s="44">
        <f t="shared" si="0"/>
        <v>49403845.291479819</v>
      </c>
      <c r="I21" s="42">
        <f t="shared" si="3"/>
        <v>23.475336322869957</v>
      </c>
      <c r="J21" s="45">
        <f t="shared" si="4"/>
        <v>310051544.41376084</v>
      </c>
      <c r="K21" s="36"/>
      <c r="L21" s="41" t="s">
        <v>297</v>
      </c>
      <c r="M21" s="41" t="str">
        <f>VLOOKUP(N21,'list rate unit'!O:P,2,FALSE)</f>
        <v>HM 400-3R</v>
      </c>
      <c r="N21" s="41" t="str">
        <f t="shared" si="5"/>
        <v>KOMATSU HM 400 - 18</v>
      </c>
      <c r="O21" s="15" t="s">
        <v>56</v>
      </c>
    </row>
    <row r="22" spans="2:15" x14ac:dyDescent="0.3">
      <c r="B22" s="41">
        <v>15</v>
      </c>
      <c r="C22" s="41" t="s">
        <v>215</v>
      </c>
      <c r="D22" s="42">
        <v>120</v>
      </c>
      <c r="E22" s="62">
        <f>IF(O22="K",VLOOKUP(M22,Table2[[#All],[UNIT]:[Column7]],10,FALSE),0)</f>
        <v>1424304.3667884208</v>
      </c>
      <c r="F22" s="43">
        <f t="shared" si="2"/>
        <v>170916524.0146105</v>
      </c>
      <c r="G22" s="42">
        <v>2564.516129032258</v>
      </c>
      <c r="H22" s="44">
        <f t="shared" si="0"/>
        <v>29491935.483870968</v>
      </c>
      <c r="I22" s="42">
        <f t="shared" si="3"/>
        <v>21.370967741935484</v>
      </c>
      <c r="J22" s="45">
        <f t="shared" si="4"/>
        <v>200408459.49848145</v>
      </c>
      <c r="K22" s="36"/>
      <c r="L22" s="41" t="s">
        <v>297</v>
      </c>
      <c r="M22" s="41" t="str">
        <f>VLOOKUP(N22,'list rate unit'!O:P,2,FALSE)</f>
        <v>HM 400-3R</v>
      </c>
      <c r="N22" s="41" t="str">
        <f t="shared" si="5"/>
        <v>KOMATSU HM 400 - 19</v>
      </c>
      <c r="O22" s="15" t="s">
        <v>56</v>
      </c>
    </row>
    <row r="23" spans="2:15" x14ac:dyDescent="0.3">
      <c r="B23" s="41">
        <v>16</v>
      </c>
      <c r="C23" s="41" t="s">
        <v>216</v>
      </c>
      <c r="D23" s="42">
        <v>144</v>
      </c>
      <c r="E23" s="62">
        <f>IF(O23="K",VLOOKUP(M23,Table2[[#All],[UNIT]:[Column7]],10,FALSE),0)</f>
        <v>1424304.3667884208</v>
      </c>
      <c r="F23" s="43">
        <f t="shared" si="2"/>
        <v>205099828.8175326</v>
      </c>
      <c r="G23" s="42">
        <v>3495.1456310679614</v>
      </c>
      <c r="H23" s="44">
        <f t="shared" si="0"/>
        <v>40194174.757281557</v>
      </c>
      <c r="I23" s="42">
        <f t="shared" si="3"/>
        <v>24.271844660194176</v>
      </c>
      <c r="J23" s="45">
        <f t="shared" si="4"/>
        <v>245294003.57481414</v>
      </c>
      <c r="K23" s="36"/>
      <c r="L23" s="41" t="s">
        <v>297</v>
      </c>
      <c r="M23" s="41" t="str">
        <f>VLOOKUP(N23,'list rate unit'!O:P,2,FALSE)</f>
        <v>HM 400-3R</v>
      </c>
      <c r="N23" s="41" t="str">
        <f t="shared" si="5"/>
        <v>KOMATSU HM 400 - 20</v>
      </c>
      <c r="O23" s="15" t="s">
        <v>56</v>
      </c>
    </row>
    <row r="24" spans="2:15" x14ac:dyDescent="0.3">
      <c r="B24" s="41">
        <v>17</v>
      </c>
      <c r="C24" s="41" t="s">
        <v>217</v>
      </c>
      <c r="D24" s="42">
        <v>164</v>
      </c>
      <c r="E24" s="62">
        <f>IF(O24="K",VLOOKUP(M24,Table2[[#All],[UNIT]:[Column7]],10,FALSE),0)</f>
        <v>1424304.3667884208</v>
      </c>
      <c r="F24" s="43">
        <f t="shared" si="2"/>
        <v>233585916.153301</v>
      </c>
      <c r="G24" s="42">
        <v>3252.9484536082473</v>
      </c>
      <c r="H24" s="44">
        <f t="shared" si="0"/>
        <v>37408907.216494843</v>
      </c>
      <c r="I24" s="42">
        <f t="shared" si="3"/>
        <v>19.835051546391753</v>
      </c>
      <c r="J24" s="45">
        <f t="shared" si="4"/>
        <v>270994823.36979586</v>
      </c>
      <c r="K24" s="36"/>
      <c r="L24" s="41" t="s">
        <v>297</v>
      </c>
      <c r="M24" s="41" t="str">
        <f>VLOOKUP(N24,'list rate unit'!O:P,2,FALSE)</f>
        <v>HM 400-3R</v>
      </c>
      <c r="N24" s="41" t="str">
        <f t="shared" si="5"/>
        <v>KOMATSU HM 400 - 21</v>
      </c>
      <c r="O24" s="15" t="s">
        <v>56</v>
      </c>
    </row>
    <row r="25" spans="2:15" x14ac:dyDescent="0.3">
      <c r="B25" s="41">
        <v>18</v>
      </c>
      <c r="C25" s="41" t="s">
        <v>218</v>
      </c>
      <c r="D25" s="42">
        <v>174</v>
      </c>
      <c r="E25" s="62">
        <f>IF(O25="K",VLOOKUP(M25,Table2[[#All],[UNIT]:[Column7]],10,FALSE),0)</f>
        <v>1424304.3667884208</v>
      </c>
      <c r="F25" s="43">
        <f t="shared" si="2"/>
        <v>247828959.82118523</v>
      </c>
      <c r="G25" s="42">
        <v>4264.1012658227846</v>
      </c>
      <c r="H25" s="44">
        <f t="shared" si="0"/>
        <v>49037164.556962021</v>
      </c>
      <c r="I25" s="42">
        <f t="shared" si="3"/>
        <v>24.50632911392405</v>
      </c>
      <c r="J25" s="45">
        <f t="shared" si="4"/>
        <v>296866124.37814724</v>
      </c>
      <c r="K25" s="36"/>
      <c r="L25" s="41" t="s">
        <v>297</v>
      </c>
      <c r="M25" s="41" t="str">
        <f>VLOOKUP(N25,'list rate unit'!O:P,2,FALSE)</f>
        <v>HM 400-3R</v>
      </c>
      <c r="N25" s="41" t="str">
        <f t="shared" si="5"/>
        <v>KOMATSU HM 400 - 22</v>
      </c>
      <c r="O25" s="15" t="s">
        <v>56</v>
      </c>
    </row>
    <row r="26" spans="2:15" x14ac:dyDescent="0.3">
      <c r="B26" s="41">
        <v>19</v>
      </c>
      <c r="C26" s="41" t="s">
        <v>279</v>
      </c>
      <c r="D26" s="42">
        <v>153</v>
      </c>
      <c r="E26" s="62">
        <f>IF(O26="K",VLOOKUP(M26,Table2[[#All],[UNIT]:[Column7]],10,FALSE),0)</f>
        <v>1424304.3667884208</v>
      </c>
      <c r="F26" s="43">
        <f t="shared" si="2"/>
        <v>217918568.11862838</v>
      </c>
      <c r="G26" s="42">
        <v>3018.3380281690143</v>
      </c>
      <c r="H26" s="44">
        <f t="shared" si="0"/>
        <v>34710887.323943667</v>
      </c>
      <c r="I26" s="42">
        <f t="shared" si="3"/>
        <v>19.727699530516432</v>
      </c>
      <c r="J26" s="45">
        <f t="shared" si="4"/>
        <v>252629455.44257206</v>
      </c>
      <c r="K26" s="36"/>
      <c r="L26" s="41" t="s">
        <v>297</v>
      </c>
      <c r="M26" s="41" t="str">
        <f>VLOOKUP(N26,'list rate unit'!O:P,2,FALSE)</f>
        <v>HM 400-3R</v>
      </c>
      <c r="N26" s="41" t="str">
        <f t="shared" si="5"/>
        <v>KOMATSU HM 400 - 23</v>
      </c>
      <c r="O26" s="15" t="s">
        <v>56</v>
      </c>
    </row>
    <row r="27" spans="2:15" x14ac:dyDescent="0.3">
      <c r="B27" s="41">
        <v>20</v>
      </c>
      <c r="C27" s="41" t="s">
        <v>280</v>
      </c>
      <c r="D27" s="42">
        <v>182</v>
      </c>
      <c r="E27" s="62">
        <f>IF(O27="K",VLOOKUP(M27,Table2[[#All],[UNIT]:[Column7]],10,FALSE),0)</f>
        <v>1424304.3667884208</v>
      </c>
      <c r="F27" s="43">
        <f t="shared" si="2"/>
        <v>259223394.7554926</v>
      </c>
      <c r="G27" s="42">
        <v>3298.1725888324872</v>
      </c>
      <c r="H27" s="44">
        <f t="shared" si="0"/>
        <v>37928984.771573603</v>
      </c>
      <c r="I27" s="42">
        <f t="shared" si="3"/>
        <v>18.121827411167512</v>
      </c>
      <c r="J27" s="45">
        <f t="shared" si="4"/>
        <v>297152379.52706623</v>
      </c>
      <c r="K27" s="36"/>
      <c r="L27" s="41" t="s">
        <v>297</v>
      </c>
      <c r="M27" s="41" t="str">
        <f>VLOOKUP(N27,'list rate unit'!O:P,2,FALSE)</f>
        <v>HM 400-3R</v>
      </c>
      <c r="N27" s="41" t="str">
        <f t="shared" si="5"/>
        <v>KOMATSU HM 400 - 24</v>
      </c>
      <c r="O27" s="15" t="s">
        <v>56</v>
      </c>
    </row>
    <row r="28" spans="2:15" x14ac:dyDescent="0.3">
      <c r="B28" s="41">
        <v>21</v>
      </c>
      <c r="C28" s="41" t="s">
        <v>281</v>
      </c>
      <c r="D28" s="42">
        <v>144</v>
      </c>
      <c r="E28" s="62">
        <f>IF(O28="K",VLOOKUP(M28,Table2[[#All],[UNIT]:[Column7]],10,FALSE),0)</f>
        <v>1424304.3667884208</v>
      </c>
      <c r="F28" s="43">
        <f t="shared" ref="F28:F38" si="10">D28*E28</f>
        <v>205099828.8175326</v>
      </c>
      <c r="G28" s="42">
        <v>2952</v>
      </c>
      <c r="H28" s="44">
        <f t="shared" si="0"/>
        <v>33948000</v>
      </c>
      <c r="I28" s="42">
        <f t="shared" ref="I28:I38" si="11">IFERROR(G28/D28,0)</f>
        <v>20.5</v>
      </c>
      <c r="J28" s="45">
        <f t="shared" ref="J28:J38" si="12">F28+H28</f>
        <v>239047828.8175326</v>
      </c>
      <c r="K28" s="36"/>
      <c r="L28" s="41" t="s">
        <v>297</v>
      </c>
      <c r="M28" s="41" t="str">
        <f>VLOOKUP(N28,'list rate unit'!O:P,2,FALSE)</f>
        <v>HM 400-3R</v>
      </c>
      <c r="N28" s="41" t="str">
        <f t="shared" ref="N28:N38" si="13">C28</f>
        <v>KOMATSU HM 400 - 25</v>
      </c>
      <c r="O28" s="15" t="s">
        <v>56</v>
      </c>
    </row>
    <row r="29" spans="2:15" x14ac:dyDescent="0.3">
      <c r="B29" s="41">
        <v>22</v>
      </c>
      <c r="C29" s="41" t="s">
        <v>293</v>
      </c>
      <c r="D29" s="42">
        <v>225</v>
      </c>
      <c r="E29" s="62">
        <f>IF(O29="K",VLOOKUP(M29,Table2[[#All],[UNIT]:[Column7]],10,FALSE),0)</f>
        <v>425000</v>
      </c>
      <c r="F29" s="43">
        <f t="shared" ref="F29:F33" si="14">D29*E29</f>
        <v>95625000</v>
      </c>
      <c r="G29" s="42">
        <v>5962</v>
      </c>
      <c r="H29" s="44">
        <f t="shared" ref="H29:H33" si="15">G29*$C$43</f>
        <v>68563000</v>
      </c>
      <c r="I29" s="42">
        <f t="shared" ref="I29:I33" si="16">IFERROR(G29/D29,0)</f>
        <v>26.497777777777777</v>
      </c>
      <c r="J29" s="45">
        <f t="shared" ref="J29:J33" si="17">F29+H29</f>
        <v>164188000</v>
      </c>
      <c r="K29" s="36"/>
      <c r="L29" s="41" t="s">
        <v>297</v>
      </c>
      <c r="M29" s="41" t="str">
        <f>VLOOKUP(N29,'list rate unit'!O:P,2,FALSE)</f>
        <v>D 65 P-12</v>
      </c>
      <c r="N29" s="41" t="str">
        <f t="shared" ref="N29:N33" si="18">C29</f>
        <v>KOMATSU DOZER D65 - 10</v>
      </c>
      <c r="O29" s="15" t="s">
        <v>56</v>
      </c>
    </row>
    <row r="30" spans="2:15" x14ac:dyDescent="0.3">
      <c r="B30" s="41">
        <v>23</v>
      </c>
      <c r="C30" s="41" t="s">
        <v>220</v>
      </c>
      <c r="D30" s="42">
        <v>211</v>
      </c>
      <c r="E30" s="62">
        <f>IF(O30="K",VLOOKUP(M30,Table2[[#All],[UNIT]:[Column7]],10,FALSE),0)</f>
        <v>425000</v>
      </c>
      <c r="F30" s="43">
        <f t="shared" si="14"/>
        <v>89675000</v>
      </c>
      <c r="G30" s="42">
        <v>4563</v>
      </c>
      <c r="H30" s="44">
        <f t="shared" si="15"/>
        <v>52474500</v>
      </c>
      <c r="I30" s="42">
        <f t="shared" si="16"/>
        <v>21.625592417061611</v>
      </c>
      <c r="J30" s="45">
        <f t="shared" si="17"/>
        <v>142149500</v>
      </c>
      <c r="K30" s="36"/>
      <c r="L30" s="41" t="s">
        <v>297</v>
      </c>
      <c r="M30" s="41" t="str">
        <f>VLOOKUP(N30,'list rate unit'!O:P,2,FALSE)</f>
        <v>D 65 P-12</v>
      </c>
      <c r="N30" s="41" t="str">
        <f t="shared" si="18"/>
        <v>KOMATSU DOZER D65 - 13</v>
      </c>
      <c r="O30" s="15" t="s">
        <v>56</v>
      </c>
    </row>
    <row r="31" spans="2:15" x14ac:dyDescent="0.3">
      <c r="B31" s="41">
        <v>24</v>
      </c>
      <c r="C31" s="41" t="s">
        <v>221</v>
      </c>
      <c r="D31" s="42">
        <v>236</v>
      </c>
      <c r="E31" s="62">
        <f>IF(O31="K",VLOOKUP(M31,Table2[[#All],[UNIT]:[Column7]],10,FALSE),0)</f>
        <v>425000</v>
      </c>
      <c r="F31" s="43">
        <f t="shared" si="14"/>
        <v>100300000</v>
      </c>
      <c r="G31" s="42">
        <v>5580</v>
      </c>
      <c r="H31" s="44">
        <f t="shared" si="15"/>
        <v>64170000</v>
      </c>
      <c r="I31" s="42">
        <f t="shared" si="16"/>
        <v>23.64406779661017</v>
      </c>
      <c r="J31" s="45">
        <f t="shared" si="17"/>
        <v>164470000</v>
      </c>
      <c r="K31" s="36"/>
      <c r="L31" s="41" t="s">
        <v>297</v>
      </c>
      <c r="M31" s="41" t="str">
        <f>VLOOKUP(N31,'list rate unit'!O:P,2,FALSE)</f>
        <v>D 65 P-12</v>
      </c>
      <c r="N31" s="41" t="str">
        <f t="shared" si="18"/>
        <v>KOMATSU DOZER D65 - 15</v>
      </c>
      <c r="O31" s="15" t="s">
        <v>56</v>
      </c>
    </row>
    <row r="32" spans="2:15" x14ac:dyDescent="0.3">
      <c r="B32" s="41">
        <v>25</v>
      </c>
      <c r="C32" s="41" t="s">
        <v>222</v>
      </c>
      <c r="D32" s="42">
        <v>281</v>
      </c>
      <c r="E32" s="62">
        <f>IF(O32="K",VLOOKUP(M32,Table2[[#All],[UNIT]:[Column7]],10,FALSE),0)</f>
        <v>425000</v>
      </c>
      <c r="F32" s="43">
        <f t="shared" si="14"/>
        <v>119425000</v>
      </c>
      <c r="G32" s="42">
        <v>5847</v>
      </c>
      <c r="H32" s="44">
        <f t="shared" si="15"/>
        <v>67240500</v>
      </c>
      <c r="I32" s="42">
        <f t="shared" si="16"/>
        <v>20.807829181494661</v>
      </c>
      <c r="J32" s="45">
        <f t="shared" si="17"/>
        <v>186665500</v>
      </c>
      <c r="K32" s="36"/>
      <c r="L32" s="41" t="s">
        <v>297</v>
      </c>
      <c r="M32" s="41" t="str">
        <f>VLOOKUP(N32,'list rate unit'!O:P,2,FALSE)</f>
        <v>D 65 P-12</v>
      </c>
      <c r="N32" s="41" t="str">
        <f t="shared" si="18"/>
        <v>KOMATSU DOZER D65 - 16</v>
      </c>
      <c r="O32" s="15" t="s">
        <v>56</v>
      </c>
    </row>
    <row r="33" spans="2:15" x14ac:dyDescent="0.3">
      <c r="B33" s="41">
        <v>26</v>
      </c>
      <c r="C33" s="41" t="s">
        <v>282</v>
      </c>
      <c r="D33" s="42">
        <v>233</v>
      </c>
      <c r="E33" s="62">
        <f>IF(O33="K",VLOOKUP(M33,Table2[[#All],[UNIT]:[Column7]],10,FALSE),0)</f>
        <v>425000</v>
      </c>
      <c r="F33" s="43">
        <f t="shared" si="14"/>
        <v>99025000</v>
      </c>
      <c r="G33" s="42">
        <v>6801</v>
      </c>
      <c r="H33" s="44">
        <f t="shared" si="15"/>
        <v>78211500</v>
      </c>
      <c r="I33" s="42">
        <f t="shared" si="16"/>
        <v>29.188841201716738</v>
      </c>
      <c r="J33" s="45">
        <f t="shared" si="17"/>
        <v>177236500</v>
      </c>
      <c r="K33" s="36"/>
      <c r="L33" s="41" t="s">
        <v>297</v>
      </c>
      <c r="M33" s="41" t="str">
        <f>VLOOKUP(N33,'list rate unit'!O:P,2,FALSE)</f>
        <v>D 65 P-12</v>
      </c>
      <c r="N33" s="41" t="str">
        <f t="shared" si="18"/>
        <v>KOMATSU DOZER D65 - 18</v>
      </c>
      <c r="O33" s="15" t="s">
        <v>56</v>
      </c>
    </row>
    <row r="34" spans="2:15" x14ac:dyDescent="0.3">
      <c r="B34" s="41">
        <v>27</v>
      </c>
      <c r="C34" s="41" t="s">
        <v>358</v>
      </c>
      <c r="D34" s="42">
        <v>69</v>
      </c>
      <c r="E34" s="62">
        <f>IF(O34="K",VLOOKUP(M34,Table2[[#All],[UNIT]:[Column7]],10,FALSE),0)</f>
        <v>425000</v>
      </c>
      <c r="F34" s="43">
        <f t="shared" si="10"/>
        <v>29325000</v>
      </c>
      <c r="G34" s="42">
        <v>1572.5</v>
      </c>
      <c r="H34" s="44">
        <f>G34*$C$43</f>
        <v>18083750</v>
      </c>
      <c r="I34" s="42">
        <f t="shared" si="11"/>
        <v>22.789855072463769</v>
      </c>
      <c r="J34" s="45">
        <f t="shared" si="12"/>
        <v>47408750</v>
      </c>
      <c r="K34" s="36"/>
      <c r="L34" s="41" t="s">
        <v>297</v>
      </c>
      <c r="M34" s="41" t="str">
        <f>VLOOKUP(N34,'list rate unit'!O:P,2,FALSE)</f>
        <v>D 85 ESS-2</v>
      </c>
      <c r="N34" s="41" t="str">
        <f t="shared" si="13"/>
        <v>KOMATSU DOZER D85SS - 06</v>
      </c>
      <c r="O34" s="15" t="s">
        <v>56</v>
      </c>
    </row>
    <row r="35" spans="2:15" x14ac:dyDescent="0.3">
      <c r="B35" s="41">
        <v>28</v>
      </c>
      <c r="C35" s="41" t="s">
        <v>223</v>
      </c>
      <c r="D35" s="42">
        <v>61.900000000000091</v>
      </c>
      <c r="E35" s="62">
        <f>IF(O35="K",VLOOKUP(M35,Table2[[#All],[UNIT]:[Column7]],10,FALSE),0)</f>
        <v>425000</v>
      </c>
      <c r="F35" s="43">
        <f t="shared" si="10"/>
        <v>26307500.000000037</v>
      </c>
      <c r="G35" s="42">
        <v>1155.6224634261455</v>
      </c>
      <c r="H35" s="44">
        <f>G35*$C$43</f>
        <v>13289658.329400674</v>
      </c>
      <c r="I35" s="42">
        <f t="shared" si="11"/>
        <v>18.669183577159028</v>
      </c>
      <c r="J35" s="45">
        <f t="shared" si="12"/>
        <v>39597158.329400711</v>
      </c>
      <c r="K35" s="36"/>
      <c r="L35" s="41" t="s">
        <v>297</v>
      </c>
      <c r="M35" s="41" t="str">
        <f>VLOOKUP(N35,'list rate unit'!O:P,2,FALSE)</f>
        <v>D 85 ESS-2</v>
      </c>
      <c r="N35" s="41" t="str">
        <f t="shared" si="13"/>
        <v>KOMATSU DOZER D85SS - 14</v>
      </c>
      <c r="O35" s="15" t="s">
        <v>56</v>
      </c>
    </row>
    <row r="36" spans="2:15" x14ac:dyDescent="0.3">
      <c r="B36" s="41">
        <v>29</v>
      </c>
      <c r="C36" s="41" t="s">
        <v>295</v>
      </c>
      <c r="D36" s="42">
        <v>201</v>
      </c>
      <c r="E36" s="62">
        <f>IF(O36="K",VLOOKUP(M36,Table2[[#All],[UNIT]:[Column7]],10,FALSE),0)</f>
        <v>425000</v>
      </c>
      <c r="F36" s="43">
        <f t="shared" si="10"/>
        <v>85425000</v>
      </c>
      <c r="G36" s="42">
        <v>4951.649289099526</v>
      </c>
      <c r="H36" s="44">
        <f>G36*$C$43</f>
        <v>56943966.824644551</v>
      </c>
      <c r="I36" s="42">
        <f t="shared" si="11"/>
        <v>24.635071090047393</v>
      </c>
      <c r="J36" s="45">
        <f t="shared" si="12"/>
        <v>142368966.82464457</v>
      </c>
      <c r="K36" s="36"/>
      <c r="L36" s="41" t="s">
        <v>297</v>
      </c>
      <c r="M36" s="41" t="str">
        <f>VLOOKUP(N36,'list rate unit'!O:P,2,FALSE)</f>
        <v>D 85 ESS-2</v>
      </c>
      <c r="N36" s="41" t="str">
        <f t="shared" si="13"/>
        <v>KOMATSU DOZER D85SS - 17</v>
      </c>
      <c r="O36" s="15" t="s">
        <v>56</v>
      </c>
    </row>
    <row r="37" spans="2:15" x14ac:dyDescent="0.3">
      <c r="B37" s="41">
        <v>30</v>
      </c>
      <c r="C37" s="41" t="s">
        <v>224</v>
      </c>
      <c r="D37" s="42">
        <v>161</v>
      </c>
      <c r="E37" s="62">
        <f>IF(O37="K",VLOOKUP(M37,Table2[[#All],[UNIT]:[Column7]],10,FALSE),0)</f>
        <v>425000</v>
      </c>
      <c r="F37" s="43">
        <f t="shared" si="10"/>
        <v>68425000</v>
      </c>
      <c r="G37" s="42">
        <v>3074.6527777777778</v>
      </c>
      <c r="H37" s="44">
        <f>G37*$C$43</f>
        <v>35358506.944444448</v>
      </c>
      <c r="I37" s="42">
        <f t="shared" si="11"/>
        <v>19.097222222222221</v>
      </c>
      <c r="J37" s="45">
        <f t="shared" si="12"/>
        <v>103783506.94444445</v>
      </c>
      <c r="K37" s="36"/>
      <c r="L37" s="41" t="s">
        <v>297</v>
      </c>
      <c r="M37" s="41" t="str">
        <f>VLOOKUP(N37,'list rate unit'!O:P,2,FALSE)</f>
        <v>D 85 ESS-2</v>
      </c>
      <c r="N37" s="41" t="str">
        <f t="shared" si="13"/>
        <v>KOMATSU DOZER D85SS - 18</v>
      </c>
      <c r="O37" s="15" t="s">
        <v>56</v>
      </c>
    </row>
    <row r="38" spans="2:15" x14ac:dyDescent="0.3">
      <c r="B38" s="41">
        <v>31</v>
      </c>
      <c r="C38" s="41" t="s">
        <v>283</v>
      </c>
      <c r="D38" s="42">
        <v>91</v>
      </c>
      <c r="E38" s="62">
        <f>IF(O38="K",VLOOKUP(M38,Table2[[#All],[UNIT]:[Column7]],10,FALSE),0)</f>
        <v>425000</v>
      </c>
      <c r="F38" s="43">
        <f t="shared" si="10"/>
        <v>38675000</v>
      </c>
      <c r="G38" s="42">
        <v>1673.3649289099526</v>
      </c>
      <c r="H38" s="44">
        <f>G38*$C$43</f>
        <v>19243696.682464454</v>
      </c>
      <c r="I38" s="42">
        <f t="shared" si="11"/>
        <v>18.388625592417061</v>
      </c>
      <c r="J38" s="45">
        <f t="shared" si="12"/>
        <v>57918696.682464451</v>
      </c>
      <c r="K38" s="36"/>
      <c r="L38" s="41" t="s">
        <v>297</v>
      </c>
      <c r="M38" s="41" t="str">
        <f>VLOOKUP(N38,'list rate unit'!O:P,2,FALSE)</f>
        <v>D 85 ESS-2</v>
      </c>
      <c r="N38" s="41" t="str">
        <f t="shared" si="13"/>
        <v>KOMATSU DOZER D85SS - 20</v>
      </c>
      <c r="O38" s="15" t="s">
        <v>56</v>
      </c>
    </row>
    <row r="39" spans="2:15" x14ac:dyDescent="0.3">
      <c r="D39" s="18"/>
      <c r="F39" s="32"/>
      <c r="G39" s="18"/>
      <c r="H39" s="30"/>
      <c r="I39" s="18"/>
      <c r="J39" s="33"/>
      <c r="K39" s="18"/>
    </row>
    <row r="40" spans="2:15" s="1" customFormat="1" ht="15.75" customHeight="1" x14ac:dyDescent="0.3">
      <c r="B40" s="200" t="s">
        <v>21</v>
      </c>
      <c r="C40" s="200"/>
      <c r="D40" s="46">
        <f>SUM(D8:D39)</f>
        <v>4997.2000000000007</v>
      </c>
      <c r="E40" s="63">
        <f>AVERAGE(E8:E39)</f>
        <v>1016598.8871556876</v>
      </c>
      <c r="F40" s="47">
        <f>SUM(F8:F39)</f>
        <v>4971579718.2849045</v>
      </c>
      <c r="G40" s="46">
        <f>SUM(G8:G39)</f>
        <v>118618.83513601715</v>
      </c>
      <c r="H40" s="47">
        <f>SUM(H8:H39)</f>
        <v>1364116604.0641968</v>
      </c>
      <c r="I40" s="46">
        <f t="shared" si="1"/>
        <v>23.737059780680607</v>
      </c>
      <c r="J40" s="48">
        <f>SUM(J8:J39)</f>
        <v>6335696322.349102</v>
      </c>
      <c r="K40" s="37"/>
    </row>
    <row r="42" spans="2:15" x14ac:dyDescent="0.3">
      <c r="B42" s="35" t="s">
        <v>34</v>
      </c>
      <c r="C42" s="29">
        <f>'SUMMARY 2'!I28</f>
        <v>14848</v>
      </c>
    </row>
    <row r="43" spans="2:15" x14ac:dyDescent="0.3">
      <c r="B43" s="35" t="s">
        <v>35</v>
      </c>
      <c r="C43" s="29">
        <f>SUMMARY!J13</f>
        <v>11500</v>
      </c>
      <c r="F43" s="30"/>
      <c r="G43" s="18"/>
    </row>
    <row r="45" spans="2:15" x14ac:dyDescent="0.3">
      <c r="F45" s="18"/>
    </row>
  </sheetData>
  <autoFilter ref="B7:O40" xr:uid="{00000000-0009-0000-0000-000003000000}"/>
  <mergeCells count="13">
    <mergeCell ref="B2:C3"/>
    <mergeCell ref="M5:M7"/>
    <mergeCell ref="N5:N7"/>
    <mergeCell ref="I5:I6"/>
    <mergeCell ref="L5:L7"/>
    <mergeCell ref="J5:J7"/>
    <mergeCell ref="B40:C40"/>
    <mergeCell ref="C5:C7"/>
    <mergeCell ref="B5:B7"/>
    <mergeCell ref="D5:F5"/>
    <mergeCell ref="G5:H5"/>
    <mergeCell ref="F6:F7"/>
    <mergeCell ref="H6:H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34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F26" sqref="F2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169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277</v>
      </c>
      <c r="D8" s="42">
        <v>7</v>
      </c>
      <c r="E8" s="62">
        <f>IF(O8="K",VLOOKUP(M8,Table2[[#All],[UNIT]:[Column7]],10,FALSE),0)</f>
        <v>1000000</v>
      </c>
      <c r="F8" s="43">
        <f>D8*E8</f>
        <v>7000000</v>
      </c>
      <c r="G8" s="42">
        <v>212.46118721461187</v>
      </c>
      <c r="H8" s="44">
        <f>G8*$C$32</f>
        <v>2443303.6529680365</v>
      </c>
      <c r="I8" s="42">
        <f t="shared" ref="I8:I24" si="0">IFERROR(G8/D8,0)</f>
        <v>30.351598173515981</v>
      </c>
      <c r="J8" s="45">
        <f>F8+H8</f>
        <v>9443303.652968036</v>
      </c>
      <c r="K8" s="36"/>
      <c r="L8" s="41" t="s">
        <v>297</v>
      </c>
      <c r="M8" s="41" t="s">
        <v>150</v>
      </c>
      <c r="N8" s="41" t="str">
        <f>C8</f>
        <v>KOMATSU PC 500 - 04</v>
      </c>
      <c r="O8" s="15" t="s">
        <v>56</v>
      </c>
    </row>
    <row r="9" spans="2:15" x14ac:dyDescent="0.3">
      <c r="B9" s="41">
        <v>2</v>
      </c>
      <c r="C9" s="41" t="s">
        <v>278</v>
      </c>
      <c r="D9" s="42">
        <v>206</v>
      </c>
      <c r="E9" s="62">
        <f>IF(O9="K",VLOOKUP(M9,Table2[[#All],[UNIT]:[Column7]],10,FALSE),0)</f>
        <v>1000000</v>
      </c>
      <c r="F9" s="43">
        <f t="shared" ref="F9:F24" si="1">D9*E9</f>
        <v>206000000</v>
      </c>
      <c r="G9" s="42">
        <v>7026.8888888888896</v>
      </c>
      <c r="H9" s="44">
        <f>G9*$C$32</f>
        <v>80809222.222222224</v>
      </c>
      <c r="I9" s="42">
        <f t="shared" si="0"/>
        <v>34.111111111111114</v>
      </c>
      <c r="J9" s="45">
        <f t="shared" ref="J9:J24" si="2">F9+H9</f>
        <v>286809222.22222221</v>
      </c>
      <c r="K9" s="36"/>
      <c r="L9" s="41" t="s">
        <v>297</v>
      </c>
      <c r="M9" s="41" t="s">
        <v>150</v>
      </c>
      <c r="N9" s="41" t="str">
        <f t="shared" ref="N9:N24" si="3">C9</f>
        <v>KOMATSU PC 400 - 04</v>
      </c>
      <c r="O9" s="15" t="s">
        <v>56</v>
      </c>
    </row>
    <row r="10" spans="2:15" x14ac:dyDescent="0.3">
      <c r="B10" s="41">
        <v>3</v>
      </c>
      <c r="C10" s="41" t="s">
        <v>189</v>
      </c>
      <c r="D10" s="42">
        <v>146</v>
      </c>
      <c r="E10" s="62">
        <f>IF(O10="K",VLOOKUP(M10,Table2[[#All],[UNIT]:[Column7]],10,FALSE),0)</f>
        <v>1000000</v>
      </c>
      <c r="F10" s="43">
        <f t="shared" ref="F10:F23" si="4">D10*E10</f>
        <v>146000000</v>
      </c>
      <c r="G10" s="42">
        <v>3591.4078947368421</v>
      </c>
      <c r="H10" s="44">
        <f>G10*$C$32</f>
        <v>41301190.789473683</v>
      </c>
      <c r="I10" s="42">
        <f t="shared" ref="I10:I23" si="5">IFERROR(G10/D10,0)</f>
        <v>24.598684210526315</v>
      </c>
      <c r="J10" s="45">
        <f t="shared" ref="J10:J23" si="6">F10+H10</f>
        <v>187301190.78947368</v>
      </c>
      <c r="K10" s="36"/>
      <c r="L10" s="41" t="s">
        <v>297</v>
      </c>
      <c r="M10" s="41" t="s">
        <v>150</v>
      </c>
      <c r="N10" s="41" t="str">
        <f t="shared" ref="N10:N23" si="7">C10</f>
        <v>KOMATSU PC 400 - 05</v>
      </c>
      <c r="O10" s="15" t="s">
        <v>56</v>
      </c>
    </row>
    <row r="11" spans="2:15" x14ac:dyDescent="0.3">
      <c r="B11" s="41">
        <v>4</v>
      </c>
      <c r="C11" s="41" t="s">
        <v>301</v>
      </c>
      <c r="D11" s="42">
        <v>7</v>
      </c>
      <c r="E11" s="62">
        <f>IF(O11="K",VLOOKUP(M11,Table2[[#All],[UNIT]:[Column7]],10,FALSE),0)</f>
        <v>1000000</v>
      </c>
      <c r="F11" s="43">
        <f t="shared" si="4"/>
        <v>7000000</v>
      </c>
      <c r="G11" s="42">
        <v>170.47619047619048</v>
      </c>
      <c r="H11" s="44">
        <f t="shared" ref="H11:H24" si="8">G11*$C$32</f>
        <v>1960476.1904761905</v>
      </c>
      <c r="I11" s="42">
        <f t="shared" si="5"/>
        <v>24.353741496598641</v>
      </c>
      <c r="J11" s="45">
        <f t="shared" si="6"/>
        <v>8960476.1904761903</v>
      </c>
      <c r="K11" s="36"/>
      <c r="L11" s="41" t="s">
        <v>297</v>
      </c>
      <c r="M11" s="41" t="s">
        <v>150</v>
      </c>
      <c r="N11" s="41" t="str">
        <f t="shared" si="7"/>
        <v>KOMATSU PC 300 - 15</v>
      </c>
      <c r="O11" s="15" t="s">
        <v>56</v>
      </c>
    </row>
    <row r="12" spans="2:15" x14ac:dyDescent="0.3">
      <c r="B12" s="41">
        <v>5</v>
      </c>
      <c r="C12" s="41" t="s">
        <v>399</v>
      </c>
      <c r="D12" s="42">
        <v>9</v>
      </c>
      <c r="E12" s="62">
        <f>IF(O12="K",VLOOKUP(M12,Table2[[#All],[UNIT]:[Column7]],10,FALSE),0)</f>
        <v>1000000</v>
      </c>
      <c r="F12" s="43">
        <f t="shared" si="4"/>
        <v>9000000</v>
      </c>
      <c r="G12" s="42">
        <v>186.42140468227399</v>
      </c>
      <c r="H12" s="44">
        <f t="shared" si="8"/>
        <v>2143846.1538461507</v>
      </c>
      <c r="I12" s="42">
        <f t="shared" si="5"/>
        <v>20.713489409141555</v>
      </c>
      <c r="J12" s="45">
        <f t="shared" si="6"/>
        <v>11143846.15384615</v>
      </c>
      <c r="K12" s="36"/>
      <c r="L12" s="41" t="s">
        <v>297</v>
      </c>
      <c r="M12" s="41" t="s">
        <v>150</v>
      </c>
      <c r="N12" s="41" t="str">
        <f t="shared" si="7"/>
        <v>KOBELCO SK 330 - 12</v>
      </c>
      <c r="O12" s="15" t="s">
        <v>56</v>
      </c>
    </row>
    <row r="13" spans="2:15" x14ac:dyDescent="0.3">
      <c r="B13" s="41">
        <v>6</v>
      </c>
      <c r="C13" s="41" t="s">
        <v>207</v>
      </c>
      <c r="D13" s="42">
        <v>18</v>
      </c>
      <c r="E13" s="62">
        <f>IF(O13="K",VLOOKUP(M13,Table2[[#All],[UNIT]:[Column7]],10,FALSE),0)</f>
        <v>1000000</v>
      </c>
      <c r="F13" s="43">
        <f t="shared" si="4"/>
        <v>18000000</v>
      </c>
      <c r="G13" s="42">
        <v>305.53608247422676</v>
      </c>
      <c r="H13" s="44">
        <f t="shared" si="8"/>
        <v>3513664.9484536075</v>
      </c>
      <c r="I13" s="42">
        <f t="shared" si="5"/>
        <v>16.97422680412371</v>
      </c>
      <c r="J13" s="45">
        <f t="shared" si="6"/>
        <v>21513664.948453609</v>
      </c>
      <c r="K13" s="36"/>
      <c r="L13" s="41" t="s">
        <v>297</v>
      </c>
      <c r="M13" s="41" t="s">
        <v>150</v>
      </c>
      <c r="N13" s="41" t="str">
        <f t="shared" si="7"/>
        <v>KOMATSU HM 400 - 11</v>
      </c>
      <c r="O13" s="15" t="s">
        <v>56</v>
      </c>
    </row>
    <row r="14" spans="2:15" x14ac:dyDescent="0.3">
      <c r="B14" s="41">
        <v>7</v>
      </c>
      <c r="C14" s="41" t="s">
        <v>208</v>
      </c>
      <c r="D14" s="42">
        <v>45</v>
      </c>
      <c r="E14" s="62">
        <f>IF(O14="K",VLOOKUP(M14,Table2[[#All],[UNIT]:[Column7]],10,FALSE),0)</f>
        <v>1000000</v>
      </c>
      <c r="F14" s="43">
        <f t="shared" si="4"/>
        <v>45000000</v>
      </c>
      <c r="G14" s="42">
        <v>1039.9253731343283</v>
      </c>
      <c r="H14" s="44">
        <f t="shared" si="8"/>
        <v>11959141.791044775</v>
      </c>
      <c r="I14" s="42">
        <f t="shared" si="5"/>
        <v>23.109452736318406</v>
      </c>
      <c r="J14" s="45">
        <f t="shared" si="6"/>
        <v>56959141.791044772</v>
      </c>
      <c r="K14" s="36"/>
      <c r="L14" s="41" t="s">
        <v>297</v>
      </c>
      <c r="M14" s="41" t="s">
        <v>150</v>
      </c>
      <c r="N14" s="41" t="str">
        <f t="shared" si="7"/>
        <v>KOMATSU HM 400 - 12</v>
      </c>
      <c r="O14" s="15" t="s">
        <v>56</v>
      </c>
    </row>
    <row r="15" spans="2:15" x14ac:dyDescent="0.3">
      <c r="B15" s="41">
        <v>8</v>
      </c>
      <c r="C15" s="41" t="s">
        <v>209</v>
      </c>
      <c r="D15" s="42">
        <v>109</v>
      </c>
      <c r="E15" s="62">
        <f>IF(O15="K",VLOOKUP(M15,Table2[[#All],[UNIT]:[Column7]],10,FALSE),0)</f>
        <v>1000000</v>
      </c>
      <c r="F15" s="43">
        <f t="shared" si="4"/>
        <v>109000000</v>
      </c>
      <c r="G15" s="42">
        <v>1962.5240384615386</v>
      </c>
      <c r="H15" s="44">
        <f t="shared" si="8"/>
        <v>22569026.442307692</v>
      </c>
      <c r="I15" s="42">
        <f t="shared" si="5"/>
        <v>18.004807692307693</v>
      </c>
      <c r="J15" s="45">
        <f t="shared" si="6"/>
        <v>131569026.4423077</v>
      </c>
      <c r="K15" s="36"/>
      <c r="L15" s="41" t="s">
        <v>297</v>
      </c>
      <c r="M15" s="41" t="s">
        <v>150</v>
      </c>
      <c r="N15" s="41" t="str">
        <f t="shared" si="7"/>
        <v>KOMATSU HM 400 - 13</v>
      </c>
      <c r="O15" s="15" t="s">
        <v>56</v>
      </c>
    </row>
    <row r="16" spans="2:15" x14ac:dyDescent="0.3">
      <c r="B16" s="41">
        <v>9</v>
      </c>
      <c r="C16" s="41" t="s">
        <v>210</v>
      </c>
      <c r="D16" s="42">
        <v>67</v>
      </c>
      <c r="E16" s="62">
        <f>IF(O16="K",VLOOKUP(M16,Table2[[#All],[UNIT]:[Column7]],10,FALSE),0)</f>
        <v>1000000</v>
      </c>
      <c r="F16" s="43">
        <f t="shared" si="4"/>
        <v>67000000</v>
      </c>
      <c r="G16" s="42">
        <v>1397.0279069767441</v>
      </c>
      <c r="H16" s="44">
        <f t="shared" si="8"/>
        <v>16065820.930232558</v>
      </c>
      <c r="I16" s="42">
        <f t="shared" si="5"/>
        <v>20.851162790697675</v>
      </c>
      <c r="J16" s="45">
        <f t="shared" si="6"/>
        <v>83065820.930232555</v>
      </c>
      <c r="K16" s="36"/>
      <c r="L16" s="41" t="s">
        <v>297</v>
      </c>
      <c r="M16" s="41" t="s">
        <v>150</v>
      </c>
      <c r="N16" s="41" t="str">
        <f t="shared" si="7"/>
        <v>KOMATSU HM 400 - 14</v>
      </c>
      <c r="O16" s="15" t="s">
        <v>56</v>
      </c>
    </row>
    <row r="17" spans="2:15" x14ac:dyDescent="0.3">
      <c r="B17" s="41">
        <v>10</v>
      </c>
      <c r="C17" s="41" t="s">
        <v>211</v>
      </c>
      <c r="D17" s="42">
        <v>19</v>
      </c>
      <c r="E17" s="62">
        <f>IF(O17="K",VLOOKUP(M17,Table2[[#All],[UNIT]:[Column7]],10,FALSE),0)</f>
        <v>1000000</v>
      </c>
      <c r="F17" s="43">
        <f t="shared" si="4"/>
        <v>19000000</v>
      </c>
      <c r="G17" s="42">
        <v>459.54545454545456</v>
      </c>
      <c r="H17" s="44">
        <f t="shared" si="8"/>
        <v>5284772.7272727275</v>
      </c>
      <c r="I17" s="42">
        <f t="shared" si="5"/>
        <v>24.186602870813399</v>
      </c>
      <c r="J17" s="45">
        <f t="shared" si="6"/>
        <v>24284772.727272727</v>
      </c>
      <c r="K17" s="36"/>
      <c r="L17" s="41" t="s">
        <v>297</v>
      </c>
      <c r="M17" s="41" t="s">
        <v>150</v>
      </c>
      <c r="N17" s="41" t="str">
        <f t="shared" si="7"/>
        <v>KOMATSU HM 400 - 15</v>
      </c>
      <c r="O17" s="15" t="s">
        <v>56</v>
      </c>
    </row>
    <row r="18" spans="2:15" x14ac:dyDescent="0.3">
      <c r="B18" s="41">
        <v>11</v>
      </c>
      <c r="C18" s="41" t="s">
        <v>212</v>
      </c>
      <c r="D18" s="42">
        <v>48</v>
      </c>
      <c r="E18" s="62">
        <f>IF(O18="K",VLOOKUP(M18,Table2[[#All],[UNIT]:[Column7]],10,FALSE),0)</f>
        <v>1000000</v>
      </c>
      <c r="F18" s="43">
        <f t="shared" si="4"/>
        <v>48000000</v>
      </c>
      <c r="G18" s="42">
        <v>1342.2944162436547</v>
      </c>
      <c r="H18" s="44">
        <f t="shared" si="8"/>
        <v>15436385.786802029</v>
      </c>
      <c r="I18" s="42">
        <f t="shared" si="5"/>
        <v>27.964467005076141</v>
      </c>
      <c r="J18" s="45">
        <f t="shared" si="6"/>
        <v>63436385.786802031</v>
      </c>
      <c r="K18" s="36"/>
      <c r="L18" s="41" t="s">
        <v>297</v>
      </c>
      <c r="M18" s="41" t="s">
        <v>150</v>
      </c>
      <c r="N18" s="41" t="str">
        <f t="shared" si="7"/>
        <v>KOMATSU HM 400 - 16</v>
      </c>
      <c r="O18" s="15" t="s">
        <v>56</v>
      </c>
    </row>
    <row r="19" spans="2:15" x14ac:dyDescent="0.3">
      <c r="B19" s="41">
        <v>12</v>
      </c>
      <c r="C19" s="41" t="s">
        <v>213</v>
      </c>
      <c r="D19" s="42">
        <v>16</v>
      </c>
      <c r="E19" s="62">
        <f>IF(O19="K",VLOOKUP(M19,Table2[[#All],[UNIT]:[Column7]],10,FALSE),0)</f>
        <v>1000000</v>
      </c>
      <c r="F19" s="43">
        <f t="shared" si="4"/>
        <v>16000000</v>
      </c>
      <c r="G19" s="42">
        <v>360.55172413793105</v>
      </c>
      <c r="H19" s="44">
        <f t="shared" si="8"/>
        <v>4146344.8275862071</v>
      </c>
      <c r="I19" s="42">
        <f t="shared" si="5"/>
        <v>22.53448275862069</v>
      </c>
      <c r="J19" s="45">
        <f t="shared" si="6"/>
        <v>20146344.827586208</v>
      </c>
      <c r="K19" s="36"/>
      <c r="L19" s="41" t="s">
        <v>297</v>
      </c>
      <c r="M19" s="41" t="s">
        <v>150</v>
      </c>
      <c r="N19" s="41" t="str">
        <f t="shared" si="7"/>
        <v>KOMATSU HM 400 - 17</v>
      </c>
      <c r="O19" s="15" t="s">
        <v>56</v>
      </c>
    </row>
    <row r="20" spans="2:15" x14ac:dyDescent="0.3">
      <c r="B20" s="41">
        <v>13</v>
      </c>
      <c r="C20" s="41" t="s">
        <v>214</v>
      </c>
      <c r="D20" s="42">
        <v>40</v>
      </c>
      <c r="E20" s="62">
        <f>IF(O20="K",VLOOKUP(M20,Table2[[#All],[UNIT]:[Column7]],10,FALSE),0)</f>
        <v>1000000</v>
      </c>
      <c r="F20" s="43">
        <f t="shared" si="4"/>
        <v>40000000</v>
      </c>
      <c r="G20" s="42">
        <v>939.01345291479811</v>
      </c>
      <c r="H20" s="44">
        <f t="shared" si="8"/>
        <v>10798654.708520178</v>
      </c>
      <c r="I20" s="42">
        <f t="shared" si="5"/>
        <v>23.475336322869953</v>
      </c>
      <c r="J20" s="45">
        <f t="shared" si="6"/>
        <v>50798654.708520174</v>
      </c>
      <c r="K20" s="36"/>
      <c r="L20" s="41" t="s">
        <v>297</v>
      </c>
      <c r="M20" s="41" t="s">
        <v>150</v>
      </c>
      <c r="N20" s="41" t="str">
        <f t="shared" si="7"/>
        <v>KOMATSU HM 400 - 18</v>
      </c>
      <c r="O20" s="15" t="s">
        <v>56</v>
      </c>
    </row>
    <row r="21" spans="2:15" x14ac:dyDescent="0.3">
      <c r="B21" s="41">
        <v>14</v>
      </c>
      <c r="C21" s="41" t="s">
        <v>215</v>
      </c>
      <c r="D21" s="42">
        <v>66</v>
      </c>
      <c r="E21" s="62">
        <f>IF(O21="K",VLOOKUP(M21,Table2[[#All],[UNIT]:[Column7]],10,FALSE),0)</f>
        <v>1000000</v>
      </c>
      <c r="F21" s="43">
        <f t="shared" si="4"/>
        <v>66000000</v>
      </c>
      <c r="G21" s="42">
        <v>1410.483870967742</v>
      </c>
      <c r="H21" s="44">
        <f t="shared" si="8"/>
        <v>16220564.516129032</v>
      </c>
      <c r="I21" s="42">
        <f t="shared" si="5"/>
        <v>21.370967741935484</v>
      </c>
      <c r="J21" s="45">
        <f t="shared" si="6"/>
        <v>82220564.516129032</v>
      </c>
      <c r="K21" s="36"/>
      <c r="L21" s="41" t="s">
        <v>297</v>
      </c>
      <c r="M21" s="41" t="s">
        <v>150</v>
      </c>
      <c r="N21" s="41" t="str">
        <f t="shared" si="7"/>
        <v>KOMATSU HM 400 - 19</v>
      </c>
      <c r="O21" s="15" t="s">
        <v>56</v>
      </c>
    </row>
    <row r="22" spans="2:15" x14ac:dyDescent="0.3">
      <c r="B22" s="41">
        <v>15</v>
      </c>
      <c r="C22" s="41" t="s">
        <v>216</v>
      </c>
      <c r="D22" s="42">
        <v>62</v>
      </c>
      <c r="E22" s="62">
        <f>IF(O22="K",VLOOKUP(M22,Table2[[#All],[UNIT]:[Column7]],10,FALSE),0)</f>
        <v>1000000</v>
      </c>
      <c r="F22" s="43">
        <f t="shared" si="4"/>
        <v>62000000</v>
      </c>
      <c r="G22" s="42">
        <v>1504.8543689320391</v>
      </c>
      <c r="H22" s="44">
        <f t="shared" si="8"/>
        <v>17305825.242718451</v>
      </c>
      <c r="I22" s="42">
        <f t="shared" si="5"/>
        <v>24.27184466019418</v>
      </c>
      <c r="J22" s="45">
        <f t="shared" si="6"/>
        <v>79305825.242718458</v>
      </c>
      <c r="K22" s="36"/>
      <c r="L22" s="41" t="s">
        <v>297</v>
      </c>
      <c r="M22" s="41" t="s">
        <v>150</v>
      </c>
      <c r="N22" s="41" t="str">
        <f t="shared" si="7"/>
        <v>KOMATSU HM 400 - 20</v>
      </c>
      <c r="O22" s="15" t="s">
        <v>56</v>
      </c>
    </row>
    <row r="23" spans="2:15" x14ac:dyDescent="0.3">
      <c r="B23" s="41">
        <v>16</v>
      </c>
      <c r="C23" s="41" t="s">
        <v>217</v>
      </c>
      <c r="D23" s="42">
        <v>30</v>
      </c>
      <c r="E23" s="62">
        <f>IF(O23="K",VLOOKUP(M23,Table2[[#All],[UNIT]:[Column7]],10,FALSE),0)</f>
        <v>1000000</v>
      </c>
      <c r="F23" s="43">
        <f t="shared" si="4"/>
        <v>30000000</v>
      </c>
      <c r="G23" s="42">
        <v>595.05154639175259</v>
      </c>
      <c r="H23" s="44">
        <f t="shared" si="8"/>
        <v>6843092.7835051548</v>
      </c>
      <c r="I23" s="42">
        <f t="shared" si="5"/>
        <v>19.835051546391753</v>
      </c>
      <c r="J23" s="45">
        <f t="shared" si="6"/>
        <v>36843092.783505157</v>
      </c>
      <c r="K23" s="36"/>
      <c r="L23" s="41" t="s">
        <v>297</v>
      </c>
      <c r="M23" s="41" t="s">
        <v>150</v>
      </c>
      <c r="N23" s="41" t="str">
        <f t="shared" si="7"/>
        <v>KOMATSU HM 400 - 21</v>
      </c>
      <c r="O23" s="15" t="s">
        <v>56</v>
      </c>
    </row>
    <row r="24" spans="2:15" x14ac:dyDescent="0.3">
      <c r="B24" s="41">
        <v>17</v>
      </c>
      <c r="C24" s="41" t="s">
        <v>218</v>
      </c>
      <c r="D24" s="42">
        <v>23.5</v>
      </c>
      <c r="E24" s="62">
        <f>IF(O24="K",VLOOKUP(M24,Table2[[#All],[UNIT]:[Column7]],10,FALSE),0)</f>
        <v>1000000</v>
      </c>
      <c r="F24" s="43">
        <f t="shared" si="1"/>
        <v>23500000</v>
      </c>
      <c r="G24" s="42">
        <v>575.89873417721515</v>
      </c>
      <c r="H24" s="44">
        <f t="shared" si="8"/>
        <v>6622835.4430379746</v>
      </c>
      <c r="I24" s="42">
        <f t="shared" si="0"/>
        <v>24.50632911392405</v>
      </c>
      <c r="J24" s="45">
        <f t="shared" si="2"/>
        <v>30122835.443037976</v>
      </c>
      <c r="K24" s="36"/>
      <c r="L24" s="41" t="s">
        <v>297</v>
      </c>
      <c r="M24" s="41" t="s">
        <v>150</v>
      </c>
      <c r="N24" s="41" t="str">
        <f t="shared" si="3"/>
        <v>KOMATSU HM 400 - 22</v>
      </c>
      <c r="O24" s="15" t="s">
        <v>56</v>
      </c>
    </row>
    <row r="25" spans="2:15" x14ac:dyDescent="0.3">
      <c r="B25" s="41">
        <v>18</v>
      </c>
      <c r="C25" s="41" t="s">
        <v>279</v>
      </c>
      <c r="D25" s="42">
        <v>60</v>
      </c>
      <c r="E25" s="62">
        <f>IF(O25="K",VLOOKUP(M25,Table2[[#All],[UNIT]:[Column7]],10,FALSE),0)</f>
        <v>1000000</v>
      </c>
      <c r="F25" s="43">
        <f t="shared" ref="F25:F27" si="9">D25*E25</f>
        <v>60000000</v>
      </c>
      <c r="G25" s="42">
        <v>1183.661971830986</v>
      </c>
      <c r="H25" s="44">
        <f t="shared" ref="H25:H27" si="10">G25*$C$32</f>
        <v>13612112.676056338</v>
      </c>
      <c r="I25" s="42">
        <f t="shared" ref="I25:I27" si="11">IFERROR(G25/D25,0)</f>
        <v>19.727699530516432</v>
      </c>
      <c r="J25" s="45">
        <f t="shared" ref="J25:J27" si="12">F25+H25</f>
        <v>73612112.67605634</v>
      </c>
      <c r="K25" s="36"/>
      <c r="L25" s="41" t="s">
        <v>297</v>
      </c>
      <c r="M25" s="41" t="s">
        <v>150</v>
      </c>
      <c r="N25" s="41" t="str">
        <f t="shared" ref="N25:N27" si="13">C25</f>
        <v>KOMATSU HM 400 - 23</v>
      </c>
      <c r="O25" s="15" t="s">
        <v>56</v>
      </c>
    </row>
    <row r="26" spans="2:15" x14ac:dyDescent="0.3">
      <c r="B26" s="41">
        <v>19</v>
      </c>
      <c r="C26" s="41" t="s">
        <v>280</v>
      </c>
      <c r="D26" s="42">
        <v>15</v>
      </c>
      <c r="E26" s="62">
        <f>IF(O26="K",VLOOKUP(M26,Table2[[#All],[UNIT]:[Column7]],10,FALSE),0)</f>
        <v>1000000</v>
      </c>
      <c r="F26" s="43">
        <f t="shared" si="9"/>
        <v>15000000</v>
      </c>
      <c r="G26" s="42">
        <v>271.82741116751271</v>
      </c>
      <c r="H26" s="44">
        <f t="shared" si="10"/>
        <v>3126015.2284263959</v>
      </c>
      <c r="I26" s="42">
        <f t="shared" si="11"/>
        <v>18.121827411167512</v>
      </c>
      <c r="J26" s="45">
        <f t="shared" si="12"/>
        <v>18126015.228426397</v>
      </c>
      <c r="K26" s="36"/>
      <c r="L26" s="41" t="s">
        <v>297</v>
      </c>
      <c r="M26" s="41" t="s">
        <v>150</v>
      </c>
      <c r="N26" s="41" t="str">
        <f t="shared" si="13"/>
        <v>KOMATSU HM 400 - 24</v>
      </c>
      <c r="O26" s="15" t="s">
        <v>56</v>
      </c>
    </row>
    <row r="27" spans="2:15" x14ac:dyDescent="0.3">
      <c r="B27" s="41">
        <v>20</v>
      </c>
      <c r="C27" s="41" t="s">
        <v>281</v>
      </c>
      <c r="D27" s="42">
        <v>60</v>
      </c>
      <c r="E27" s="62">
        <f>IF(O27="K",VLOOKUP(M27,Table2[[#All],[UNIT]:[Column7]],10,FALSE),0)</f>
        <v>1000000</v>
      </c>
      <c r="F27" s="43">
        <f t="shared" si="9"/>
        <v>60000000</v>
      </c>
      <c r="G27" s="42">
        <v>1230</v>
      </c>
      <c r="H27" s="44">
        <f t="shared" si="10"/>
        <v>14145000</v>
      </c>
      <c r="I27" s="42">
        <f t="shared" si="11"/>
        <v>20.5</v>
      </c>
      <c r="J27" s="45">
        <f t="shared" si="12"/>
        <v>74145000</v>
      </c>
      <c r="K27" s="36"/>
      <c r="L27" s="41" t="s">
        <v>297</v>
      </c>
      <c r="M27" s="41" t="s">
        <v>150</v>
      </c>
      <c r="N27" s="41" t="str">
        <f t="shared" si="13"/>
        <v>KOMATSU HM 400 - 25</v>
      </c>
      <c r="O27" s="15" t="s">
        <v>56</v>
      </c>
    </row>
    <row r="28" spans="2:15" x14ac:dyDescent="0.3">
      <c r="D28" s="18"/>
      <c r="F28" s="32"/>
      <c r="G28" s="18"/>
      <c r="H28" s="30"/>
      <c r="I28" s="18"/>
      <c r="J28" s="33"/>
      <c r="K28" s="18"/>
    </row>
    <row r="29" spans="2:15" s="1" customFormat="1" ht="15.75" customHeight="1" x14ac:dyDescent="0.3">
      <c r="B29" s="200" t="s">
        <v>21</v>
      </c>
      <c r="C29" s="200"/>
      <c r="D29" s="46">
        <f>SUM(D8:D28)</f>
        <v>1053.5</v>
      </c>
      <c r="E29" s="63">
        <f>AVERAGE(E8:E28)</f>
        <v>1000000</v>
      </c>
      <c r="F29" s="47">
        <f t="shared" ref="F29:J29" si="14">SUM(F8:F28)</f>
        <v>1053500000</v>
      </c>
      <c r="G29" s="46">
        <f t="shared" si="14"/>
        <v>25765.851918354732</v>
      </c>
      <c r="H29" s="47">
        <f t="shared" si="14"/>
        <v>296307297.06107938</v>
      </c>
      <c r="I29" s="46">
        <f t="shared" ref="I29" si="15">IFERROR(G29/D29,0)</f>
        <v>24.457381982301598</v>
      </c>
      <c r="J29" s="48">
        <f t="shared" si="14"/>
        <v>1349807297.0610795</v>
      </c>
      <c r="K29" s="37"/>
    </row>
    <row r="31" spans="2:15" x14ac:dyDescent="0.3">
      <c r="B31" s="35" t="s">
        <v>34</v>
      </c>
      <c r="C31" s="29">
        <f>'SUMMARY 2'!I28</f>
        <v>14848</v>
      </c>
    </row>
    <row r="32" spans="2:15" x14ac:dyDescent="0.3">
      <c r="B32" s="35" t="s">
        <v>35</v>
      </c>
      <c r="C32" s="29">
        <f>'SUMMARY 2'!I13</f>
        <v>11500</v>
      </c>
      <c r="F32" s="30"/>
      <c r="G32" s="18"/>
    </row>
    <row r="34" spans="6:6" x14ac:dyDescent="0.3">
      <c r="F34" s="18"/>
    </row>
  </sheetData>
  <autoFilter ref="B7:O24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29:C29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385A75-3452-4E3E-8D5E-19E9DB95BB07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22" sqref="H22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328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225</v>
      </c>
      <c r="D8" s="42">
        <v>75</v>
      </c>
      <c r="E8" s="62">
        <f>IF(O8="K",VLOOKUP(M8,Table2[[#All],[UNIT]:[Column7]],10,FALSE),0)</f>
        <v>350000</v>
      </c>
      <c r="F8" s="43">
        <f>D8*E8</f>
        <v>26250000</v>
      </c>
      <c r="G8" s="42">
        <v>588</v>
      </c>
      <c r="H8" s="44">
        <f>G8*$C$15</f>
        <v>6762000</v>
      </c>
      <c r="I8" s="42">
        <f t="shared" ref="I8:I10" si="0">IFERROR(G8/D8,0)</f>
        <v>7.84</v>
      </c>
      <c r="J8" s="45">
        <f>F8+H8</f>
        <v>33012000</v>
      </c>
      <c r="K8" s="36"/>
      <c r="L8" s="41" t="s">
        <v>297</v>
      </c>
      <c r="M8" s="41" t="str">
        <f>VLOOKUP(N8,'list rate unit'!O:P,2,FALSE)</f>
        <v>GD 511 A-1</v>
      </c>
      <c r="N8" s="41" t="str">
        <f>C8</f>
        <v>GRADER GD535 - 03</v>
      </c>
      <c r="O8" s="15" t="s">
        <v>56</v>
      </c>
    </row>
    <row r="9" spans="2:15" x14ac:dyDescent="0.3">
      <c r="B9" s="41">
        <v>2</v>
      </c>
      <c r="C9" s="41" t="s">
        <v>315</v>
      </c>
      <c r="D9" s="42">
        <v>206</v>
      </c>
      <c r="E9" s="62">
        <f>IF(O9="K",VLOOKUP(M9,Table2[[#All],[UNIT]:[Column7]],10,FALSE),0)</f>
        <v>220000</v>
      </c>
      <c r="F9" s="43">
        <f>D9*E9</f>
        <v>45320000</v>
      </c>
      <c r="G9" s="42">
        <v>1089</v>
      </c>
      <c r="H9" s="44">
        <f>G9*$C$15</f>
        <v>12523500</v>
      </c>
      <c r="I9" s="42">
        <f t="shared" ref="I9" si="1">IFERROR(G9/D9,0)</f>
        <v>5.2864077669902914</v>
      </c>
      <c r="J9" s="45">
        <f>F9+H9</f>
        <v>57843500</v>
      </c>
      <c r="K9" s="36"/>
      <c r="L9" s="41" t="s">
        <v>297</v>
      </c>
      <c r="M9" s="41" t="str">
        <f>VLOOKUP(N9,'list rate unit'!O:P,2,FALSE)</f>
        <v>SV 525 D</v>
      </c>
      <c r="N9" s="41" t="str">
        <f>C9</f>
        <v>SAKAI - 02</v>
      </c>
      <c r="O9" s="15" t="s">
        <v>56</v>
      </c>
    </row>
    <row r="10" spans="2:15" x14ac:dyDescent="0.3">
      <c r="B10" s="41">
        <v>3</v>
      </c>
      <c r="C10" s="41" t="s">
        <v>226</v>
      </c>
      <c r="D10" s="42">
        <v>82</v>
      </c>
      <c r="E10" s="62">
        <f>IF(O10="K",VLOOKUP(M10,Table2[[#All],[UNIT]:[Column7]],10,FALSE),0)</f>
        <v>220000</v>
      </c>
      <c r="F10" s="43">
        <f t="shared" ref="F10" si="2">D10*E10</f>
        <v>18040000</v>
      </c>
      <c r="G10" s="42">
        <v>501</v>
      </c>
      <c r="H10" s="44">
        <f>G10*$C$15</f>
        <v>5761500</v>
      </c>
      <c r="I10" s="42">
        <f t="shared" si="0"/>
        <v>6.1097560975609753</v>
      </c>
      <c r="J10" s="45">
        <f t="shared" ref="J10" si="3">F10+H10</f>
        <v>23801500</v>
      </c>
      <c r="K10" s="36"/>
      <c r="L10" s="41" t="s">
        <v>297</v>
      </c>
      <c r="M10" s="41" t="str">
        <f>VLOOKUP(N10,'list rate unit'!O:P,2,FALSE)</f>
        <v>SV 525 D</v>
      </c>
      <c r="N10" s="41" t="str">
        <f t="shared" ref="N10" si="4">C10</f>
        <v>SAKAI - 07</v>
      </c>
      <c r="O10" s="15" t="s">
        <v>56</v>
      </c>
    </row>
    <row r="11" spans="2:15" x14ac:dyDescent="0.3">
      <c r="D11" s="18"/>
      <c r="F11" s="32"/>
      <c r="G11" s="18"/>
      <c r="H11" s="30"/>
      <c r="I11" s="18"/>
      <c r="J11" s="33"/>
      <c r="K11" s="18"/>
    </row>
    <row r="12" spans="2:15" s="1" customFormat="1" ht="15.75" customHeight="1" x14ac:dyDescent="0.3">
      <c r="B12" s="200" t="s">
        <v>21</v>
      </c>
      <c r="C12" s="200"/>
      <c r="D12" s="46">
        <f>SUM(D8:D10)</f>
        <v>363</v>
      </c>
      <c r="E12" s="63">
        <f>AVERAGE(E8:E10)</f>
        <v>263333.33333333331</v>
      </c>
      <c r="F12" s="47">
        <f>SUM(F8:F10)</f>
        <v>89610000</v>
      </c>
      <c r="G12" s="46">
        <f>SUM(G8:G10)</f>
        <v>2178</v>
      </c>
      <c r="H12" s="47">
        <f>SUM(H8:H10)</f>
        <v>25047000</v>
      </c>
      <c r="I12" s="46">
        <f t="shared" ref="I12" si="5">IFERROR(G12/D12,0)</f>
        <v>6</v>
      </c>
      <c r="J12" s="48">
        <f>SUM(J8:J10)</f>
        <v>114657000</v>
      </c>
      <c r="K12" s="37"/>
    </row>
    <row r="14" spans="2:15" x14ac:dyDescent="0.3">
      <c r="B14" s="35" t="s">
        <v>34</v>
      </c>
      <c r="C14" s="29">
        <f>'SUMMARY 2'!I28</f>
        <v>14848</v>
      </c>
    </row>
    <row r="15" spans="2:15" x14ac:dyDescent="0.3">
      <c r="B15" s="35" t="s">
        <v>35</v>
      </c>
      <c r="C15" s="29">
        <f>'SUMMARY 2'!I13</f>
        <v>11500</v>
      </c>
      <c r="F15" s="30"/>
      <c r="G15" s="18"/>
    </row>
    <row r="17" spans="6:6" x14ac:dyDescent="0.3">
      <c r="F17" s="18"/>
    </row>
  </sheetData>
  <autoFilter ref="B7:O10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12:C12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D916AFC-3CA9-44A1-94DE-37E3739FB86F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43"/>
  <sheetViews>
    <sheetView zoomScaleNormal="100" workbookViewId="0">
      <pane xSplit="3" ySplit="7" topLeftCell="D23" activePane="bottomRight" state="frozenSplit"/>
      <selection activeCell="B47" sqref="B47"/>
      <selection pane="topRight" activeCell="B47" sqref="B47"/>
      <selection pane="bottomLeft" activeCell="B47" sqref="B47"/>
      <selection pane="bottomRight" activeCell="H43" sqref="H43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4" t="s">
        <v>170</v>
      </c>
      <c r="C2" s="204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4"/>
      <c r="C3" s="204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2" t="s">
        <v>36</v>
      </c>
      <c r="E5" s="202"/>
      <c r="F5" s="202"/>
      <c r="G5" s="203" t="s">
        <v>37</v>
      </c>
      <c r="H5" s="203"/>
      <c r="I5" s="201" t="s">
        <v>54</v>
      </c>
      <c r="J5" s="205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5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5"/>
      <c r="K7" s="31"/>
      <c r="L7" s="201"/>
      <c r="M7" s="201"/>
      <c r="N7" s="201"/>
    </row>
    <row r="8" spans="2:15" x14ac:dyDescent="0.3">
      <c r="B8" s="41">
        <v>1</v>
      </c>
      <c r="C8" s="41" t="s">
        <v>278</v>
      </c>
      <c r="D8" s="42">
        <v>9</v>
      </c>
      <c r="E8" s="62">
        <f>IF(O8="K",VLOOKUP(M8,Table2[[#All],[UNIT]:[Column7]],10,FALSE),0)</f>
        <v>950000</v>
      </c>
      <c r="F8" s="43">
        <f>D8*E8</f>
        <v>8550000</v>
      </c>
      <c r="G8" s="42">
        <v>307</v>
      </c>
      <c r="H8" s="44">
        <f t="shared" ref="H8:H20" si="0">G8*$C$41</f>
        <v>3530500</v>
      </c>
      <c r="I8" s="42">
        <f t="shared" ref="I8:I32" si="1">IFERROR(G8/D8,0)</f>
        <v>34.111111111111114</v>
      </c>
      <c r="J8" s="45">
        <f>F8+H8</f>
        <v>12080500</v>
      </c>
      <c r="K8" s="36"/>
      <c r="L8" s="41" t="s">
        <v>297</v>
      </c>
      <c r="M8" s="41" t="str">
        <f>VLOOKUP(N8,'list rate unit'!O:P,2,FALSE)</f>
        <v>PC 400 LC SE-8</v>
      </c>
      <c r="N8" s="41" t="str">
        <f>C8</f>
        <v>KOMATSU PC 400 - 04</v>
      </c>
      <c r="O8" s="15" t="s">
        <v>56</v>
      </c>
    </row>
    <row r="9" spans="2:15" x14ac:dyDescent="0.3">
      <c r="B9" s="41">
        <v>2</v>
      </c>
      <c r="C9" s="41" t="s">
        <v>398</v>
      </c>
      <c r="D9" s="42">
        <v>102</v>
      </c>
      <c r="E9" s="62">
        <f>IF(O9="K",VLOOKUP(M9,Table2[[#All],[UNIT]:[Column7]],10,FALSE),0)</f>
        <v>400000</v>
      </c>
      <c r="F9" s="43">
        <f t="shared" ref="F9:F32" si="2">D9*E9</f>
        <v>40800000</v>
      </c>
      <c r="G9" s="42">
        <v>3565</v>
      </c>
      <c r="H9" s="44">
        <f t="shared" si="0"/>
        <v>40997500</v>
      </c>
      <c r="I9" s="42">
        <f t="shared" si="1"/>
        <v>34.950980392156865</v>
      </c>
      <c r="J9" s="45">
        <f t="shared" ref="J9:J32" si="3">F9+H9</f>
        <v>81797500</v>
      </c>
      <c r="K9" s="36"/>
      <c r="L9" s="41" t="s">
        <v>297</v>
      </c>
      <c r="M9" s="41" t="str">
        <f>VLOOKUP(N9,'list rate unit'!O:P,2,FALSE)</f>
        <v>PC 300 SE-8</v>
      </c>
      <c r="N9" s="41" t="str">
        <f t="shared" ref="N9:N32" si="4">C9</f>
        <v>KOMATSU PC 300 - 07</v>
      </c>
      <c r="O9" s="15" t="s">
        <v>56</v>
      </c>
    </row>
    <row r="10" spans="2:15" x14ac:dyDescent="0.3">
      <c r="B10" s="41">
        <v>3</v>
      </c>
      <c r="C10" s="41" t="s">
        <v>190</v>
      </c>
      <c r="D10" s="42">
        <v>132</v>
      </c>
      <c r="E10" s="62">
        <f>IF(O10="K",VLOOKUP(M10,Table2[[#All],[UNIT]:[Column7]],10,FALSE),0)</f>
        <v>400000</v>
      </c>
      <c r="F10" s="43">
        <f t="shared" si="2"/>
        <v>52800000</v>
      </c>
      <c r="G10" s="42">
        <v>3616</v>
      </c>
      <c r="H10" s="44">
        <f t="shared" si="0"/>
        <v>41584000</v>
      </c>
      <c r="I10" s="42">
        <f t="shared" si="1"/>
        <v>27.393939393939394</v>
      </c>
      <c r="J10" s="45">
        <f t="shared" si="3"/>
        <v>94384000</v>
      </c>
      <c r="K10" s="36"/>
      <c r="L10" s="41" t="s">
        <v>297</v>
      </c>
      <c r="M10" s="41" t="str">
        <f>VLOOKUP(N10,'list rate unit'!O:P,2,FALSE)</f>
        <v>PC 300 SE-8</v>
      </c>
      <c r="N10" s="41" t="str">
        <f t="shared" si="4"/>
        <v>KOMATSU PC 300 - 10</v>
      </c>
      <c r="O10" s="15" t="s">
        <v>56</v>
      </c>
    </row>
    <row r="11" spans="2:15" x14ac:dyDescent="0.3">
      <c r="B11" s="41">
        <v>4</v>
      </c>
      <c r="C11" s="41" t="s">
        <v>341</v>
      </c>
      <c r="D11" s="42">
        <v>217</v>
      </c>
      <c r="E11" s="62">
        <f>IF(O11="K",VLOOKUP(M11,Table2[[#All],[UNIT]:[Column7]],10,FALSE),0)</f>
        <v>400000</v>
      </c>
      <c r="F11" s="43">
        <f t="shared" si="2"/>
        <v>86800000</v>
      </c>
      <c r="G11" s="42">
        <v>5824</v>
      </c>
      <c r="H11" s="44">
        <f t="shared" si="0"/>
        <v>66976000</v>
      </c>
      <c r="I11" s="42">
        <f t="shared" si="1"/>
        <v>26.838709677419356</v>
      </c>
      <c r="J11" s="45">
        <f t="shared" si="3"/>
        <v>153776000</v>
      </c>
      <c r="K11" s="36"/>
      <c r="L11" s="41" t="s">
        <v>297</v>
      </c>
      <c r="M11" s="41" t="str">
        <f>VLOOKUP(N11,'list rate unit'!O:P,2,FALSE)</f>
        <v>PC 300 SE-8</v>
      </c>
      <c r="N11" s="41" t="str">
        <f t="shared" si="4"/>
        <v>KOMATSU PC 300 - 11</v>
      </c>
      <c r="O11" s="15" t="s">
        <v>56</v>
      </c>
    </row>
    <row r="12" spans="2:15" x14ac:dyDescent="0.3">
      <c r="B12" s="41">
        <v>5</v>
      </c>
      <c r="C12" s="41" t="s">
        <v>287</v>
      </c>
      <c r="D12" s="42">
        <v>241</v>
      </c>
      <c r="E12" s="62">
        <f>IF(O12="K",VLOOKUP(M12,Table2[[#All],[UNIT]:[Column7]],10,FALSE),0)</f>
        <v>400000</v>
      </c>
      <c r="F12" s="43">
        <f t="shared" si="2"/>
        <v>96400000</v>
      </c>
      <c r="G12" s="42">
        <v>6525</v>
      </c>
      <c r="H12" s="44">
        <f t="shared" si="0"/>
        <v>75037500</v>
      </c>
      <c r="I12" s="42">
        <f t="shared" si="1"/>
        <v>27.074688796680498</v>
      </c>
      <c r="J12" s="45">
        <f t="shared" si="3"/>
        <v>171437500</v>
      </c>
      <c r="K12" s="36"/>
      <c r="L12" s="41" t="s">
        <v>297</v>
      </c>
      <c r="M12" s="41" t="str">
        <f>VLOOKUP(N12,'list rate unit'!O:P,2,FALSE)</f>
        <v>PC 300 SE-8</v>
      </c>
      <c r="N12" s="41" t="str">
        <f t="shared" si="4"/>
        <v>KOMATSU PC 300 - 14</v>
      </c>
      <c r="O12" s="15" t="s">
        <v>56</v>
      </c>
    </row>
    <row r="13" spans="2:15" x14ac:dyDescent="0.3">
      <c r="B13" s="41">
        <v>6</v>
      </c>
      <c r="C13" s="41" t="s">
        <v>301</v>
      </c>
      <c r="D13" s="42">
        <v>287</v>
      </c>
      <c r="E13" s="62">
        <f>IF(O13="K",VLOOKUP(M13,Table2[[#All],[UNIT]:[Column7]],10,FALSE),0)</f>
        <v>400000</v>
      </c>
      <c r="F13" s="43">
        <f t="shared" si="2"/>
        <v>114800000</v>
      </c>
      <c r="G13" s="42">
        <v>6989.5238095238101</v>
      </c>
      <c r="H13" s="44">
        <f t="shared" si="0"/>
        <v>80379523.809523821</v>
      </c>
      <c r="I13" s="42">
        <f t="shared" si="1"/>
        <v>24.353741496598641</v>
      </c>
      <c r="J13" s="45">
        <f t="shared" si="3"/>
        <v>195179523.80952382</v>
      </c>
      <c r="K13" s="36"/>
      <c r="L13" s="41" t="s">
        <v>297</v>
      </c>
      <c r="M13" s="41" t="str">
        <f>VLOOKUP(N13,'list rate unit'!O:P,2,FALSE)</f>
        <v>PC 300 SE-8</v>
      </c>
      <c r="N13" s="41" t="str">
        <f t="shared" si="4"/>
        <v>KOMATSU PC 300 - 15</v>
      </c>
      <c r="O13" s="15" t="s">
        <v>56</v>
      </c>
    </row>
    <row r="14" spans="2:15" x14ac:dyDescent="0.3">
      <c r="B14" s="41">
        <v>7</v>
      </c>
      <c r="C14" s="41" t="s">
        <v>191</v>
      </c>
      <c r="D14" s="42">
        <v>299</v>
      </c>
      <c r="E14" s="62">
        <f>IF(O14="K",VLOOKUP(M14,Table2[[#All],[UNIT]:[Column7]],10,FALSE),0)</f>
        <v>400000</v>
      </c>
      <c r="F14" s="43">
        <f t="shared" si="2"/>
        <v>119600000</v>
      </c>
      <c r="G14" s="42">
        <v>5511.0000000000009</v>
      </c>
      <c r="H14" s="44">
        <f t="shared" si="0"/>
        <v>63376500.000000007</v>
      </c>
      <c r="I14" s="42">
        <f t="shared" si="1"/>
        <v>18.431438127090303</v>
      </c>
      <c r="J14" s="45">
        <f t="shared" si="3"/>
        <v>182976500</v>
      </c>
      <c r="K14" s="36"/>
      <c r="L14" s="41" t="s">
        <v>297</v>
      </c>
      <c r="M14" s="41" t="str">
        <f>VLOOKUP(N14,'list rate unit'!O:P,2,FALSE)</f>
        <v>SK 330-8</v>
      </c>
      <c r="N14" s="41" t="str">
        <f t="shared" si="4"/>
        <v>KOBELCO SK 330 - 10</v>
      </c>
      <c r="O14" s="15" t="s">
        <v>56</v>
      </c>
    </row>
    <row r="15" spans="2:15" x14ac:dyDescent="0.3">
      <c r="B15" s="41">
        <v>8</v>
      </c>
      <c r="C15" s="41" t="s">
        <v>192</v>
      </c>
      <c r="D15" s="42">
        <v>252</v>
      </c>
      <c r="E15" s="62">
        <f>IF(O15="K",VLOOKUP(M15,Table2[[#All],[UNIT]:[Column7]],10,FALSE),0)</f>
        <v>400000</v>
      </c>
      <c r="F15" s="43">
        <f t="shared" si="2"/>
        <v>100800000</v>
      </c>
      <c r="G15" s="42">
        <v>4192</v>
      </c>
      <c r="H15" s="44">
        <f t="shared" si="0"/>
        <v>48208000</v>
      </c>
      <c r="I15" s="42">
        <f t="shared" si="1"/>
        <v>16.634920634920636</v>
      </c>
      <c r="J15" s="45">
        <f t="shared" si="3"/>
        <v>149008000</v>
      </c>
      <c r="K15" s="36"/>
      <c r="L15" s="41" t="s">
        <v>297</v>
      </c>
      <c r="M15" s="41" t="str">
        <f>VLOOKUP(N15,'list rate unit'!O:P,2,FALSE)</f>
        <v>SK 330-8</v>
      </c>
      <c r="N15" s="41" t="str">
        <f t="shared" si="4"/>
        <v>KOBELCO SK 330 - 11</v>
      </c>
      <c r="O15" s="15" t="s">
        <v>56</v>
      </c>
    </row>
    <row r="16" spans="2:15" x14ac:dyDescent="0.3">
      <c r="B16" s="41">
        <v>9</v>
      </c>
      <c r="C16" s="41" t="s">
        <v>399</v>
      </c>
      <c r="D16" s="42">
        <v>260.10000000000036</v>
      </c>
      <c r="E16" s="62">
        <f>IF(O16="K",VLOOKUP(M16,Table2[[#All],[UNIT]:[Column7]],10,FALSE),0)</f>
        <v>400000</v>
      </c>
      <c r="F16" s="43">
        <f t="shared" si="2"/>
        <v>104040000.00000015</v>
      </c>
      <c r="G16" s="42">
        <v>5387.5785953177265</v>
      </c>
      <c r="H16" s="44">
        <f t="shared" si="0"/>
        <v>61957153.846153855</v>
      </c>
      <c r="I16" s="42">
        <f t="shared" si="1"/>
        <v>20.713489409141555</v>
      </c>
      <c r="J16" s="45">
        <f t="shared" si="3"/>
        <v>165997153.846154</v>
      </c>
      <c r="K16" s="36"/>
      <c r="L16" s="41" t="s">
        <v>297</v>
      </c>
      <c r="M16" s="41" t="str">
        <f>VLOOKUP(N16,'list rate unit'!O:P,2,FALSE)</f>
        <v>SK 330-8</v>
      </c>
      <c r="N16" s="41" t="str">
        <f t="shared" si="4"/>
        <v>KOBELCO SK 330 - 12</v>
      </c>
      <c r="O16" s="15" t="s">
        <v>56</v>
      </c>
    </row>
    <row r="17" spans="2:15" x14ac:dyDescent="0.3">
      <c r="B17" s="41">
        <v>10</v>
      </c>
      <c r="C17" s="41" t="s">
        <v>408</v>
      </c>
      <c r="D17" s="42">
        <v>79</v>
      </c>
      <c r="E17" s="62">
        <f>IF(O17="K",VLOOKUP(M17,Table2[[#All],[UNIT]:[Column7]],10,FALSE),0)</f>
        <v>275000</v>
      </c>
      <c r="F17" s="43">
        <f t="shared" si="2"/>
        <v>21725000</v>
      </c>
      <c r="G17" s="42">
        <v>1280</v>
      </c>
      <c r="H17" s="44">
        <f t="shared" si="0"/>
        <v>14720000</v>
      </c>
      <c r="I17" s="42">
        <f t="shared" si="1"/>
        <v>16.202531645569621</v>
      </c>
      <c r="J17" s="45">
        <f t="shared" si="3"/>
        <v>36445000</v>
      </c>
      <c r="K17" s="36"/>
      <c r="L17" s="41" t="s">
        <v>297</v>
      </c>
      <c r="M17" s="41" t="str">
        <f>VLOOKUP(N17,'list rate unit'!O:P,2,FALSE)</f>
        <v>PC 200-8 MO</v>
      </c>
      <c r="N17" s="41" t="str">
        <f t="shared" si="4"/>
        <v>KOMATSU PC 200 - 04</v>
      </c>
      <c r="O17" s="15" t="s">
        <v>56</v>
      </c>
    </row>
    <row r="18" spans="2:15" x14ac:dyDescent="0.3">
      <c r="B18" s="41">
        <v>11</v>
      </c>
      <c r="C18" s="41" t="s">
        <v>304</v>
      </c>
      <c r="D18" s="42">
        <v>251</v>
      </c>
      <c r="E18" s="62">
        <f>IF(O18="K",VLOOKUP(M18,Table2[[#All],[UNIT]:[Column7]],10,FALSE),0)</f>
        <v>275000</v>
      </c>
      <c r="F18" s="43">
        <f t="shared" si="2"/>
        <v>69025000</v>
      </c>
      <c r="G18" s="42">
        <v>3985</v>
      </c>
      <c r="H18" s="44">
        <f t="shared" si="0"/>
        <v>45827500</v>
      </c>
      <c r="I18" s="42">
        <f t="shared" si="1"/>
        <v>15.876494023904382</v>
      </c>
      <c r="J18" s="45">
        <f t="shared" si="3"/>
        <v>114852500</v>
      </c>
      <c r="K18" s="36"/>
      <c r="L18" s="41" t="s">
        <v>297</v>
      </c>
      <c r="M18" s="41" t="str">
        <f>VLOOKUP(N18,'list rate unit'!O:P,2,FALSE)</f>
        <v>PC 200-8 MO</v>
      </c>
      <c r="N18" s="41" t="str">
        <f t="shared" si="4"/>
        <v>KOMATSU PC 200 - 12</v>
      </c>
      <c r="O18" s="15" t="s">
        <v>56</v>
      </c>
    </row>
    <row r="19" spans="2:15" x14ac:dyDescent="0.3">
      <c r="B19" s="41">
        <v>12</v>
      </c>
      <c r="C19" s="41" t="s">
        <v>305</v>
      </c>
      <c r="D19" s="42">
        <v>263</v>
      </c>
      <c r="E19" s="62">
        <f>IF(O19="K",VLOOKUP(M19,Table2[[#All],[UNIT]:[Column7]],10,FALSE),0)</f>
        <v>275000</v>
      </c>
      <c r="F19" s="43">
        <f t="shared" si="2"/>
        <v>72325000</v>
      </c>
      <c r="G19" s="42">
        <v>4328</v>
      </c>
      <c r="H19" s="44">
        <f t="shared" si="0"/>
        <v>49772000</v>
      </c>
      <c r="I19" s="42">
        <f t="shared" si="1"/>
        <v>16.456273764258555</v>
      </c>
      <c r="J19" s="45">
        <f t="shared" si="3"/>
        <v>122097000</v>
      </c>
      <c r="K19" s="36"/>
      <c r="L19" s="41" t="s">
        <v>297</v>
      </c>
      <c r="M19" s="41" t="str">
        <f>VLOOKUP(N19,'list rate unit'!O:P,2,FALSE)</f>
        <v>PC 200-8 MO</v>
      </c>
      <c r="N19" s="41" t="str">
        <f t="shared" si="4"/>
        <v>KOMATSU PC 200 - 14</v>
      </c>
      <c r="O19" s="15" t="s">
        <v>56</v>
      </c>
    </row>
    <row r="20" spans="2:15" x14ac:dyDescent="0.3">
      <c r="B20" s="41">
        <v>13</v>
      </c>
      <c r="C20" s="41" t="s">
        <v>307</v>
      </c>
      <c r="D20" s="42">
        <v>261</v>
      </c>
      <c r="E20" s="62">
        <f>IF(O20="K",VLOOKUP(M20,Table2[[#All],[UNIT]:[Column7]],10,FALSE),0)</f>
        <v>275000</v>
      </c>
      <c r="F20" s="43">
        <f t="shared" si="2"/>
        <v>71775000</v>
      </c>
      <c r="G20" s="42">
        <v>3885</v>
      </c>
      <c r="H20" s="44">
        <f t="shared" si="0"/>
        <v>44677500</v>
      </c>
      <c r="I20" s="42">
        <f t="shared" si="1"/>
        <v>14.885057471264368</v>
      </c>
      <c r="J20" s="45">
        <f t="shared" si="3"/>
        <v>116452500</v>
      </c>
      <c r="K20" s="36"/>
      <c r="L20" s="41" t="s">
        <v>297</v>
      </c>
      <c r="M20" s="41" t="str">
        <f>VLOOKUP(N20,'list rate unit'!O:P,2,FALSE)</f>
        <v>PC 200-8 MO</v>
      </c>
      <c r="N20" s="41" t="str">
        <f t="shared" si="4"/>
        <v>KOMATSU PC 200 - 16</v>
      </c>
      <c r="O20" s="15" t="s">
        <v>56</v>
      </c>
    </row>
    <row r="21" spans="2:15" x14ac:dyDescent="0.3">
      <c r="B21" s="41">
        <v>14</v>
      </c>
      <c r="C21" s="41" t="s">
        <v>403</v>
      </c>
      <c r="D21" s="42">
        <v>240</v>
      </c>
      <c r="E21" s="62">
        <f>IF(O21="K",VLOOKUP(M21,Table2[[#All],[UNIT]:[Column7]],10,FALSE),0)</f>
        <v>275000</v>
      </c>
      <c r="F21" s="43">
        <f t="shared" ref="F21:F25" si="5">D21*E21</f>
        <v>66000000</v>
      </c>
      <c r="G21" s="42">
        <v>3477</v>
      </c>
      <c r="H21" s="44">
        <f t="shared" ref="H21:H25" si="6">G21*$C$41</f>
        <v>39985500</v>
      </c>
      <c r="I21" s="42">
        <f t="shared" ref="I21:I25" si="7">IFERROR(G21/D21,0)</f>
        <v>14.487500000000001</v>
      </c>
      <c r="J21" s="45">
        <f t="shared" ref="J21:J25" si="8">F21+H21</f>
        <v>105985500</v>
      </c>
      <c r="K21" s="36"/>
      <c r="L21" s="41" t="s">
        <v>297</v>
      </c>
      <c r="M21" s="41" t="str">
        <f>VLOOKUP(N21,'list rate unit'!O:P,2,FALSE)</f>
        <v>PC 200-8 MO</v>
      </c>
      <c r="N21" s="41" t="str">
        <f t="shared" ref="N21:N25" si="9">C21</f>
        <v>KOMATSU PC 200 - 21</v>
      </c>
      <c r="O21" s="15" t="s">
        <v>56</v>
      </c>
    </row>
    <row r="22" spans="2:15" x14ac:dyDescent="0.3">
      <c r="B22" s="41">
        <v>15</v>
      </c>
      <c r="C22" s="41" t="s">
        <v>193</v>
      </c>
      <c r="D22" s="42">
        <v>202</v>
      </c>
      <c r="E22" s="62">
        <f>IF(O22="K",VLOOKUP(M22,Table2[[#All],[UNIT]:[Column7]],10,FALSE),0)</f>
        <v>275000</v>
      </c>
      <c r="F22" s="43">
        <f t="shared" si="5"/>
        <v>55550000</v>
      </c>
      <c r="G22" s="42">
        <v>3493.9999999999995</v>
      </c>
      <c r="H22" s="44">
        <f t="shared" si="6"/>
        <v>40180999.999999993</v>
      </c>
      <c r="I22" s="42">
        <f t="shared" si="7"/>
        <v>17.297029702970296</v>
      </c>
      <c r="J22" s="45">
        <f t="shared" si="8"/>
        <v>95731000</v>
      </c>
      <c r="K22" s="36"/>
      <c r="L22" s="41" t="s">
        <v>297</v>
      </c>
      <c r="M22" s="41" t="str">
        <f>VLOOKUP(N22,'list rate unit'!O:P,2,FALSE)</f>
        <v>PC 200-8 MO</v>
      </c>
      <c r="N22" s="41" t="str">
        <f t="shared" si="9"/>
        <v>KOMATSU PC 200 - 22</v>
      </c>
      <c r="O22" s="15" t="s">
        <v>56</v>
      </c>
    </row>
    <row r="23" spans="2:15" x14ac:dyDescent="0.3">
      <c r="B23" s="41">
        <v>16</v>
      </c>
      <c r="C23" s="41" t="s">
        <v>288</v>
      </c>
      <c r="D23" s="42">
        <v>95</v>
      </c>
      <c r="E23" s="62">
        <f>IF(O23="K",VLOOKUP(M23,Table2[[#All],[UNIT]:[Column7]],10,FALSE),0)</f>
        <v>275000</v>
      </c>
      <c r="F23" s="43">
        <f t="shared" si="5"/>
        <v>26125000</v>
      </c>
      <c r="G23" s="42">
        <v>1307</v>
      </c>
      <c r="H23" s="44">
        <f t="shared" si="6"/>
        <v>15030500</v>
      </c>
      <c r="I23" s="42">
        <f t="shared" si="7"/>
        <v>13.757894736842106</v>
      </c>
      <c r="J23" s="45">
        <f t="shared" si="8"/>
        <v>41155500</v>
      </c>
      <c r="K23" s="36"/>
      <c r="L23" s="41" t="s">
        <v>297</v>
      </c>
      <c r="M23" s="41" t="str">
        <f>VLOOKUP(N23,'list rate unit'!O:P,2,FALSE)</f>
        <v>SK 200-8 SX</v>
      </c>
      <c r="N23" s="41" t="str">
        <f t="shared" si="9"/>
        <v>KOBELCO SK 200 - 08</v>
      </c>
      <c r="O23" s="15" t="s">
        <v>56</v>
      </c>
    </row>
    <row r="24" spans="2:15" x14ac:dyDescent="0.3">
      <c r="B24" s="41">
        <v>17</v>
      </c>
      <c r="C24" s="41" t="s">
        <v>197</v>
      </c>
      <c r="D24" s="42">
        <v>146</v>
      </c>
      <c r="E24" s="62">
        <f>IF(O24="K",VLOOKUP(M24,Table2[[#All],[UNIT]:[Column7]],10,FALSE),0)</f>
        <v>275000</v>
      </c>
      <c r="F24" s="43">
        <f t="shared" si="5"/>
        <v>40150000</v>
      </c>
      <c r="G24" s="42">
        <v>2087</v>
      </c>
      <c r="H24" s="44">
        <f t="shared" si="6"/>
        <v>24000500</v>
      </c>
      <c r="I24" s="42">
        <f t="shared" si="7"/>
        <v>14.294520547945206</v>
      </c>
      <c r="J24" s="45">
        <f t="shared" si="8"/>
        <v>64150500</v>
      </c>
      <c r="K24" s="36"/>
      <c r="L24" s="41" t="s">
        <v>297</v>
      </c>
      <c r="M24" s="41" t="str">
        <f>VLOOKUP(N24,'list rate unit'!O:P,2,FALSE)</f>
        <v>SK 200-8 SX</v>
      </c>
      <c r="N24" s="41" t="str">
        <f t="shared" si="9"/>
        <v>KOBELCO SK 200 - 10</v>
      </c>
      <c r="O24" s="15" t="s">
        <v>56</v>
      </c>
    </row>
    <row r="25" spans="2:15" x14ac:dyDescent="0.3">
      <c r="B25" s="41">
        <v>18</v>
      </c>
      <c r="C25" s="41" t="s">
        <v>198</v>
      </c>
      <c r="D25" s="42">
        <v>187</v>
      </c>
      <c r="E25" s="62">
        <f>IF(O25="K",VLOOKUP(M25,Table2[[#All],[UNIT]:[Column7]],10,FALSE),0)</f>
        <v>275000</v>
      </c>
      <c r="F25" s="43">
        <f t="shared" si="5"/>
        <v>51425000</v>
      </c>
      <c r="G25" s="42">
        <v>2717</v>
      </c>
      <c r="H25" s="44">
        <f t="shared" si="6"/>
        <v>31245500</v>
      </c>
      <c r="I25" s="42">
        <f t="shared" si="7"/>
        <v>14.529411764705882</v>
      </c>
      <c r="J25" s="45">
        <f t="shared" si="8"/>
        <v>82670500</v>
      </c>
      <c r="K25" s="36"/>
      <c r="L25" s="41" t="s">
        <v>297</v>
      </c>
      <c r="M25" s="41" t="str">
        <f>VLOOKUP(N25,'list rate unit'!O:P,2,FALSE)</f>
        <v>SK 200-8 SX</v>
      </c>
      <c r="N25" s="41" t="str">
        <f t="shared" si="9"/>
        <v>KOBELCO SK 200 - 11</v>
      </c>
      <c r="O25" s="15" t="s">
        <v>56</v>
      </c>
    </row>
    <row r="26" spans="2:15" x14ac:dyDescent="0.3">
      <c r="B26" s="41">
        <v>19</v>
      </c>
      <c r="C26" s="41" t="s">
        <v>199</v>
      </c>
      <c r="D26" s="42">
        <v>276</v>
      </c>
      <c r="E26" s="62">
        <f>IF(O26="K",VLOOKUP(M26,Table2[[#All],[UNIT]:[Column7]],10,FALSE),0)</f>
        <v>275000</v>
      </c>
      <c r="F26" s="43">
        <f t="shared" si="2"/>
        <v>75900000</v>
      </c>
      <c r="G26" s="42">
        <v>3878</v>
      </c>
      <c r="H26" s="44">
        <f t="shared" ref="H26:H36" si="10">G26*$C$41</f>
        <v>44597000</v>
      </c>
      <c r="I26" s="42">
        <f t="shared" si="1"/>
        <v>14.05072463768116</v>
      </c>
      <c r="J26" s="45">
        <f t="shared" si="3"/>
        <v>120497000</v>
      </c>
      <c r="K26" s="36"/>
      <c r="L26" s="41" t="s">
        <v>297</v>
      </c>
      <c r="M26" s="41" t="str">
        <f>VLOOKUP(N26,'list rate unit'!O:P,2,FALSE)</f>
        <v>SK 200-8 SX</v>
      </c>
      <c r="N26" s="41" t="str">
        <f t="shared" si="4"/>
        <v>KOBELCO SK 200 - 13</v>
      </c>
      <c r="O26" s="15" t="s">
        <v>56</v>
      </c>
    </row>
    <row r="27" spans="2:15" x14ac:dyDescent="0.3">
      <c r="B27" s="41">
        <v>20</v>
      </c>
      <c r="C27" s="41" t="s">
        <v>200</v>
      </c>
      <c r="D27" s="42">
        <v>134</v>
      </c>
      <c r="E27" s="62">
        <f>IF(O27="K",VLOOKUP(M27,Table2[[#All],[UNIT]:[Column7]],10,FALSE),0)</f>
        <v>275000</v>
      </c>
      <c r="F27" s="43">
        <f t="shared" si="2"/>
        <v>36850000</v>
      </c>
      <c r="G27" s="42">
        <v>1304</v>
      </c>
      <c r="H27" s="44">
        <f t="shared" si="10"/>
        <v>14996000</v>
      </c>
      <c r="I27" s="42">
        <f t="shared" si="1"/>
        <v>9.7313432835820901</v>
      </c>
      <c r="J27" s="45">
        <f t="shared" si="3"/>
        <v>51846000</v>
      </c>
      <c r="K27" s="36"/>
      <c r="L27" s="41" t="s">
        <v>297</v>
      </c>
      <c r="M27" s="41" t="str">
        <f>VLOOKUP(N27,'list rate unit'!O:P,2,FALSE)</f>
        <v>SK 200-8 SX</v>
      </c>
      <c r="N27" s="41" t="str">
        <f t="shared" si="4"/>
        <v>KOBELCO SK 200 - 15</v>
      </c>
      <c r="O27" s="15" t="s">
        <v>56</v>
      </c>
    </row>
    <row r="28" spans="2:15" x14ac:dyDescent="0.3">
      <c r="B28" s="41">
        <v>21</v>
      </c>
      <c r="C28" s="41" t="s">
        <v>201</v>
      </c>
      <c r="D28" s="42">
        <v>94</v>
      </c>
      <c r="E28" s="62">
        <f>IF(O28="K",VLOOKUP(M28,Table2[[#All],[UNIT]:[Column7]],10,FALSE),0)</f>
        <v>275000</v>
      </c>
      <c r="F28" s="43">
        <f t="shared" si="2"/>
        <v>25850000</v>
      </c>
      <c r="G28" s="42">
        <v>1919</v>
      </c>
      <c r="H28" s="44">
        <f t="shared" si="10"/>
        <v>22068500</v>
      </c>
      <c r="I28" s="42">
        <f t="shared" si="1"/>
        <v>20.414893617021278</v>
      </c>
      <c r="J28" s="45">
        <f t="shared" si="3"/>
        <v>47918500</v>
      </c>
      <c r="K28" s="36"/>
      <c r="L28" s="41" t="s">
        <v>297</v>
      </c>
      <c r="M28" s="41" t="str">
        <f>VLOOKUP(N28,'list rate unit'!O:P,2,FALSE)</f>
        <v>SK 200-8 SX</v>
      </c>
      <c r="N28" s="41" t="str">
        <f t="shared" si="4"/>
        <v>KOBELCO SK 200 - 16</v>
      </c>
      <c r="O28" s="15" t="s">
        <v>56</v>
      </c>
    </row>
    <row r="29" spans="2:15" x14ac:dyDescent="0.3">
      <c r="B29" s="41">
        <v>22</v>
      </c>
      <c r="C29" s="41" t="s">
        <v>202</v>
      </c>
      <c r="D29" s="42">
        <v>264</v>
      </c>
      <c r="E29" s="62">
        <f>IF(O29="K",VLOOKUP(M29,Table2[[#All],[UNIT]:[Column7]],10,FALSE),0)</f>
        <v>275000</v>
      </c>
      <c r="F29" s="43">
        <f t="shared" si="2"/>
        <v>72600000</v>
      </c>
      <c r="G29" s="42">
        <v>3541</v>
      </c>
      <c r="H29" s="44">
        <f t="shared" si="10"/>
        <v>40721500</v>
      </c>
      <c r="I29" s="42">
        <f t="shared" si="1"/>
        <v>13.412878787878787</v>
      </c>
      <c r="J29" s="45">
        <f t="shared" si="3"/>
        <v>113321500</v>
      </c>
      <c r="K29" s="36"/>
      <c r="L29" s="41" t="s">
        <v>297</v>
      </c>
      <c r="M29" s="41" t="str">
        <f>VLOOKUP(N29,'list rate unit'!O:P,2,FALSE)</f>
        <v>SK 200-8 SX</v>
      </c>
      <c r="N29" s="41" t="str">
        <f t="shared" si="4"/>
        <v>KOBELCO SK 200 - 18</v>
      </c>
      <c r="O29" s="15" t="s">
        <v>56</v>
      </c>
    </row>
    <row r="30" spans="2:15" x14ac:dyDescent="0.3">
      <c r="B30" s="41">
        <v>23</v>
      </c>
      <c r="C30" s="41" t="s">
        <v>204</v>
      </c>
      <c r="D30" s="42">
        <v>210</v>
      </c>
      <c r="E30" s="62">
        <f>IF(O30="K",VLOOKUP(M30,Table2[[#All],[UNIT]:[Column7]],10,FALSE),0)</f>
        <v>275000</v>
      </c>
      <c r="F30" s="43">
        <f t="shared" ref="F30:F31" si="11">D30*E30</f>
        <v>57750000</v>
      </c>
      <c r="G30" s="42">
        <v>3114</v>
      </c>
      <c r="H30" s="44">
        <f t="shared" si="10"/>
        <v>35811000</v>
      </c>
      <c r="I30" s="42">
        <f t="shared" ref="I30:I31" si="12">IFERROR(G30/D30,0)</f>
        <v>14.828571428571429</v>
      </c>
      <c r="J30" s="45">
        <f t="shared" ref="J30:J31" si="13">F30+H30</f>
        <v>93561000</v>
      </c>
      <c r="K30" s="36"/>
      <c r="L30" s="41" t="s">
        <v>297</v>
      </c>
      <c r="M30" s="41" t="str">
        <f>VLOOKUP(N30,'list rate unit'!O:P,2,FALSE)</f>
        <v>SK 200-8 SX</v>
      </c>
      <c r="N30" s="41" t="str">
        <f t="shared" ref="N30:N31" si="14">C30</f>
        <v>KOBELCO SK 200 - 20</v>
      </c>
      <c r="O30" s="15" t="s">
        <v>56</v>
      </c>
    </row>
    <row r="31" spans="2:15" x14ac:dyDescent="0.3">
      <c r="B31" s="41">
        <v>24</v>
      </c>
      <c r="C31" s="41" t="s">
        <v>358</v>
      </c>
      <c r="D31" s="42">
        <v>69</v>
      </c>
      <c r="E31" s="62">
        <f>IF(O31="K",VLOOKUP(M31,Table2[[#All],[UNIT]:[Column7]],10,FALSE),0)</f>
        <v>425000</v>
      </c>
      <c r="F31" s="43">
        <f t="shared" si="11"/>
        <v>29325000</v>
      </c>
      <c r="G31" s="42">
        <v>1572.5</v>
      </c>
      <c r="H31" s="44">
        <f t="shared" si="10"/>
        <v>18083750</v>
      </c>
      <c r="I31" s="42">
        <f t="shared" si="12"/>
        <v>22.789855072463769</v>
      </c>
      <c r="J31" s="45">
        <f t="shared" si="13"/>
        <v>47408750</v>
      </c>
      <c r="K31" s="36"/>
      <c r="L31" s="41" t="s">
        <v>297</v>
      </c>
      <c r="M31" s="41" t="str">
        <f>VLOOKUP(N31,'list rate unit'!O:P,2,FALSE)</f>
        <v>D 85 ESS-2</v>
      </c>
      <c r="N31" s="41" t="str">
        <f t="shared" si="14"/>
        <v>KOMATSU DOZER D85SS - 06</v>
      </c>
      <c r="O31" s="15" t="s">
        <v>56</v>
      </c>
    </row>
    <row r="32" spans="2:15" x14ac:dyDescent="0.3">
      <c r="B32" s="41">
        <v>25</v>
      </c>
      <c r="C32" s="41" t="s">
        <v>223</v>
      </c>
      <c r="D32" s="42">
        <v>150</v>
      </c>
      <c r="E32" s="62">
        <f>IF(O32="K",VLOOKUP(M32,Table2[[#All],[UNIT]:[Column7]],10,FALSE),0)</f>
        <v>425000</v>
      </c>
      <c r="F32" s="43">
        <f t="shared" si="2"/>
        <v>63750000</v>
      </c>
      <c r="G32" s="42">
        <v>2800.3775365738543</v>
      </c>
      <c r="H32" s="44">
        <f t="shared" si="10"/>
        <v>32204341.670599323</v>
      </c>
      <c r="I32" s="42">
        <f t="shared" si="1"/>
        <v>18.669183577159028</v>
      </c>
      <c r="J32" s="45">
        <f t="shared" si="3"/>
        <v>95954341.670599326</v>
      </c>
      <c r="K32" s="36"/>
      <c r="L32" s="41" t="s">
        <v>297</v>
      </c>
      <c r="M32" s="41" t="str">
        <f>VLOOKUP(N32,'list rate unit'!O:P,2,FALSE)</f>
        <v>D 85 ESS-2</v>
      </c>
      <c r="N32" s="41" t="str">
        <f t="shared" si="4"/>
        <v>KOMATSU DOZER D85SS - 14</v>
      </c>
      <c r="O32" s="15" t="s">
        <v>56</v>
      </c>
    </row>
    <row r="33" spans="2:15" x14ac:dyDescent="0.3">
      <c r="B33" s="41">
        <v>26</v>
      </c>
      <c r="C33" s="41" t="s">
        <v>295</v>
      </c>
      <c r="D33" s="42">
        <v>10</v>
      </c>
      <c r="E33" s="62">
        <f>IF(O33="K",VLOOKUP(M33,Table2[[#All],[UNIT]:[Column7]],10,FALSE),0)</f>
        <v>425000</v>
      </c>
      <c r="F33" s="43">
        <f t="shared" ref="F33:F36" si="15">D33*E33</f>
        <v>4250000</v>
      </c>
      <c r="G33" s="42">
        <v>246.35071090047393</v>
      </c>
      <c r="H33" s="44">
        <f t="shared" si="10"/>
        <v>2833033.1753554503</v>
      </c>
      <c r="I33" s="42">
        <f t="shared" ref="I33:I36" si="16">IFERROR(G33/D33,0)</f>
        <v>24.635071090047393</v>
      </c>
      <c r="J33" s="45">
        <f t="shared" ref="J33:J36" si="17">F33+H33</f>
        <v>7083033.1753554503</v>
      </c>
      <c r="K33" s="36"/>
      <c r="L33" s="41" t="s">
        <v>297</v>
      </c>
      <c r="M33" s="41" t="str">
        <f>VLOOKUP(N33,'list rate unit'!O:P,2,FALSE)</f>
        <v>D 85 ESS-2</v>
      </c>
      <c r="N33" s="41" t="str">
        <f t="shared" ref="N33:N36" si="18">C33</f>
        <v>KOMATSU DOZER D85SS - 17</v>
      </c>
      <c r="O33" s="15" t="s">
        <v>56</v>
      </c>
    </row>
    <row r="34" spans="2:15" x14ac:dyDescent="0.3">
      <c r="B34" s="41">
        <v>27</v>
      </c>
      <c r="C34" s="41" t="s">
        <v>224</v>
      </c>
      <c r="D34" s="42">
        <v>55</v>
      </c>
      <c r="E34" s="62">
        <f>IF(O34="K",VLOOKUP(M34,Table2[[#All],[UNIT]:[Column7]],10,FALSE),0)</f>
        <v>425000</v>
      </c>
      <c r="F34" s="43">
        <f t="shared" si="15"/>
        <v>23375000</v>
      </c>
      <c r="G34" s="42">
        <v>1050.3472222222222</v>
      </c>
      <c r="H34" s="44">
        <f t="shared" si="10"/>
        <v>12078993.055555554</v>
      </c>
      <c r="I34" s="42">
        <f t="shared" si="16"/>
        <v>19.097222222222221</v>
      </c>
      <c r="J34" s="45">
        <f t="shared" si="17"/>
        <v>35453993.055555552</v>
      </c>
      <c r="K34" s="36"/>
      <c r="L34" s="41" t="s">
        <v>297</v>
      </c>
      <c r="M34" s="41" t="str">
        <f>VLOOKUP(N34,'list rate unit'!O:P,2,FALSE)</f>
        <v>D 85 ESS-2</v>
      </c>
      <c r="N34" s="41" t="str">
        <f t="shared" si="18"/>
        <v>KOMATSU DOZER D85SS - 18</v>
      </c>
      <c r="O34" s="15" t="s">
        <v>56</v>
      </c>
    </row>
    <row r="35" spans="2:15" x14ac:dyDescent="0.3">
      <c r="B35" s="41">
        <v>28</v>
      </c>
      <c r="C35" s="41" t="s">
        <v>283</v>
      </c>
      <c r="D35" s="42">
        <v>120</v>
      </c>
      <c r="E35" s="62">
        <f>IF(O35="K",VLOOKUP(M35,Table2[[#All],[UNIT]:[Column7]],10,FALSE),0)</f>
        <v>425000</v>
      </c>
      <c r="F35" s="43">
        <f t="shared" si="15"/>
        <v>51000000</v>
      </c>
      <c r="G35" s="42">
        <v>2206.6350710900474</v>
      </c>
      <c r="H35" s="44">
        <f t="shared" si="10"/>
        <v>25376303.317535546</v>
      </c>
      <c r="I35" s="42">
        <f t="shared" si="16"/>
        <v>18.388625592417061</v>
      </c>
      <c r="J35" s="45">
        <f t="shared" si="17"/>
        <v>76376303.317535549</v>
      </c>
      <c r="K35" s="36"/>
      <c r="L35" s="41" t="s">
        <v>297</v>
      </c>
      <c r="M35" s="41" t="str">
        <f>VLOOKUP(N35,'list rate unit'!O:P,2,FALSE)</f>
        <v>D 85 ESS-2</v>
      </c>
      <c r="N35" s="41" t="str">
        <f t="shared" si="18"/>
        <v>KOMATSU DOZER D85SS - 20</v>
      </c>
      <c r="O35" s="15" t="s">
        <v>56</v>
      </c>
    </row>
    <row r="36" spans="2:15" x14ac:dyDescent="0.3">
      <c r="B36" s="41">
        <v>29</v>
      </c>
      <c r="C36" s="41" t="s">
        <v>314</v>
      </c>
      <c r="D36" s="42">
        <v>18</v>
      </c>
      <c r="E36" s="62">
        <f>IF(O36="K",VLOOKUP(M36,Table2[[#All],[UNIT]:[Column7]],10,FALSE),0)</f>
        <v>0</v>
      </c>
      <c r="F36" s="43">
        <f t="shared" si="15"/>
        <v>0</v>
      </c>
      <c r="G36" s="42">
        <v>177</v>
      </c>
      <c r="H36" s="44">
        <f t="shared" si="10"/>
        <v>2035500</v>
      </c>
      <c r="I36" s="42">
        <f t="shared" si="16"/>
        <v>9.8333333333333339</v>
      </c>
      <c r="J36" s="45">
        <f t="shared" si="17"/>
        <v>2035500</v>
      </c>
      <c r="K36" s="36"/>
      <c r="L36" s="41" t="s">
        <v>297</v>
      </c>
      <c r="M36" s="41" t="str">
        <f>VLOOKUP(N36,'list rate unit'!O:P,2,FALSE)</f>
        <v>WA 380-3</v>
      </c>
      <c r="N36" s="41" t="str">
        <f t="shared" si="18"/>
        <v>LOADER WA380 - 02</v>
      </c>
      <c r="O36" s="15" t="s">
        <v>56</v>
      </c>
    </row>
    <row r="37" spans="2:15" x14ac:dyDescent="0.3">
      <c r="D37" s="18"/>
      <c r="F37" s="32"/>
      <c r="G37" s="18"/>
      <c r="H37" s="30"/>
      <c r="I37" s="18"/>
      <c r="J37" s="33"/>
      <c r="K37" s="18"/>
    </row>
    <row r="38" spans="2:15" s="1" customFormat="1" ht="15.75" customHeight="1" x14ac:dyDescent="0.3">
      <c r="B38" s="200" t="s">
        <v>21</v>
      </c>
      <c r="C38" s="200"/>
      <c r="D38" s="46">
        <f>SUM(D8:D32)</f>
        <v>4720.1000000000004</v>
      </c>
      <c r="E38" s="63">
        <f>AVERAGE(E8:E32)</f>
        <v>354000</v>
      </c>
      <c r="F38" s="47">
        <f>SUM(F8:F32)</f>
        <v>1560715000</v>
      </c>
      <c r="G38" s="46">
        <f>SUM(G8:G32)</f>
        <v>86605.979941415397</v>
      </c>
      <c r="H38" s="47">
        <f>SUM(H8:H32)</f>
        <v>995968769.32627702</v>
      </c>
      <c r="I38" s="46">
        <f t="shared" ref="I38" si="19">IFERROR(G38/D38,0)</f>
        <v>18.348335827930637</v>
      </c>
      <c r="J38" s="48">
        <f>SUM(J8:J32)</f>
        <v>2556683769.3262773</v>
      </c>
      <c r="K38" s="37"/>
    </row>
    <row r="40" spans="2:15" x14ac:dyDescent="0.3">
      <c r="B40" s="35" t="s">
        <v>34</v>
      </c>
      <c r="C40" s="29">
        <f>'SUMMARY 2'!I28</f>
        <v>14848</v>
      </c>
    </row>
    <row r="41" spans="2:15" x14ac:dyDescent="0.3">
      <c r="B41" s="35" t="s">
        <v>35</v>
      </c>
      <c r="C41" s="29">
        <f>'SUMMARY 2'!I13</f>
        <v>11500</v>
      </c>
      <c r="F41" s="30"/>
      <c r="G41" s="18"/>
    </row>
    <row r="43" spans="2:15" x14ac:dyDescent="0.3">
      <c r="F43" s="18"/>
    </row>
  </sheetData>
  <autoFilter ref="B7:O32" xr:uid="{00000000-0009-0000-0000-000003000000}"/>
  <mergeCells count="13">
    <mergeCell ref="N5:N7"/>
    <mergeCell ref="H6:H7"/>
    <mergeCell ref="I5:I6"/>
    <mergeCell ref="B2:C3"/>
    <mergeCell ref="B5:B7"/>
    <mergeCell ref="C5:C7"/>
    <mergeCell ref="D5:F5"/>
    <mergeCell ref="F6:F7"/>
    <mergeCell ref="B38:C38"/>
    <mergeCell ref="G5:H5"/>
    <mergeCell ref="J5:J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72"/>
  <sheetViews>
    <sheetView workbookViewId="0">
      <pane xSplit="3" ySplit="7" topLeftCell="D65" activePane="bottomRight" state="frozenSplit"/>
      <selection pane="topRight" activeCell="C1" sqref="C1"/>
      <selection pane="bottomLeft" activeCell="A8" sqref="A8"/>
      <selection pane="bottomRight" activeCell="L85" sqref="L85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19.55468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6" style="15" customWidth="1"/>
    <col min="15" max="15" width="18.6640625" style="15" bestFit="1" customWidth="1"/>
    <col min="16" max="16" width="12.109375" style="15" bestFit="1" customWidth="1"/>
    <col min="17" max="17" width="16.6640625" style="15" customWidth="1"/>
    <col min="18" max="16384" width="9.109375" style="15"/>
  </cols>
  <sheetData>
    <row r="2" spans="2:17" x14ac:dyDescent="0.3">
      <c r="B2" s="204" t="s">
        <v>84</v>
      </c>
      <c r="C2" s="204"/>
    </row>
    <row r="3" spans="2:17" x14ac:dyDescent="0.3">
      <c r="B3" s="204"/>
      <c r="C3" s="204"/>
    </row>
    <row r="4" spans="2:17" x14ac:dyDescent="0.3">
      <c r="D4" s="30"/>
      <c r="E4" s="30"/>
    </row>
    <row r="5" spans="2:17" ht="15" customHeight="1" x14ac:dyDescent="0.3">
      <c r="B5" s="201" t="s">
        <v>1</v>
      </c>
      <c r="C5" s="201" t="s">
        <v>88</v>
      </c>
      <c r="D5" s="202" t="s">
        <v>39</v>
      </c>
      <c r="E5" s="202"/>
      <c r="F5" s="203" t="s">
        <v>52</v>
      </c>
      <c r="G5" s="203"/>
      <c r="H5" s="203" t="s">
        <v>37</v>
      </c>
      <c r="I5" s="203"/>
      <c r="J5" s="201" t="s">
        <v>90</v>
      </c>
      <c r="K5" s="201"/>
      <c r="L5" s="201"/>
      <c r="M5" s="205" t="s">
        <v>82</v>
      </c>
      <c r="N5" s="31"/>
      <c r="O5" s="201" t="s">
        <v>47</v>
      </c>
      <c r="P5" s="201" t="s">
        <v>89</v>
      </c>
      <c r="Q5" s="201"/>
    </row>
    <row r="6" spans="2:17" ht="15" customHeight="1" x14ac:dyDescent="0.3">
      <c r="B6" s="201"/>
      <c r="C6" s="201"/>
      <c r="D6" s="201" t="s">
        <v>41</v>
      </c>
      <c r="E6" s="201"/>
      <c r="F6" s="39" t="s">
        <v>48</v>
      </c>
      <c r="G6" s="201" t="s">
        <v>28</v>
      </c>
      <c r="H6" s="39" t="s">
        <v>27</v>
      </c>
      <c r="I6" s="201" t="s">
        <v>28</v>
      </c>
      <c r="J6" s="201"/>
      <c r="K6" s="201"/>
      <c r="L6" s="201"/>
      <c r="M6" s="205"/>
      <c r="N6" s="31"/>
      <c r="O6" s="201"/>
      <c r="P6" s="201"/>
      <c r="Q6" s="201"/>
    </row>
    <row r="7" spans="2:17" ht="15" customHeight="1" x14ac:dyDescent="0.3">
      <c r="B7" s="201"/>
      <c r="C7" s="201"/>
      <c r="D7" s="39" t="s">
        <v>42</v>
      </c>
      <c r="E7" s="39" t="s">
        <v>43</v>
      </c>
      <c r="F7" s="39" t="s">
        <v>30</v>
      </c>
      <c r="G7" s="201"/>
      <c r="H7" s="39" t="s">
        <v>32</v>
      </c>
      <c r="I7" s="201"/>
      <c r="J7" s="39" t="s">
        <v>40</v>
      </c>
      <c r="K7" s="39" t="s">
        <v>44</v>
      </c>
      <c r="L7" s="39" t="s">
        <v>55</v>
      </c>
      <c r="M7" s="205"/>
      <c r="N7" s="31"/>
      <c r="O7" s="201"/>
      <c r="P7" s="201"/>
      <c r="Q7" s="201"/>
    </row>
    <row r="8" spans="2:17" x14ac:dyDescent="0.3">
      <c r="B8" s="41">
        <v>1</v>
      </c>
      <c r="C8" s="41" t="s">
        <v>227</v>
      </c>
      <c r="D8" s="42">
        <v>0</v>
      </c>
      <c r="E8" s="42">
        <v>0</v>
      </c>
      <c r="F8" s="49">
        <f>VLOOKUP(P8,'list rate unit'!$B$3:$K$40,10,FALSE)</f>
        <v>500000</v>
      </c>
      <c r="G8" s="44">
        <f t="shared" ref="G8:G55" si="0">IF(D8=0,0,F8*$C$85)</f>
        <v>0</v>
      </c>
      <c r="H8" s="42">
        <v>3359</v>
      </c>
      <c r="I8" s="44">
        <f t="shared" ref="I8:I55" si="1">H8*$C$84</f>
        <v>38628500</v>
      </c>
      <c r="J8" s="42">
        <f>IFERROR(H8/D8,0)</f>
        <v>0</v>
      </c>
      <c r="K8" s="42">
        <f t="shared" ref="K8:K12" si="2">IFERROR(D8/E8,0)</f>
        <v>0</v>
      </c>
      <c r="L8" s="42" t="e">
        <f>H8/E8</f>
        <v>#DIV/0!</v>
      </c>
      <c r="M8" s="45">
        <f>G8+I8</f>
        <v>38628500</v>
      </c>
      <c r="N8" s="18">
        <f>D8*'SUMMARY 2'!$I$29*'SUMMARY 2'!$I$28</f>
        <v>0</v>
      </c>
      <c r="O8" s="41" t="s">
        <v>309</v>
      </c>
      <c r="P8" s="41" t="s">
        <v>151</v>
      </c>
      <c r="Q8" s="41" t="str">
        <f t="shared" ref="Q8:Q22" si="3">C8</f>
        <v xml:space="preserve"> DT HINO G 310</v>
      </c>
    </row>
    <row r="9" spans="2:17" x14ac:dyDescent="0.3">
      <c r="B9" s="41">
        <v>2</v>
      </c>
      <c r="C9" s="41" t="s">
        <v>228</v>
      </c>
      <c r="D9" s="42">
        <v>0</v>
      </c>
      <c r="E9" s="42">
        <v>0</v>
      </c>
      <c r="F9" s="49">
        <f>VLOOKUP(P9,'list rate unit'!$B$3:$K$40,10,FALSE)</f>
        <v>500000</v>
      </c>
      <c r="G9" s="44">
        <f t="shared" si="0"/>
        <v>0</v>
      </c>
      <c r="H9" s="42">
        <v>4301</v>
      </c>
      <c r="I9" s="44">
        <f t="shared" si="1"/>
        <v>49461500</v>
      </c>
      <c r="J9" s="42">
        <f t="shared" ref="J9:J12" si="4">IFERROR(H9/D9,0)</f>
        <v>0</v>
      </c>
      <c r="K9" s="42">
        <f t="shared" si="2"/>
        <v>0</v>
      </c>
      <c r="L9" s="42" t="e">
        <f t="shared" ref="L9:L12" si="5">H9/E9</f>
        <v>#DIV/0!</v>
      </c>
      <c r="M9" s="45">
        <f t="shared" ref="M9:M12" si="6">G9+I9</f>
        <v>49461500</v>
      </c>
      <c r="N9" s="18">
        <f>D9*'SUMMARY 2'!$I$29*'SUMMARY 2'!$I$28</f>
        <v>0</v>
      </c>
      <c r="O9" s="41" t="s">
        <v>309</v>
      </c>
      <c r="P9" s="41" t="s">
        <v>151</v>
      </c>
      <c r="Q9" s="41" t="str">
        <f t="shared" si="3"/>
        <v xml:space="preserve"> DT HINO G 311</v>
      </c>
    </row>
    <row r="10" spans="2:17" x14ac:dyDescent="0.3">
      <c r="B10" s="41">
        <v>3</v>
      </c>
      <c r="C10" s="41" t="s">
        <v>413</v>
      </c>
      <c r="D10" s="42">
        <v>0</v>
      </c>
      <c r="E10" s="42">
        <v>0</v>
      </c>
      <c r="F10" s="49">
        <f>VLOOKUP(P10,'list rate unit'!$B$3:$K$40,10,FALSE)</f>
        <v>500000</v>
      </c>
      <c r="G10" s="44">
        <f t="shared" si="0"/>
        <v>0</v>
      </c>
      <c r="H10" s="42">
        <v>1591</v>
      </c>
      <c r="I10" s="44">
        <f t="shared" si="1"/>
        <v>18296500</v>
      </c>
      <c r="J10" s="42">
        <f t="shared" si="4"/>
        <v>0</v>
      </c>
      <c r="K10" s="42">
        <f t="shared" si="2"/>
        <v>0</v>
      </c>
      <c r="L10" s="42" t="e">
        <f t="shared" si="5"/>
        <v>#DIV/0!</v>
      </c>
      <c r="M10" s="45">
        <f t="shared" si="6"/>
        <v>18296500</v>
      </c>
      <c r="N10" s="18">
        <f>D10*'SUMMARY 2'!$I$29*'SUMMARY 2'!$I$28</f>
        <v>0</v>
      </c>
      <c r="O10" s="41" t="s">
        <v>309</v>
      </c>
      <c r="P10" s="41" t="s">
        <v>151</v>
      </c>
      <c r="Q10" s="41" t="str">
        <f t="shared" si="3"/>
        <v xml:space="preserve"> DT HINO G 312</v>
      </c>
    </row>
    <row r="11" spans="2:17" x14ac:dyDescent="0.3">
      <c r="B11" s="41">
        <v>4</v>
      </c>
      <c r="C11" s="41" t="s">
        <v>229</v>
      </c>
      <c r="D11" s="42">
        <v>0</v>
      </c>
      <c r="E11" s="42">
        <v>0</v>
      </c>
      <c r="F11" s="49">
        <f>VLOOKUP(P11,'list rate unit'!$B$3:$K$40,10,FALSE)</f>
        <v>500000</v>
      </c>
      <c r="G11" s="44">
        <f t="shared" si="0"/>
        <v>0</v>
      </c>
      <c r="H11" s="42">
        <v>2010</v>
      </c>
      <c r="I11" s="44">
        <f t="shared" si="1"/>
        <v>23115000</v>
      </c>
      <c r="J11" s="42">
        <f t="shared" si="4"/>
        <v>0</v>
      </c>
      <c r="K11" s="42">
        <f t="shared" si="2"/>
        <v>0</v>
      </c>
      <c r="L11" s="42" t="e">
        <f t="shared" si="5"/>
        <v>#DIV/0!</v>
      </c>
      <c r="M11" s="45">
        <f t="shared" si="6"/>
        <v>23115000</v>
      </c>
      <c r="N11" s="18">
        <f>D11*'SUMMARY 2'!$I$29*'SUMMARY 2'!$I$28</f>
        <v>0</v>
      </c>
      <c r="O11" s="41" t="s">
        <v>309</v>
      </c>
      <c r="P11" s="41" t="s">
        <v>151</v>
      </c>
      <c r="Q11" s="41" t="str">
        <f t="shared" si="3"/>
        <v xml:space="preserve"> DT HINO G 314</v>
      </c>
    </row>
    <row r="12" spans="2:17" x14ac:dyDescent="0.3">
      <c r="B12" s="41">
        <v>5</v>
      </c>
      <c r="C12" s="41" t="s">
        <v>230</v>
      </c>
      <c r="D12" s="42">
        <v>0</v>
      </c>
      <c r="E12" s="42">
        <v>0</v>
      </c>
      <c r="F12" s="49">
        <f>VLOOKUP(P12,'list rate unit'!$B$3:$K$40,10,FALSE)</f>
        <v>500000</v>
      </c>
      <c r="G12" s="44">
        <f t="shared" si="0"/>
        <v>0</v>
      </c>
      <c r="H12" s="42">
        <v>1662</v>
      </c>
      <c r="I12" s="44">
        <f t="shared" si="1"/>
        <v>19113000</v>
      </c>
      <c r="J12" s="42">
        <f t="shared" si="4"/>
        <v>0</v>
      </c>
      <c r="K12" s="42">
        <f t="shared" si="2"/>
        <v>0</v>
      </c>
      <c r="L12" s="42" t="e">
        <f t="shared" si="5"/>
        <v>#DIV/0!</v>
      </c>
      <c r="M12" s="45">
        <f t="shared" si="6"/>
        <v>19113000</v>
      </c>
      <c r="N12" s="18">
        <f>D12*'SUMMARY 2'!$I$29*'SUMMARY 2'!$I$28</f>
        <v>0</v>
      </c>
      <c r="O12" s="41" t="s">
        <v>309</v>
      </c>
      <c r="P12" s="41" t="s">
        <v>151</v>
      </c>
      <c r="Q12" s="41" t="str">
        <f t="shared" si="3"/>
        <v xml:space="preserve"> DT HINO G 315</v>
      </c>
    </row>
    <row r="13" spans="2:17" x14ac:dyDescent="0.3">
      <c r="B13" s="41">
        <v>6</v>
      </c>
      <c r="C13" s="41" t="s">
        <v>404</v>
      </c>
      <c r="D13" s="42">
        <v>0</v>
      </c>
      <c r="E13" s="42">
        <v>0</v>
      </c>
      <c r="F13" s="49">
        <f>VLOOKUP(P13,'list rate unit'!$B$3:$K$40,10,FALSE)</f>
        <v>500000</v>
      </c>
      <c r="G13" s="44">
        <f t="shared" si="0"/>
        <v>0</v>
      </c>
      <c r="H13" s="42">
        <v>2959</v>
      </c>
      <c r="I13" s="44">
        <f t="shared" si="1"/>
        <v>34028500</v>
      </c>
      <c r="J13" s="42">
        <f t="shared" ref="J13:J22" si="7">IFERROR(H13/D13,0)</f>
        <v>0</v>
      </c>
      <c r="K13" s="42">
        <f t="shared" ref="K13:K22" si="8">IFERROR(D13/E13,0)</f>
        <v>0</v>
      </c>
      <c r="L13" s="42" t="e">
        <f t="shared" ref="L13:L22" si="9">H13/E13</f>
        <v>#DIV/0!</v>
      </c>
      <c r="M13" s="45">
        <f t="shared" ref="M13:M22" si="10">G13+I13</f>
        <v>34028500</v>
      </c>
      <c r="N13" s="18">
        <f>D13*'SUMMARY 2'!$I$29*'SUMMARY 2'!$I$28</f>
        <v>0</v>
      </c>
      <c r="O13" s="41" t="s">
        <v>309</v>
      </c>
      <c r="P13" s="41" t="s">
        <v>151</v>
      </c>
      <c r="Q13" s="41" t="str">
        <f t="shared" si="3"/>
        <v xml:space="preserve"> DT HINO G 316</v>
      </c>
    </row>
    <row r="14" spans="2:17" x14ac:dyDescent="0.3">
      <c r="B14" s="41">
        <v>7</v>
      </c>
      <c r="C14" s="41" t="s">
        <v>231</v>
      </c>
      <c r="D14" s="42">
        <v>0</v>
      </c>
      <c r="E14" s="42">
        <v>0</v>
      </c>
      <c r="F14" s="49">
        <f>VLOOKUP(P14,'list rate unit'!$B$3:$K$40,10,FALSE)</f>
        <v>500000</v>
      </c>
      <c r="G14" s="44">
        <f t="shared" si="0"/>
        <v>0</v>
      </c>
      <c r="H14" s="42">
        <v>335</v>
      </c>
      <c r="I14" s="44">
        <f t="shared" si="1"/>
        <v>3852500</v>
      </c>
      <c r="J14" s="42">
        <f t="shared" si="7"/>
        <v>0</v>
      </c>
      <c r="K14" s="42">
        <f t="shared" si="8"/>
        <v>0</v>
      </c>
      <c r="L14" s="42" t="e">
        <f t="shared" si="9"/>
        <v>#DIV/0!</v>
      </c>
      <c r="M14" s="45">
        <f t="shared" si="10"/>
        <v>3852500</v>
      </c>
      <c r="N14" s="18">
        <f>D14*'SUMMARY 2'!$I$29*'SUMMARY 2'!$I$28</f>
        <v>0</v>
      </c>
      <c r="O14" s="41" t="s">
        <v>309</v>
      </c>
      <c r="P14" s="41" t="s">
        <v>151</v>
      </c>
      <c r="Q14" s="41" t="str">
        <f t="shared" si="3"/>
        <v xml:space="preserve"> DT HINO G 317</v>
      </c>
    </row>
    <row r="15" spans="2:17" x14ac:dyDescent="0.3">
      <c r="B15" s="41">
        <v>8</v>
      </c>
      <c r="C15" s="41" t="s">
        <v>232</v>
      </c>
      <c r="D15" s="42">
        <v>0</v>
      </c>
      <c r="E15" s="42">
        <v>0</v>
      </c>
      <c r="F15" s="49">
        <f>VLOOKUP(P15,'list rate unit'!$B$3:$K$40,10,FALSE)</f>
        <v>500000</v>
      </c>
      <c r="G15" s="44">
        <f t="shared" si="0"/>
        <v>0</v>
      </c>
      <c r="H15" s="42">
        <v>2664</v>
      </c>
      <c r="I15" s="44">
        <f t="shared" si="1"/>
        <v>30636000</v>
      </c>
      <c r="J15" s="42">
        <f t="shared" si="7"/>
        <v>0</v>
      </c>
      <c r="K15" s="42">
        <f t="shared" si="8"/>
        <v>0</v>
      </c>
      <c r="L15" s="42" t="e">
        <f t="shared" si="9"/>
        <v>#DIV/0!</v>
      </c>
      <c r="M15" s="45">
        <f t="shared" si="10"/>
        <v>30636000</v>
      </c>
      <c r="N15" s="18">
        <f>D15*'SUMMARY 2'!$I$29*'SUMMARY 2'!$I$28</f>
        <v>0</v>
      </c>
      <c r="O15" s="41" t="s">
        <v>309</v>
      </c>
      <c r="P15" s="41" t="s">
        <v>151</v>
      </c>
      <c r="Q15" s="41" t="str">
        <f t="shared" si="3"/>
        <v xml:space="preserve"> DT HINO G 318</v>
      </c>
    </row>
    <row r="16" spans="2:17" x14ac:dyDescent="0.3">
      <c r="B16" s="41">
        <v>9</v>
      </c>
      <c r="C16" s="41" t="s">
        <v>409</v>
      </c>
      <c r="D16" s="42">
        <v>0</v>
      </c>
      <c r="E16" s="42">
        <v>0</v>
      </c>
      <c r="F16" s="49">
        <f>VLOOKUP(P16,'list rate unit'!$B$3:$K$40,10,FALSE)</f>
        <v>500000</v>
      </c>
      <c r="G16" s="44">
        <f t="shared" si="0"/>
        <v>0</v>
      </c>
      <c r="H16" s="42">
        <v>729</v>
      </c>
      <c r="I16" s="44">
        <f t="shared" si="1"/>
        <v>8383500</v>
      </c>
      <c r="J16" s="42">
        <f t="shared" si="7"/>
        <v>0</v>
      </c>
      <c r="K16" s="42">
        <f t="shared" si="8"/>
        <v>0</v>
      </c>
      <c r="L16" s="42" t="e">
        <f t="shared" si="9"/>
        <v>#DIV/0!</v>
      </c>
      <c r="M16" s="45">
        <f t="shared" si="10"/>
        <v>8383500</v>
      </c>
      <c r="N16" s="18">
        <f>D16*'SUMMARY 2'!$I$29*'SUMMARY 2'!$I$28</f>
        <v>0</v>
      </c>
      <c r="O16" s="41" t="s">
        <v>309</v>
      </c>
      <c r="P16" s="41" t="s">
        <v>151</v>
      </c>
      <c r="Q16" s="41" t="str">
        <f t="shared" si="3"/>
        <v xml:space="preserve"> DT HINO G 319</v>
      </c>
    </row>
    <row r="17" spans="2:17" x14ac:dyDescent="0.3">
      <c r="B17" s="41">
        <v>10</v>
      </c>
      <c r="C17" s="41" t="s">
        <v>233</v>
      </c>
      <c r="D17" s="42">
        <v>300.13</v>
      </c>
      <c r="E17" s="42">
        <v>350</v>
      </c>
      <c r="F17" s="49">
        <f>VLOOKUP(P17,'list rate unit'!$B$3:$K$40,10,FALSE)</f>
        <v>500000</v>
      </c>
      <c r="G17" s="44">
        <f t="shared" si="0"/>
        <v>105000000</v>
      </c>
      <c r="H17" s="42">
        <v>2714</v>
      </c>
      <c r="I17" s="44">
        <f t="shared" si="1"/>
        <v>31211000</v>
      </c>
      <c r="J17" s="42">
        <f t="shared" si="7"/>
        <v>9.042748142471595</v>
      </c>
      <c r="K17" s="42">
        <f t="shared" si="8"/>
        <v>0.85751428571428567</v>
      </c>
      <c r="L17" s="42">
        <f t="shared" si="9"/>
        <v>7.7542857142857144</v>
      </c>
      <c r="M17" s="45">
        <f t="shared" si="10"/>
        <v>136211000</v>
      </c>
      <c r="N17" s="18">
        <f>D17*'SUMMARY 2'!$I$29*'SUMMARY 2'!$I$28</f>
        <v>46791467.519999996</v>
      </c>
      <c r="O17" s="41" t="s">
        <v>309</v>
      </c>
      <c r="P17" s="41" t="s">
        <v>151</v>
      </c>
      <c r="Q17" s="41" t="str">
        <f t="shared" si="3"/>
        <v xml:space="preserve"> DT HINO G 321</v>
      </c>
    </row>
    <row r="18" spans="2:17" x14ac:dyDescent="0.3">
      <c r="B18" s="41">
        <v>11</v>
      </c>
      <c r="C18" s="41" t="s">
        <v>234</v>
      </c>
      <c r="D18" s="42">
        <v>0</v>
      </c>
      <c r="E18" s="42">
        <v>0</v>
      </c>
      <c r="F18" s="49">
        <f>VLOOKUP(P18,'list rate unit'!$B$3:$K$40,10,FALSE)</f>
        <v>500000</v>
      </c>
      <c r="G18" s="44">
        <f t="shared" si="0"/>
        <v>0</v>
      </c>
      <c r="H18" s="42">
        <v>2335</v>
      </c>
      <c r="I18" s="44">
        <f t="shared" si="1"/>
        <v>26852500</v>
      </c>
      <c r="J18" s="42">
        <f t="shared" si="7"/>
        <v>0</v>
      </c>
      <c r="K18" s="42">
        <f t="shared" si="8"/>
        <v>0</v>
      </c>
      <c r="L18" s="42" t="e">
        <f t="shared" si="9"/>
        <v>#DIV/0!</v>
      </c>
      <c r="M18" s="45">
        <f t="shared" si="10"/>
        <v>26852500</v>
      </c>
      <c r="N18" s="18">
        <f>D18*'SUMMARY 2'!$I$29*'SUMMARY 2'!$I$28</f>
        <v>0</v>
      </c>
      <c r="O18" s="41" t="s">
        <v>309</v>
      </c>
      <c r="P18" s="41" t="s">
        <v>151</v>
      </c>
      <c r="Q18" s="41" t="str">
        <f t="shared" si="3"/>
        <v xml:space="preserve"> DT HINO G 323</v>
      </c>
    </row>
    <row r="19" spans="2:17" x14ac:dyDescent="0.3">
      <c r="B19" s="41">
        <v>12</v>
      </c>
      <c r="C19" s="41" t="s">
        <v>235</v>
      </c>
      <c r="D19" s="42">
        <v>471.26</v>
      </c>
      <c r="E19" s="42">
        <v>500</v>
      </c>
      <c r="F19" s="49">
        <f>VLOOKUP(P19,'list rate unit'!$B$3:$K$40,10,FALSE)</f>
        <v>500000</v>
      </c>
      <c r="G19" s="44">
        <f t="shared" si="0"/>
        <v>105000000</v>
      </c>
      <c r="H19" s="42">
        <v>2152</v>
      </c>
      <c r="I19" s="44">
        <f t="shared" si="1"/>
        <v>24748000</v>
      </c>
      <c r="J19" s="42">
        <f t="shared" si="7"/>
        <v>4.5664813478759072</v>
      </c>
      <c r="K19" s="42">
        <f t="shared" si="8"/>
        <v>0.94252000000000002</v>
      </c>
      <c r="L19" s="42">
        <f t="shared" si="9"/>
        <v>4.3040000000000003</v>
      </c>
      <c r="M19" s="45">
        <f t="shared" si="10"/>
        <v>129748000</v>
      </c>
      <c r="N19" s="18">
        <f>D19*'SUMMARY 2'!$I$29*'SUMMARY 2'!$I$28</f>
        <v>73471319.039999992</v>
      </c>
      <c r="O19" s="41" t="s">
        <v>309</v>
      </c>
      <c r="P19" s="41" t="s">
        <v>151</v>
      </c>
      <c r="Q19" s="41" t="str">
        <f t="shared" si="3"/>
        <v xml:space="preserve"> DT HINO G 324</v>
      </c>
    </row>
    <row r="20" spans="2:17" x14ac:dyDescent="0.3">
      <c r="B20" s="41">
        <v>13</v>
      </c>
      <c r="C20" s="41" t="s">
        <v>236</v>
      </c>
      <c r="D20" s="42">
        <v>0</v>
      </c>
      <c r="E20" s="42">
        <v>0</v>
      </c>
      <c r="F20" s="49">
        <f>VLOOKUP(P20,'list rate unit'!$B$3:$K$40,10,FALSE)</f>
        <v>500000</v>
      </c>
      <c r="G20" s="44">
        <f t="shared" si="0"/>
        <v>0</v>
      </c>
      <c r="H20" s="42">
        <v>314</v>
      </c>
      <c r="I20" s="44">
        <f t="shared" si="1"/>
        <v>3611000</v>
      </c>
      <c r="J20" s="42">
        <f t="shared" si="7"/>
        <v>0</v>
      </c>
      <c r="K20" s="42">
        <f t="shared" si="8"/>
        <v>0</v>
      </c>
      <c r="L20" s="42" t="e">
        <f t="shared" si="9"/>
        <v>#DIV/0!</v>
      </c>
      <c r="M20" s="45">
        <f t="shared" si="10"/>
        <v>3611000</v>
      </c>
      <c r="N20" s="18">
        <f>D20*'SUMMARY 2'!$I$29*'SUMMARY 2'!$I$28</f>
        <v>0</v>
      </c>
      <c r="O20" s="41" t="s">
        <v>309</v>
      </c>
      <c r="P20" s="41" t="s">
        <v>151</v>
      </c>
      <c r="Q20" s="41" t="str">
        <f t="shared" si="3"/>
        <v xml:space="preserve"> DT HINO G 325</v>
      </c>
    </row>
    <row r="21" spans="2:17" x14ac:dyDescent="0.3">
      <c r="B21" s="41">
        <v>14</v>
      </c>
      <c r="C21" s="41" t="s">
        <v>237</v>
      </c>
      <c r="D21" s="42">
        <v>0</v>
      </c>
      <c r="E21" s="42">
        <v>0</v>
      </c>
      <c r="F21" s="49">
        <f>VLOOKUP(P21,'list rate unit'!$B$3:$K$40,10,FALSE)</f>
        <v>500000</v>
      </c>
      <c r="G21" s="44">
        <f t="shared" si="0"/>
        <v>0</v>
      </c>
      <c r="H21" s="42">
        <v>1903</v>
      </c>
      <c r="I21" s="44">
        <f t="shared" si="1"/>
        <v>21884500</v>
      </c>
      <c r="J21" s="42">
        <f t="shared" si="7"/>
        <v>0</v>
      </c>
      <c r="K21" s="42">
        <f t="shared" si="8"/>
        <v>0</v>
      </c>
      <c r="L21" s="42" t="e">
        <f t="shared" si="9"/>
        <v>#DIV/0!</v>
      </c>
      <c r="M21" s="45">
        <f t="shared" si="10"/>
        <v>21884500</v>
      </c>
      <c r="N21" s="18">
        <f>D21*'SUMMARY 2'!$I$29*'SUMMARY 2'!$I$28</f>
        <v>0</v>
      </c>
      <c r="O21" s="41" t="s">
        <v>309</v>
      </c>
      <c r="P21" s="41" t="s">
        <v>151</v>
      </c>
      <c r="Q21" s="41" t="str">
        <f t="shared" si="3"/>
        <v xml:space="preserve"> DT HINO G 326</v>
      </c>
    </row>
    <row r="22" spans="2:17" x14ac:dyDescent="0.3">
      <c r="B22" s="41">
        <v>15</v>
      </c>
      <c r="C22" s="41" t="s">
        <v>238</v>
      </c>
      <c r="D22" s="42">
        <v>0</v>
      </c>
      <c r="E22" s="42">
        <v>0</v>
      </c>
      <c r="F22" s="49">
        <f>VLOOKUP(P22,'list rate unit'!$B$3:$K$40,10,FALSE)</f>
        <v>500000</v>
      </c>
      <c r="G22" s="44">
        <f t="shared" si="0"/>
        <v>0</v>
      </c>
      <c r="H22" s="42">
        <v>233</v>
      </c>
      <c r="I22" s="44">
        <f t="shared" si="1"/>
        <v>2679500</v>
      </c>
      <c r="J22" s="42">
        <f t="shared" si="7"/>
        <v>0</v>
      </c>
      <c r="K22" s="42">
        <f t="shared" si="8"/>
        <v>0</v>
      </c>
      <c r="L22" s="42" t="e">
        <f t="shared" si="9"/>
        <v>#DIV/0!</v>
      </c>
      <c r="M22" s="45">
        <f t="shared" si="10"/>
        <v>2679500</v>
      </c>
      <c r="N22" s="18">
        <f>D22*'SUMMARY 2'!$I$29*'SUMMARY 2'!$I$28</f>
        <v>0</v>
      </c>
      <c r="O22" s="41" t="s">
        <v>309</v>
      </c>
      <c r="P22" s="41" t="s">
        <v>151</v>
      </c>
      <c r="Q22" s="41" t="str">
        <f t="shared" si="3"/>
        <v xml:space="preserve"> DT HINO G 329</v>
      </c>
    </row>
    <row r="23" spans="2:17" x14ac:dyDescent="0.3">
      <c r="B23" s="41">
        <v>16</v>
      </c>
      <c r="C23" s="41" t="s">
        <v>239</v>
      </c>
      <c r="D23" s="42">
        <v>0</v>
      </c>
      <c r="E23" s="42">
        <v>0</v>
      </c>
      <c r="F23" s="49">
        <f>VLOOKUP(P23,'list rate unit'!$B$3:$K$40,10,FALSE)</f>
        <v>500000</v>
      </c>
      <c r="G23" s="44">
        <f t="shared" si="0"/>
        <v>0</v>
      </c>
      <c r="H23" s="42">
        <v>602</v>
      </c>
      <c r="I23" s="44">
        <f t="shared" si="1"/>
        <v>6923000</v>
      </c>
      <c r="J23" s="42">
        <f t="shared" ref="J23:J43" si="11">IFERROR(H23/D23,0)</f>
        <v>0</v>
      </c>
      <c r="K23" s="42">
        <f t="shared" ref="K23:K43" si="12">IFERROR(D23/E23,0)</f>
        <v>0</v>
      </c>
      <c r="L23" s="42" t="e">
        <f t="shared" ref="L23:L43" si="13">H23/E23</f>
        <v>#DIV/0!</v>
      </c>
      <c r="M23" s="45">
        <f t="shared" ref="M23:M43" si="14">G23+I23</f>
        <v>6923000</v>
      </c>
      <c r="N23" s="18">
        <f>D23*'SUMMARY 2'!$I$29*'SUMMARY 2'!$I$28</f>
        <v>0</v>
      </c>
      <c r="O23" s="41" t="s">
        <v>309</v>
      </c>
      <c r="P23" s="41" t="s">
        <v>151</v>
      </c>
      <c r="Q23" s="41" t="str">
        <f t="shared" ref="Q23:Q43" si="15">C23</f>
        <v xml:space="preserve"> DT HINO G 331</v>
      </c>
    </row>
    <row r="24" spans="2:17" x14ac:dyDescent="0.3">
      <c r="B24" s="41">
        <v>17</v>
      </c>
      <c r="C24" s="41" t="s">
        <v>240</v>
      </c>
      <c r="D24" s="42">
        <v>0</v>
      </c>
      <c r="E24" s="42">
        <v>0</v>
      </c>
      <c r="F24" s="49">
        <f>VLOOKUP(P24,'list rate unit'!$B$3:$K$40,10,FALSE)</f>
        <v>500000</v>
      </c>
      <c r="G24" s="44">
        <f t="shared" si="0"/>
        <v>0</v>
      </c>
      <c r="H24" s="42">
        <v>2334</v>
      </c>
      <c r="I24" s="44">
        <f t="shared" si="1"/>
        <v>26841000</v>
      </c>
      <c r="J24" s="42">
        <f t="shared" si="11"/>
        <v>0</v>
      </c>
      <c r="K24" s="42">
        <f t="shared" si="12"/>
        <v>0</v>
      </c>
      <c r="L24" s="42" t="e">
        <f t="shared" si="13"/>
        <v>#DIV/0!</v>
      </c>
      <c r="M24" s="45">
        <f t="shared" si="14"/>
        <v>26841000</v>
      </c>
      <c r="N24" s="18">
        <f>D24*'SUMMARY 2'!$I$29*'SUMMARY 2'!$I$28</f>
        <v>0</v>
      </c>
      <c r="O24" s="41" t="s">
        <v>309</v>
      </c>
      <c r="P24" s="41" t="s">
        <v>151</v>
      </c>
      <c r="Q24" s="41" t="str">
        <f t="shared" si="15"/>
        <v xml:space="preserve"> DT HINO G 332</v>
      </c>
    </row>
    <row r="25" spans="2:17" x14ac:dyDescent="0.3">
      <c r="B25" s="41">
        <v>18</v>
      </c>
      <c r="C25" s="41" t="s">
        <v>241</v>
      </c>
      <c r="D25" s="42">
        <v>0</v>
      </c>
      <c r="E25" s="42">
        <v>0</v>
      </c>
      <c r="F25" s="49">
        <f>VLOOKUP(P25,'list rate unit'!$B$3:$K$40,10,FALSE)</f>
        <v>500000</v>
      </c>
      <c r="G25" s="44">
        <f t="shared" si="0"/>
        <v>0</v>
      </c>
      <c r="H25" s="42">
        <v>3022</v>
      </c>
      <c r="I25" s="44">
        <f t="shared" si="1"/>
        <v>34753000</v>
      </c>
      <c r="J25" s="42">
        <f t="shared" si="11"/>
        <v>0</v>
      </c>
      <c r="K25" s="42">
        <f t="shared" si="12"/>
        <v>0</v>
      </c>
      <c r="L25" s="42" t="e">
        <f t="shared" si="13"/>
        <v>#DIV/0!</v>
      </c>
      <c r="M25" s="45">
        <f t="shared" si="14"/>
        <v>34753000</v>
      </c>
      <c r="N25" s="18">
        <f>D25*'SUMMARY 2'!$I$29*'SUMMARY 2'!$I$28</f>
        <v>0</v>
      </c>
      <c r="O25" s="41" t="s">
        <v>309</v>
      </c>
      <c r="P25" s="41" t="s">
        <v>151</v>
      </c>
      <c r="Q25" s="41" t="str">
        <f t="shared" si="15"/>
        <v xml:space="preserve"> DT HINO G 333</v>
      </c>
    </row>
    <row r="26" spans="2:17" x14ac:dyDescent="0.3">
      <c r="B26" s="41">
        <v>19</v>
      </c>
      <c r="C26" s="41" t="s">
        <v>242</v>
      </c>
      <c r="D26" s="42">
        <v>0</v>
      </c>
      <c r="E26" s="42">
        <v>0</v>
      </c>
      <c r="F26" s="49">
        <f>VLOOKUP(P26,'list rate unit'!$B$3:$K$40,10,FALSE)</f>
        <v>500000</v>
      </c>
      <c r="G26" s="44">
        <f t="shared" si="0"/>
        <v>0</v>
      </c>
      <c r="H26" s="42">
        <v>1830</v>
      </c>
      <c r="I26" s="44">
        <f t="shared" si="1"/>
        <v>21045000</v>
      </c>
      <c r="J26" s="42">
        <f t="shared" si="11"/>
        <v>0</v>
      </c>
      <c r="K26" s="42">
        <f t="shared" si="12"/>
        <v>0</v>
      </c>
      <c r="L26" s="42" t="e">
        <f t="shared" si="13"/>
        <v>#DIV/0!</v>
      </c>
      <c r="M26" s="45">
        <f t="shared" si="14"/>
        <v>21045000</v>
      </c>
      <c r="N26" s="18">
        <f>D26*'SUMMARY 2'!$I$29*'SUMMARY 2'!$I$28</f>
        <v>0</v>
      </c>
      <c r="O26" s="41" t="s">
        <v>309</v>
      </c>
      <c r="P26" s="41" t="s">
        <v>151</v>
      </c>
      <c r="Q26" s="41" t="str">
        <f t="shared" si="15"/>
        <v xml:space="preserve"> DT HINO G 334</v>
      </c>
    </row>
    <row r="27" spans="2:17" x14ac:dyDescent="0.3">
      <c r="B27" s="41">
        <v>20</v>
      </c>
      <c r="C27" s="41" t="s">
        <v>243</v>
      </c>
      <c r="D27" s="42">
        <v>0</v>
      </c>
      <c r="E27" s="42">
        <v>0</v>
      </c>
      <c r="F27" s="49">
        <f>VLOOKUP(P27,'list rate unit'!$B$3:$K$40,10,FALSE)</f>
        <v>500000</v>
      </c>
      <c r="G27" s="44">
        <f t="shared" si="0"/>
        <v>0</v>
      </c>
      <c r="H27" s="42">
        <v>2322</v>
      </c>
      <c r="I27" s="44">
        <f t="shared" si="1"/>
        <v>26703000</v>
      </c>
      <c r="J27" s="42">
        <f t="shared" si="11"/>
        <v>0</v>
      </c>
      <c r="K27" s="42">
        <f t="shared" si="12"/>
        <v>0</v>
      </c>
      <c r="L27" s="42" t="e">
        <f t="shared" si="13"/>
        <v>#DIV/0!</v>
      </c>
      <c r="M27" s="45">
        <f t="shared" si="14"/>
        <v>26703000</v>
      </c>
      <c r="N27" s="18">
        <f>D27*'SUMMARY 2'!$I$29*'SUMMARY 2'!$I$28</f>
        <v>0</v>
      </c>
      <c r="O27" s="41" t="s">
        <v>309</v>
      </c>
      <c r="P27" s="41" t="s">
        <v>151</v>
      </c>
      <c r="Q27" s="41" t="str">
        <f t="shared" si="15"/>
        <v xml:space="preserve"> DT HINO G 335</v>
      </c>
    </row>
    <row r="28" spans="2:17" x14ac:dyDescent="0.3">
      <c r="B28" s="41">
        <v>21</v>
      </c>
      <c r="C28" s="41" t="s">
        <v>244</v>
      </c>
      <c r="D28" s="42">
        <v>0</v>
      </c>
      <c r="E28" s="42">
        <v>0</v>
      </c>
      <c r="F28" s="49">
        <f>VLOOKUP(P28,'list rate unit'!$B$3:$K$40,10,FALSE)</f>
        <v>500000</v>
      </c>
      <c r="G28" s="44">
        <f t="shared" si="0"/>
        <v>0</v>
      </c>
      <c r="H28" s="42">
        <v>444</v>
      </c>
      <c r="I28" s="44">
        <f t="shared" si="1"/>
        <v>5106000</v>
      </c>
      <c r="J28" s="42">
        <f t="shared" si="11"/>
        <v>0</v>
      </c>
      <c r="K28" s="42">
        <f t="shared" si="12"/>
        <v>0</v>
      </c>
      <c r="L28" s="42" t="e">
        <f t="shared" si="13"/>
        <v>#DIV/0!</v>
      </c>
      <c r="M28" s="45">
        <f t="shared" si="14"/>
        <v>5106000</v>
      </c>
      <c r="N28" s="18">
        <f>D28*'SUMMARY 2'!$I$29*'SUMMARY 2'!$I$28</f>
        <v>0</v>
      </c>
      <c r="O28" s="41" t="s">
        <v>309</v>
      </c>
      <c r="P28" s="41" t="s">
        <v>151</v>
      </c>
      <c r="Q28" s="41" t="str">
        <f t="shared" si="15"/>
        <v xml:space="preserve"> DT HINO G 336</v>
      </c>
    </row>
    <row r="29" spans="2:17" x14ac:dyDescent="0.3">
      <c r="B29" s="41">
        <v>22</v>
      </c>
      <c r="C29" s="41" t="s">
        <v>245</v>
      </c>
      <c r="D29" s="42">
        <v>0</v>
      </c>
      <c r="E29" s="42">
        <v>0</v>
      </c>
      <c r="F29" s="49">
        <f>VLOOKUP(P29,'list rate unit'!$B$3:$K$40,10,FALSE)</f>
        <v>500000</v>
      </c>
      <c r="G29" s="44">
        <f t="shared" si="0"/>
        <v>0</v>
      </c>
      <c r="H29" s="42">
        <v>589</v>
      </c>
      <c r="I29" s="44">
        <f t="shared" si="1"/>
        <v>6773500</v>
      </c>
      <c r="J29" s="42">
        <f t="shared" si="11"/>
        <v>0</v>
      </c>
      <c r="K29" s="42">
        <f t="shared" si="12"/>
        <v>0</v>
      </c>
      <c r="L29" s="42" t="e">
        <f t="shared" si="13"/>
        <v>#DIV/0!</v>
      </c>
      <c r="M29" s="45">
        <f t="shared" si="14"/>
        <v>6773500</v>
      </c>
      <c r="N29" s="18">
        <f>D29*'SUMMARY 2'!$I$29*'SUMMARY 2'!$I$28</f>
        <v>0</v>
      </c>
      <c r="O29" s="41" t="s">
        <v>309</v>
      </c>
      <c r="P29" s="41" t="s">
        <v>151</v>
      </c>
      <c r="Q29" s="41" t="str">
        <f t="shared" si="15"/>
        <v xml:space="preserve"> DT HINO G 337</v>
      </c>
    </row>
    <row r="30" spans="2:17" x14ac:dyDescent="0.3">
      <c r="B30" s="41">
        <v>23</v>
      </c>
      <c r="C30" s="41" t="s">
        <v>246</v>
      </c>
      <c r="D30" s="42">
        <v>377.97999999999996</v>
      </c>
      <c r="E30" s="42">
        <v>450</v>
      </c>
      <c r="F30" s="49">
        <f>VLOOKUP(P30,'list rate unit'!$B$3:$K$40,10,FALSE)</f>
        <v>500000</v>
      </c>
      <c r="G30" s="44">
        <f t="shared" si="0"/>
        <v>105000000</v>
      </c>
      <c r="H30" s="42">
        <v>1366</v>
      </c>
      <c r="I30" s="44">
        <f t="shared" si="1"/>
        <v>15709000</v>
      </c>
      <c r="J30" s="42">
        <f t="shared" si="11"/>
        <v>3.613947827927404</v>
      </c>
      <c r="K30" s="42">
        <f t="shared" si="12"/>
        <v>0.83995555555555546</v>
      </c>
      <c r="L30" s="42">
        <f t="shared" si="13"/>
        <v>3.0355555555555553</v>
      </c>
      <c r="M30" s="45">
        <f t="shared" si="14"/>
        <v>120709000</v>
      </c>
      <c r="N30" s="18">
        <f>D30*'SUMMARY 2'!$I$29*'SUMMARY 2'!$I$28</f>
        <v>58928593.919999994</v>
      </c>
      <c r="O30" s="41" t="s">
        <v>309</v>
      </c>
      <c r="P30" s="41" t="s">
        <v>151</v>
      </c>
      <c r="Q30" s="41" t="str">
        <f t="shared" si="15"/>
        <v xml:space="preserve"> DT HINO G 339</v>
      </c>
    </row>
    <row r="31" spans="2:17" x14ac:dyDescent="0.3">
      <c r="B31" s="41">
        <v>24</v>
      </c>
      <c r="C31" s="41" t="s">
        <v>247</v>
      </c>
      <c r="D31" s="42">
        <v>45.38</v>
      </c>
      <c r="E31" s="42">
        <v>50</v>
      </c>
      <c r="F31" s="49">
        <f>VLOOKUP(P31,'list rate unit'!$B$3:$K$40,10,FALSE)</f>
        <v>500000</v>
      </c>
      <c r="G31" s="44">
        <f t="shared" si="0"/>
        <v>105000000</v>
      </c>
      <c r="H31" s="42">
        <v>1145</v>
      </c>
      <c r="I31" s="44">
        <f t="shared" si="1"/>
        <v>13167500</v>
      </c>
      <c r="J31" s="42">
        <f t="shared" si="11"/>
        <v>25.231379462318202</v>
      </c>
      <c r="K31" s="42">
        <f t="shared" si="12"/>
        <v>0.90760000000000007</v>
      </c>
      <c r="L31" s="42">
        <f t="shared" si="13"/>
        <v>22.9</v>
      </c>
      <c r="M31" s="45">
        <f t="shared" si="14"/>
        <v>118167500</v>
      </c>
      <c r="N31" s="18">
        <f>D31*'SUMMARY 2'!$I$29*'SUMMARY 2'!$I$28</f>
        <v>7074923.5200000005</v>
      </c>
      <c r="O31" s="41" t="s">
        <v>309</v>
      </c>
      <c r="P31" s="41" t="s">
        <v>151</v>
      </c>
      <c r="Q31" s="41" t="str">
        <f t="shared" si="15"/>
        <v xml:space="preserve"> DT HINO G 341</v>
      </c>
    </row>
    <row r="32" spans="2:17" x14ac:dyDescent="0.3">
      <c r="B32" s="41">
        <v>25</v>
      </c>
      <c r="C32" s="41" t="s">
        <v>248</v>
      </c>
      <c r="D32" s="42">
        <v>2107.3499999999995</v>
      </c>
      <c r="E32" s="42">
        <v>2500</v>
      </c>
      <c r="F32" s="49">
        <f>VLOOKUP(P32,'list rate unit'!$B$3:$K$40,10,FALSE)</f>
        <v>500000</v>
      </c>
      <c r="G32" s="44">
        <f t="shared" si="0"/>
        <v>105000000</v>
      </c>
      <c r="H32" s="42">
        <v>2633</v>
      </c>
      <c r="I32" s="44">
        <f t="shared" si="1"/>
        <v>30279500</v>
      </c>
      <c r="J32" s="42">
        <f t="shared" si="11"/>
        <v>1.2494364960732678</v>
      </c>
      <c r="K32" s="42">
        <f t="shared" si="12"/>
        <v>0.8429399999999998</v>
      </c>
      <c r="L32" s="42">
        <f t="shared" si="13"/>
        <v>1.0531999999999999</v>
      </c>
      <c r="M32" s="45">
        <f t="shared" si="14"/>
        <v>135279500</v>
      </c>
      <c r="N32" s="18">
        <f>D32*'SUMMARY 2'!$I$29*'SUMMARY 2'!$I$28</f>
        <v>328544294.39999992</v>
      </c>
      <c r="O32" s="41" t="s">
        <v>309</v>
      </c>
      <c r="P32" s="41" t="s">
        <v>151</v>
      </c>
      <c r="Q32" s="41" t="str">
        <f t="shared" si="15"/>
        <v xml:space="preserve"> DT HINO G 343</v>
      </c>
    </row>
    <row r="33" spans="2:17" x14ac:dyDescent="0.3">
      <c r="B33" s="41">
        <v>26</v>
      </c>
      <c r="C33" s="41" t="s">
        <v>249</v>
      </c>
      <c r="D33" s="42">
        <v>575.99</v>
      </c>
      <c r="E33" s="42">
        <v>700</v>
      </c>
      <c r="F33" s="49">
        <f>VLOOKUP(P33,'list rate unit'!$B$3:$K$40,10,FALSE)</f>
        <v>500000</v>
      </c>
      <c r="G33" s="44">
        <f t="shared" si="0"/>
        <v>105000000</v>
      </c>
      <c r="H33" s="42">
        <v>2270</v>
      </c>
      <c r="I33" s="44">
        <f t="shared" si="1"/>
        <v>26105000</v>
      </c>
      <c r="J33" s="42">
        <f t="shared" si="11"/>
        <v>3.94104064306672</v>
      </c>
      <c r="K33" s="42">
        <f t="shared" si="12"/>
        <v>0.82284285714285721</v>
      </c>
      <c r="L33" s="42">
        <f t="shared" si="13"/>
        <v>3.2428571428571429</v>
      </c>
      <c r="M33" s="45">
        <f t="shared" si="14"/>
        <v>131105000</v>
      </c>
      <c r="N33" s="18">
        <f>D33*'SUMMARY 2'!$I$29*'SUMMARY 2'!$I$28</f>
        <v>89799144.960000008</v>
      </c>
      <c r="O33" s="41" t="s">
        <v>309</v>
      </c>
      <c r="P33" s="41" t="s">
        <v>151</v>
      </c>
      <c r="Q33" s="41" t="str">
        <f t="shared" si="15"/>
        <v xml:space="preserve"> DT HINO G 344</v>
      </c>
    </row>
    <row r="34" spans="2:17" x14ac:dyDescent="0.3">
      <c r="B34" s="41">
        <v>27</v>
      </c>
      <c r="C34" s="41" t="s">
        <v>250</v>
      </c>
      <c r="D34" s="42">
        <v>3045.29</v>
      </c>
      <c r="E34" s="42">
        <v>3650</v>
      </c>
      <c r="F34" s="49">
        <f>VLOOKUP(P34,'list rate unit'!$B$3:$K$40,10,FALSE)</f>
        <v>500000</v>
      </c>
      <c r="G34" s="44">
        <f t="shared" si="0"/>
        <v>105000000</v>
      </c>
      <c r="H34" s="42">
        <v>3572</v>
      </c>
      <c r="I34" s="44">
        <f t="shared" si="1"/>
        <v>41078000</v>
      </c>
      <c r="J34" s="42">
        <f t="shared" si="11"/>
        <v>1.172958897182206</v>
      </c>
      <c r="K34" s="42">
        <f t="shared" si="12"/>
        <v>0.83432602739726025</v>
      </c>
      <c r="L34" s="42">
        <f t="shared" si="13"/>
        <v>0.97863013698630141</v>
      </c>
      <c r="M34" s="45">
        <f t="shared" si="14"/>
        <v>146078000</v>
      </c>
      <c r="N34" s="18">
        <f>D34*'SUMMARY 2'!$I$29*'SUMMARY 2'!$I$28</f>
        <v>474772892.15999997</v>
      </c>
      <c r="O34" s="41" t="s">
        <v>309</v>
      </c>
      <c r="P34" s="41" t="s">
        <v>151</v>
      </c>
      <c r="Q34" s="41" t="str">
        <f t="shared" si="15"/>
        <v xml:space="preserve"> DT HINO G 346</v>
      </c>
    </row>
    <row r="35" spans="2:17" x14ac:dyDescent="0.3">
      <c r="B35" s="41">
        <v>28</v>
      </c>
      <c r="C35" s="41" t="s">
        <v>251</v>
      </c>
      <c r="D35" s="42">
        <v>2923.2000000000003</v>
      </c>
      <c r="E35" s="42">
        <v>3500</v>
      </c>
      <c r="F35" s="49">
        <f>VLOOKUP(P35,'list rate unit'!$B$3:$K$40,10,FALSE)</f>
        <v>500000</v>
      </c>
      <c r="G35" s="44">
        <f t="shared" si="0"/>
        <v>105000000</v>
      </c>
      <c r="H35" s="42">
        <v>3592</v>
      </c>
      <c r="I35" s="44">
        <f t="shared" si="1"/>
        <v>41308000</v>
      </c>
      <c r="J35" s="42">
        <f t="shared" si="11"/>
        <v>1.2287903667214011</v>
      </c>
      <c r="K35" s="42">
        <f t="shared" si="12"/>
        <v>0.83520000000000005</v>
      </c>
      <c r="L35" s="42">
        <f t="shared" si="13"/>
        <v>1.0262857142857142</v>
      </c>
      <c r="M35" s="45">
        <f t="shared" si="14"/>
        <v>146308000</v>
      </c>
      <c r="N35" s="18">
        <f>D35*'SUMMARY 2'!$I$29*'SUMMARY 2'!$I$28</f>
        <v>455738572.80000001</v>
      </c>
      <c r="O35" s="41" t="s">
        <v>309</v>
      </c>
      <c r="P35" s="41" t="s">
        <v>151</v>
      </c>
      <c r="Q35" s="41" t="str">
        <f t="shared" si="15"/>
        <v xml:space="preserve"> DT HINO G 347</v>
      </c>
    </row>
    <row r="36" spans="2:17" x14ac:dyDescent="0.3">
      <c r="B36" s="41">
        <v>29</v>
      </c>
      <c r="C36" s="41" t="s">
        <v>252</v>
      </c>
      <c r="D36" s="42">
        <v>1309.0900000000001</v>
      </c>
      <c r="E36" s="42">
        <v>1450</v>
      </c>
      <c r="F36" s="49">
        <f>VLOOKUP(P36,'list rate unit'!$B$3:$K$40,10,FALSE)</f>
        <v>500000</v>
      </c>
      <c r="G36" s="44">
        <f t="shared" si="0"/>
        <v>105000000</v>
      </c>
      <c r="H36" s="42">
        <v>2047</v>
      </c>
      <c r="I36" s="44">
        <f t="shared" si="1"/>
        <v>23540500</v>
      </c>
      <c r="J36" s="42">
        <f t="shared" si="11"/>
        <v>1.5636816414455841</v>
      </c>
      <c r="K36" s="42">
        <f t="shared" si="12"/>
        <v>0.90282068965517248</v>
      </c>
      <c r="L36" s="42">
        <f t="shared" si="13"/>
        <v>1.4117241379310346</v>
      </c>
      <c r="M36" s="45">
        <f t="shared" si="14"/>
        <v>128540500</v>
      </c>
      <c r="N36" s="18">
        <f>D36*'SUMMARY 2'!$I$29*'SUMMARY 2'!$I$28</f>
        <v>204092367.36000001</v>
      </c>
      <c r="O36" s="41" t="s">
        <v>309</v>
      </c>
      <c r="P36" s="41" t="s">
        <v>151</v>
      </c>
      <c r="Q36" s="41" t="str">
        <f t="shared" si="15"/>
        <v xml:space="preserve"> DT HINO G 348</v>
      </c>
    </row>
    <row r="37" spans="2:17" x14ac:dyDescent="0.3">
      <c r="B37" s="41">
        <v>30</v>
      </c>
      <c r="C37" s="41" t="s">
        <v>253</v>
      </c>
      <c r="D37" s="42">
        <v>1857.45</v>
      </c>
      <c r="E37" s="42">
        <v>2200</v>
      </c>
      <c r="F37" s="49">
        <f>VLOOKUP(P37,'list rate unit'!$B$3:$K$40,10,FALSE)</f>
        <v>500000</v>
      </c>
      <c r="G37" s="44">
        <f t="shared" si="0"/>
        <v>105000000</v>
      </c>
      <c r="H37" s="42">
        <v>1931</v>
      </c>
      <c r="I37" s="44">
        <f t="shared" si="1"/>
        <v>22206500</v>
      </c>
      <c r="J37" s="42">
        <f t="shared" si="11"/>
        <v>1.0395972973700502</v>
      </c>
      <c r="K37" s="42">
        <f t="shared" si="12"/>
        <v>0.84429545454545452</v>
      </c>
      <c r="L37" s="42">
        <f t="shared" si="13"/>
        <v>0.87772727272727269</v>
      </c>
      <c r="M37" s="45">
        <f t="shared" si="14"/>
        <v>127206500</v>
      </c>
      <c r="N37" s="18">
        <f>D37*'SUMMARY 2'!$I$29*'SUMMARY 2'!$I$28</f>
        <v>289583884.80000001</v>
      </c>
      <c r="O37" s="41" t="s">
        <v>309</v>
      </c>
      <c r="P37" s="41" t="s">
        <v>151</v>
      </c>
      <c r="Q37" s="41" t="str">
        <f t="shared" si="15"/>
        <v xml:space="preserve"> DT HINO G 349</v>
      </c>
    </row>
    <row r="38" spans="2:17" x14ac:dyDescent="0.3">
      <c r="B38" s="41">
        <v>31</v>
      </c>
      <c r="C38" s="41" t="s">
        <v>254</v>
      </c>
      <c r="D38" s="42">
        <v>1982.8200000000002</v>
      </c>
      <c r="E38" s="42">
        <v>2200</v>
      </c>
      <c r="F38" s="49">
        <f>VLOOKUP(P38,'list rate unit'!$B$3:$K$40,10,FALSE)</f>
        <v>500000</v>
      </c>
      <c r="G38" s="44">
        <f t="shared" si="0"/>
        <v>105000000</v>
      </c>
      <c r="H38" s="42">
        <v>2146</v>
      </c>
      <c r="I38" s="44">
        <f t="shared" si="1"/>
        <v>24679000</v>
      </c>
      <c r="J38" s="42">
        <f t="shared" si="11"/>
        <v>1.0822969306341472</v>
      </c>
      <c r="K38" s="42">
        <f t="shared" si="12"/>
        <v>0.90128181818181829</v>
      </c>
      <c r="L38" s="42">
        <f t="shared" si="13"/>
        <v>0.97545454545454546</v>
      </c>
      <c r="M38" s="45">
        <f t="shared" si="14"/>
        <v>129679000</v>
      </c>
      <c r="N38" s="18">
        <f>D38*'SUMMARY 2'!$I$29*'SUMMARY 2'!$I$28</f>
        <v>309129569.28000003</v>
      </c>
      <c r="O38" s="41" t="s">
        <v>309</v>
      </c>
      <c r="P38" s="41" t="s">
        <v>151</v>
      </c>
      <c r="Q38" s="41" t="str">
        <f t="shared" si="15"/>
        <v xml:space="preserve"> DT HINO G 350</v>
      </c>
    </row>
    <row r="39" spans="2:17" x14ac:dyDescent="0.3">
      <c r="B39" s="41">
        <v>32</v>
      </c>
      <c r="C39" s="41" t="s">
        <v>255</v>
      </c>
      <c r="D39" s="42">
        <v>1761.86</v>
      </c>
      <c r="E39" s="42">
        <v>2100</v>
      </c>
      <c r="F39" s="49">
        <f>VLOOKUP(P39,'list rate unit'!$B$3:$K$40,10,FALSE)</f>
        <v>500000</v>
      </c>
      <c r="G39" s="44">
        <f t="shared" si="0"/>
        <v>105000000</v>
      </c>
      <c r="H39" s="42">
        <v>881</v>
      </c>
      <c r="I39" s="44">
        <f t="shared" si="1"/>
        <v>10131500</v>
      </c>
      <c r="J39" s="42">
        <f t="shared" si="11"/>
        <v>0.50003973073910524</v>
      </c>
      <c r="K39" s="42">
        <f t="shared" si="12"/>
        <v>0.83898095238095238</v>
      </c>
      <c r="L39" s="42">
        <f t="shared" si="13"/>
        <v>0.41952380952380952</v>
      </c>
      <c r="M39" s="45">
        <f t="shared" si="14"/>
        <v>115131500</v>
      </c>
      <c r="N39" s="18">
        <f>D39*'SUMMARY 2'!$I$29*'SUMMARY 2'!$I$28</f>
        <v>274681021.44</v>
      </c>
      <c r="O39" s="41" t="s">
        <v>309</v>
      </c>
      <c r="P39" s="41" t="s">
        <v>151</v>
      </c>
      <c r="Q39" s="41" t="str">
        <f t="shared" si="15"/>
        <v xml:space="preserve"> DT HINO G 351</v>
      </c>
    </row>
    <row r="40" spans="2:17" x14ac:dyDescent="0.3">
      <c r="B40" s="41">
        <v>33</v>
      </c>
      <c r="C40" s="41" t="s">
        <v>256</v>
      </c>
      <c r="D40" s="42">
        <v>0</v>
      </c>
      <c r="E40" s="42">
        <v>0</v>
      </c>
      <c r="F40" s="49">
        <f>VLOOKUP(P40,'list rate unit'!$B$3:$K$40,10,FALSE)</f>
        <v>500000</v>
      </c>
      <c r="G40" s="44">
        <f t="shared" si="0"/>
        <v>0</v>
      </c>
      <c r="H40" s="42">
        <v>790</v>
      </c>
      <c r="I40" s="44">
        <f t="shared" si="1"/>
        <v>9085000</v>
      </c>
      <c r="J40" s="42">
        <f t="shared" si="11"/>
        <v>0</v>
      </c>
      <c r="K40" s="42">
        <f t="shared" si="12"/>
        <v>0</v>
      </c>
      <c r="L40" s="42" t="e">
        <f t="shared" si="13"/>
        <v>#DIV/0!</v>
      </c>
      <c r="M40" s="45">
        <f t="shared" si="14"/>
        <v>9085000</v>
      </c>
      <c r="N40" s="18">
        <f>D40*'SUMMARY 2'!$I$29*'SUMMARY 2'!$I$28</f>
        <v>0</v>
      </c>
      <c r="O40" s="41" t="s">
        <v>309</v>
      </c>
      <c r="P40" s="41" t="s">
        <v>151</v>
      </c>
      <c r="Q40" s="41" t="str">
        <f t="shared" si="15"/>
        <v xml:space="preserve"> DT HINO G 352</v>
      </c>
    </row>
    <row r="41" spans="2:17" x14ac:dyDescent="0.3">
      <c r="B41" s="41">
        <v>34</v>
      </c>
      <c r="C41" s="41" t="s">
        <v>257</v>
      </c>
      <c r="D41" s="42">
        <v>2404.04</v>
      </c>
      <c r="E41" s="42">
        <v>2800</v>
      </c>
      <c r="F41" s="49">
        <f>VLOOKUP(P41,'list rate unit'!$B$3:$K$40,10,FALSE)</f>
        <v>500000</v>
      </c>
      <c r="G41" s="44">
        <f t="shared" si="0"/>
        <v>105000000</v>
      </c>
      <c r="H41" s="42">
        <v>1652</v>
      </c>
      <c r="I41" s="44">
        <f t="shared" si="1"/>
        <v>18998000</v>
      </c>
      <c r="J41" s="42">
        <f t="shared" si="11"/>
        <v>0.68717658608009846</v>
      </c>
      <c r="K41" s="42">
        <f t="shared" si="12"/>
        <v>0.85858571428571429</v>
      </c>
      <c r="L41" s="42">
        <f t="shared" si="13"/>
        <v>0.59</v>
      </c>
      <c r="M41" s="45">
        <f t="shared" si="14"/>
        <v>123998000</v>
      </c>
      <c r="N41" s="18">
        <f>D41*'SUMMARY 2'!$I$29*'SUMMARY 2'!$I$28</f>
        <v>374799452.15999997</v>
      </c>
      <c r="O41" s="41" t="s">
        <v>309</v>
      </c>
      <c r="P41" s="41" t="s">
        <v>151</v>
      </c>
      <c r="Q41" s="41" t="str">
        <f t="shared" si="15"/>
        <v xml:space="preserve"> DT HINO G 353</v>
      </c>
    </row>
    <row r="42" spans="2:17" x14ac:dyDescent="0.3">
      <c r="B42" s="41">
        <v>35</v>
      </c>
      <c r="C42" s="41" t="s">
        <v>258</v>
      </c>
      <c r="D42" s="42">
        <v>0</v>
      </c>
      <c r="E42" s="42">
        <v>0</v>
      </c>
      <c r="F42" s="49">
        <f>VLOOKUP(P42,'list rate unit'!$B$3:$K$40,10,FALSE)</f>
        <v>500000</v>
      </c>
      <c r="G42" s="44">
        <f t="shared" si="0"/>
        <v>0</v>
      </c>
      <c r="H42" s="42">
        <v>1631</v>
      </c>
      <c r="I42" s="44">
        <f t="shared" si="1"/>
        <v>18756500</v>
      </c>
      <c r="J42" s="42">
        <f t="shared" si="11"/>
        <v>0</v>
      </c>
      <c r="K42" s="42">
        <f t="shared" si="12"/>
        <v>0</v>
      </c>
      <c r="L42" s="42" t="e">
        <f t="shared" si="13"/>
        <v>#DIV/0!</v>
      </c>
      <c r="M42" s="45">
        <f t="shared" si="14"/>
        <v>18756500</v>
      </c>
      <c r="N42" s="18">
        <f>D42*'SUMMARY 2'!$I$29*'SUMMARY 2'!$I$28</f>
        <v>0</v>
      </c>
      <c r="O42" s="41" t="s">
        <v>309</v>
      </c>
      <c r="P42" s="41" t="s">
        <v>151</v>
      </c>
      <c r="Q42" s="41" t="str">
        <f t="shared" si="15"/>
        <v xml:space="preserve"> DT HINO G 354</v>
      </c>
    </row>
    <row r="43" spans="2:17" x14ac:dyDescent="0.3">
      <c r="B43" s="41">
        <v>36</v>
      </c>
      <c r="C43" s="41" t="s">
        <v>259</v>
      </c>
      <c r="D43" s="42">
        <v>2239.2700000000004</v>
      </c>
      <c r="E43" s="42">
        <v>2700</v>
      </c>
      <c r="F43" s="49">
        <f>VLOOKUP(P43,'list rate unit'!$B$3:$K$40,10,FALSE)</f>
        <v>500000</v>
      </c>
      <c r="G43" s="44">
        <f t="shared" si="0"/>
        <v>105000000</v>
      </c>
      <c r="H43" s="42">
        <v>1039</v>
      </c>
      <c r="I43" s="44">
        <f t="shared" si="1"/>
        <v>11948500</v>
      </c>
      <c r="J43" s="42">
        <f t="shared" si="11"/>
        <v>0.46399049690300848</v>
      </c>
      <c r="K43" s="42">
        <f t="shared" si="12"/>
        <v>0.82935925925925946</v>
      </c>
      <c r="L43" s="42">
        <f t="shared" si="13"/>
        <v>0.38481481481481483</v>
      </c>
      <c r="M43" s="45">
        <f t="shared" si="14"/>
        <v>116948500</v>
      </c>
      <c r="N43" s="18">
        <f>D43*'SUMMARY 2'!$I$29*'SUMMARY 2'!$I$28</f>
        <v>349111150.0800001</v>
      </c>
      <c r="O43" s="41" t="s">
        <v>309</v>
      </c>
      <c r="P43" s="41" t="s">
        <v>151</v>
      </c>
      <c r="Q43" s="41" t="str">
        <f t="shared" si="15"/>
        <v xml:space="preserve"> DT HINO G 355</v>
      </c>
    </row>
    <row r="44" spans="2:17" x14ac:dyDescent="0.3">
      <c r="B44" s="41">
        <v>37</v>
      </c>
      <c r="C44" s="41" t="s">
        <v>410</v>
      </c>
      <c r="D44" s="42">
        <v>1014.8700000000001</v>
      </c>
      <c r="E44" s="42">
        <v>1150</v>
      </c>
      <c r="F44" s="49">
        <f>VLOOKUP(P44,'list rate unit'!$B$3:$K$40,10,FALSE)</f>
        <v>500000</v>
      </c>
      <c r="G44" s="44">
        <f t="shared" si="0"/>
        <v>105000000</v>
      </c>
      <c r="H44" s="42">
        <v>1422</v>
      </c>
      <c r="I44" s="44">
        <f t="shared" si="1"/>
        <v>16353000</v>
      </c>
      <c r="J44" s="42">
        <f t="shared" ref="J44:J78" si="16">IFERROR(H44/D44,0)</f>
        <v>1.4011646811906942</v>
      </c>
      <c r="K44" s="42">
        <f t="shared" ref="K44:K78" si="17">IFERROR(D44/E44,0)</f>
        <v>0.88249565217391313</v>
      </c>
      <c r="L44" s="42">
        <f t="shared" ref="L44:L78" si="18">H44/E44</f>
        <v>1.2365217391304348</v>
      </c>
      <c r="M44" s="45">
        <f t="shared" ref="M44:M78" si="19">G44+I44</f>
        <v>121353000</v>
      </c>
      <c r="N44" s="18">
        <f>D44*'SUMMARY 2'!$I$29*'SUMMARY 2'!$I$28</f>
        <v>158222292.48000002</v>
      </c>
      <c r="O44" s="41" t="s">
        <v>309</v>
      </c>
      <c r="P44" s="41" t="s">
        <v>151</v>
      </c>
      <c r="Q44" s="41" t="str">
        <f t="shared" ref="Q44:Q78" si="20">C44</f>
        <v xml:space="preserve"> DT HINO G 356</v>
      </c>
    </row>
    <row r="45" spans="2:17" x14ac:dyDescent="0.3">
      <c r="B45" s="41">
        <v>38</v>
      </c>
      <c r="C45" s="41" t="s">
        <v>260</v>
      </c>
      <c r="D45" s="42">
        <v>1972.7600000000002</v>
      </c>
      <c r="E45" s="42">
        <v>2350</v>
      </c>
      <c r="F45" s="49">
        <f>VLOOKUP(P45,'list rate unit'!$B$3:$K$40,10,FALSE)</f>
        <v>500000</v>
      </c>
      <c r="G45" s="44">
        <f t="shared" si="0"/>
        <v>105000000</v>
      </c>
      <c r="H45" s="42">
        <v>1439</v>
      </c>
      <c r="I45" s="44">
        <f t="shared" si="1"/>
        <v>16548500</v>
      </c>
      <c r="J45" s="42">
        <f t="shared" si="16"/>
        <v>0.72943490338409123</v>
      </c>
      <c r="K45" s="42">
        <f t="shared" si="17"/>
        <v>0.83947234042553198</v>
      </c>
      <c r="L45" s="42">
        <f t="shared" si="18"/>
        <v>0.61234042553191492</v>
      </c>
      <c r="M45" s="45">
        <f t="shared" si="19"/>
        <v>121548500</v>
      </c>
      <c r="N45" s="18">
        <f>D45*'SUMMARY 2'!$I$29*'SUMMARY 2'!$I$28</f>
        <v>307561175.04000002</v>
      </c>
      <c r="O45" s="41" t="s">
        <v>309</v>
      </c>
      <c r="P45" s="41" t="s">
        <v>151</v>
      </c>
      <c r="Q45" s="41" t="str">
        <f t="shared" si="20"/>
        <v xml:space="preserve"> DT HINO G 357</v>
      </c>
    </row>
    <row r="46" spans="2:17" x14ac:dyDescent="0.3">
      <c r="B46" s="41">
        <v>39</v>
      </c>
      <c r="C46" s="41" t="s">
        <v>261</v>
      </c>
      <c r="D46" s="42">
        <v>2415.4700000000003</v>
      </c>
      <c r="E46" s="42">
        <v>2850</v>
      </c>
      <c r="F46" s="49">
        <f>VLOOKUP(P46,'list rate unit'!$B$3:$K$40,10,FALSE)</f>
        <v>500000</v>
      </c>
      <c r="G46" s="44">
        <f t="shared" si="0"/>
        <v>105000000</v>
      </c>
      <c r="H46" s="42">
        <v>1964</v>
      </c>
      <c r="I46" s="44">
        <f t="shared" si="1"/>
        <v>22586000</v>
      </c>
      <c r="J46" s="42">
        <f t="shared" si="16"/>
        <v>0.81309227603737566</v>
      </c>
      <c r="K46" s="42">
        <f t="shared" si="17"/>
        <v>0.84753333333333347</v>
      </c>
      <c r="L46" s="42">
        <f t="shared" si="18"/>
        <v>0.68912280701754391</v>
      </c>
      <c r="M46" s="45">
        <f t="shared" si="19"/>
        <v>127586000</v>
      </c>
      <c r="N46" s="18">
        <f>D46*'SUMMARY 2'!$I$29*'SUMMARY 2'!$I$28</f>
        <v>376581434.88</v>
      </c>
      <c r="O46" s="41" t="s">
        <v>309</v>
      </c>
      <c r="P46" s="41" t="s">
        <v>151</v>
      </c>
      <c r="Q46" s="41" t="str">
        <f t="shared" si="20"/>
        <v xml:space="preserve"> DT HINO G 358</v>
      </c>
    </row>
    <row r="47" spans="2:17" x14ac:dyDescent="0.3">
      <c r="B47" s="41">
        <v>40</v>
      </c>
      <c r="C47" s="41" t="s">
        <v>262</v>
      </c>
      <c r="D47" s="42">
        <v>0</v>
      </c>
      <c r="E47" s="42">
        <v>0</v>
      </c>
      <c r="F47" s="49">
        <f>VLOOKUP(P47,'list rate unit'!$B$3:$K$40,10,FALSE)</f>
        <v>500000</v>
      </c>
      <c r="G47" s="44">
        <f t="shared" si="0"/>
        <v>0</v>
      </c>
      <c r="H47" s="42">
        <v>2263</v>
      </c>
      <c r="I47" s="44">
        <f t="shared" si="1"/>
        <v>26024500</v>
      </c>
      <c r="J47" s="42">
        <f t="shared" si="16"/>
        <v>0</v>
      </c>
      <c r="K47" s="42">
        <f t="shared" si="17"/>
        <v>0</v>
      </c>
      <c r="L47" s="42" t="e">
        <f t="shared" si="18"/>
        <v>#DIV/0!</v>
      </c>
      <c r="M47" s="45">
        <f t="shared" si="19"/>
        <v>26024500</v>
      </c>
      <c r="N47" s="18">
        <f>D47*'SUMMARY 2'!$I$29*'SUMMARY 2'!$I$28</f>
        <v>0</v>
      </c>
      <c r="O47" s="41" t="s">
        <v>309</v>
      </c>
      <c r="P47" s="41" t="s">
        <v>151</v>
      </c>
      <c r="Q47" s="41" t="str">
        <f t="shared" si="20"/>
        <v xml:space="preserve"> DT HINO G 359</v>
      </c>
    </row>
    <row r="48" spans="2:17" x14ac:dyDescent="0.3">
      <c r="B48" s="41">
        <v>41</v>
      </c>
      <c r="C48" s="41" t="s">
        <v>263</v>
      </c>
      <c r="D48" s="42">
        <v>1664.7399999999998</v>
      </c>
      <c r="E48" s="42">
        <v>1800</v>
      </c>
      <c r="F48" s="49">
        <f>VLOOKUP(P48,'list rate unit'!$B$3:$K$40,10,FALSE)</f>
        <v>500000</v>
      </c>
      <c r="G48" s="44">
        <f t="shared" si="0"/>
        <v>105000000</v>
      </c>
      <c r="H48" s="42">
        <v>2800</v>
      </c>
      <c r="I48" s="44">
        <f t="shared" si="1"/>
        <v>32200000</v>
      </c>
      <c r="J48" s="42">
        <f t="shared" si="16"/>
        <v>1.6819443276427553</v>
      </c>
      <c r="K48" s="42">
        <f t="shared" si="17"/>
        <v>0.92485555555555543</v>
      </c>
      <c r="L48" s="42">
        <f t="shared" si="18"/>
        <v>1.5555555555555556</v>
      </c>
      <c r="M48" s="45">
        <f t="shared" si="19"/>
        <v>137200000</v>
      </c>
      <c r="N48" s="18">
        <f>D48*'SUMMARY 2'!$I$29*'SUMMARY 2'!$I$28</f>
        <v>259539624.95999995</v>
      </c>
      <c r="O48" s="41" t="s">
        <v>309</v>
      </c>
      <c r="P48" s="41" t="s">
        <v>151</v>
      </c>
      <c r="Q48" s="41" t="str">
        <f t="shared" si="20"/>
        <v xml:space="preserve"> DT HINO G 360</v>
      </c>
    </row>
    <row r="49" spans="2:17" x14ac:dyDescent="0.3">
      <c r="B49" s="41">
        <v>42</v>
      </c>
      <c r="C49" s="41" t="s">
        <v>264</v>
      </c>
      <c r="D49" s="42">
        <v>2853.5199999999995</v>
      </c>
      <c r="E49" s="42">
        <v>3200</v>
      </c>
      <c r="F49" s="49">
        <f>VLOOKUP(P49,'list rate unit'!$B$3:$K$40,10,FALSE)</f>
        <v>500000</v>
      </c>
      <c r="G49" s="44">
        <f t="shared" si="0"/>
        <v>105000000</v>
      </c>
      <c r="H49" s="42">
        <v>2350</v>
      </c>
      <c r="I49" s="44">
        <f t="shared" si="1"/>
        <v>27025000</v>
      </c>
      <c r="J49" s="42">
        <f t="shared" si="16"/>
        <v>0.82354425411421694</v>
      </c>
      <c r="K49" s="42">
        <f t="shared" si="17"/>
        <v>0.89172499999999988</v>
      </c>
      <c r="L49" s="42">
        <f t="shared" si="18"/>
        <v>0.734375</v>
      </c>
      <c r="M49" s="45">
        <f t="shared" si="19"/>
        <v>132025000</v>
      </c>
      <c r="N49" s="18">
        <f>D49*'SUMMARY 2'!$I$29*'SUMMARY 2'!$I$28</f>
        <v>444875182.07999992</v>
      </c>
      <c r="O49" s="41" t="s">
        <v>309</v>
      </c>
      <c r="P49" s="41" t="s">
        <v>151</v>
      </c>
      <c r="Q49" s="41" t="str">
        <f t="shared" si="20"/>
        <v xml:space="preserve"> DT HINO G 361</v>
      </c>
    </row>
    <row r="50" spans="2:17" x14ac:dyDescent="0.3">
      <c r="B50" s="41">
        <v>43</v>
      </c>
      <c r="C50" s="41" t="s">
        <v>265</v>
      </c>
      <c r="D50" s="42">
        <v>1618.5699999999997</v>
      </c>
      <c r="E50" s="42">
        <v>1750</v>
      </c>
      <c r="F50" s="49">
        <f>VLOOKUP(P50,'list rate unit'!$B$3:$K$40,10,FALSE)</f>
        <v>500000</v>
      </c>
      <c r="G50" s="44">
        <f t="shared" si="0"/>
        <v>105000000</v>
      </c>
      <c r="H50" s="42">
        <v>3273</v>
      </c>
      <c r="I50" s="44">
        <f t="shared" si="1"/>
        <v>37639500</v>
      </c>
      <c r="J50" s="42">
        <f t="shared" si="16"/>
        <v>2.0221553593604233</v>
      </c>
      <c r="K50" s="42">
        <f t="shared" si="17"/>
        <v>0.92489714285714264</v>
      </c>
      <c r="L50" s="42">
        <f t="shared" si="18"/>
        <v>1.8702857142857143</v>
      </c>
      <c r="M50" s="45">
        <f t="shared" si="19"/>
        <v>142639500</v>
      </c>
      <c r="N50" s="18">
        <f>D50*'SUMMARY 2'!$I$29*'SUMMARY 2'!$I$28</f>
        <v>252341537.27999994</v>
      </c>
      <c r="O50" s="41" t="s">
        <v>309</v>
      </c>
      <c r="P50" s="41" t="s">
        <v>151</v>
      </c>
      <c r="Q50" s="41" t="str">
        <f t="shared" si="20"/>
        <v xml:space="preserve"> DT HINO G 362</v>
      </c>
    </row>
    <row r="51" spans="2:17" x14ac:dyDescent="0.3">
      <c r="B51" s="41">
        <v>44</v>
      </c>
      <c r="C51" s="41" t="s">
        <v>266</v>
      </c>
      <c r="D51" s="42">
        <v>1733.3999999999999</v>
      </c>
      <c r="E51" s="42">
        <v>1950</v>
      </c>
      <c r="F51" s="49">
        <f>VLOOKUP(P51,'list rate unit'!$B$3:$K$40,10,FALSE)</f>
        <v>500000</v>
      </c>
      <c r="G51" s="44">
        <f t="shared" si="0"/>
        <v>105000000</v>
      </c>
      <c r="H51" s="42">
        <v>3116</v>
      </c>
      <c r="I51" s="44">
        <f t="shared" si="1"/>
        <v>35834000</v>
      </c>
      <c r="J51" s="42">
        <f t="shared" si="16"/>
        <v>1.7976231683396793</v>
      </c>
      <c r="K51" s="42">
        <f t="shared" si="17"/>
        <v>0.88892307692307682</v>
      </c>
      <c r="L51" s="42">
        <f t="shared" si="18"/>
        <v>1.597948717948718</v>
      </c>
      <c r="M51" s="45">
        <f t="shared" si="19"/>
        <v>140834000</v>
      </c>
      <c r="N51" s="18">
        <f>D51*'SUMMARY 2'!$I$29*'SUMMARY 2'!$I$28</f>
        <v>270243993.59999996</v>
      </c>
      <c r="O51" s="41" t="s">
        <v>309</v>
      </c>
      <c r="P51" s="41" t="s">
        <v>151</v>
      </c>
      <c r="Q51" s="41" t="str">
        <f t="shared" si="20"/>
        <v xml:space="preserve"> DT HINO G 363</v>
      </c>
    </row>
    <row r="52" spans="2:17" x14ac:dyDescent="0.3">
      <c r="B52" s="41">
        <v>45</v>
      </c>
      <c r="C52" s="41" t="s">
        <v>377</v>
      </c>
      <c r="D52" s="42">
        <v>4486.84</v>
      </c>
      <c r="E52" s="42">
        <v>5000</v>
      </c>
      <c r="F52" s="49">
        <f>VLOOKUP(P52,'list rate unit'!$B$3:$K$40,10,FALSE)</f>
        <v>500000</v>
      </c>
      <c r="G52" s="44">
        <f t="shared" si="0"/>
        <v>105000000</v>
      </c>
      <c r="H52" s="42">
        <v>3158</v>
      </c>
      <c r="I52" s="44">
        <f t="shared" si="1"/>
        <v>36317000</v>
      </c>
      <c r="J52" s="42">
        <f t="shared" si="16"/>
        <v>0.70383610737178059</v>
      </c>
      <c r="K52" s="42">
        <f t="shared" si="17"/>
        <v>0.89736800000000005</v>
      </c>
      <c r="L52" s="42">
        <f t="shared" si="18"/>
        <v>0.63160000000000005</v>
      </c>
      <c r="M52" s="45">
        <f t="shared" si="19"/>
        <v>141317000</v>
      </c>
      <c r="N52" s="18">
        <f>D52*'SUMMARY 2'!$I$29*'SUMMARY 2'!$I$28</f>
        <v>699516303.36000001</v>
      </c>
      <c r="O52" s="41" t="s">
        <v>309</v>
      </c>
      <c r="P52" s="41" t="s">
        <v>151</v>
      </c>
      <c r="Q52" s="41" t="str">
        <f t="shared" si="20"/>
        <v xml:space="preserve"> DT HINO G 366</v>
      </c>
    </row>
    <row r="53" spans="2:17" x14ac:dyDescent="0.3">
      <c r="B53" s="41">
        <v>46</v>
      </c>
      <c r="C53" s="41" t="s">
        <v>378</v>
      </c>
      <c r="D53" s="42">
        <v>6121.0300000000007</v>
      </c>
      <c r="E53" s="42">
        <v>6750</v>
      </c>
      <c r="F53" s="49">
        <f>VLOOKUP(P53,'list rate unit'!$B$3:$K$40,10,FALSE)</f>
        <v>500000</v>
      </c>
      <c r="G53" s="44">
        <f t="shared" si="0"/>
        <v>105000000</v>
      </c>
      <c r="H53" s="42">
        <v>4236</v>
      </c>
      <c r="I53" s="44">
        <f t="shared" si="1"/>
        <v>48714000</v>
      </c>
      <c r="J53" s="42">
        <f t="shared" si="16"/>
        <v>0.69204039189482813</v>
      </c>
      <c r="K53" s="42">
        <f t="shared" si="17"/>
        <v>0.90681925925925932</v>
      </c>
      <c r="L53" s="42">
        <f t="shared" si="18"/>
        <v>0.62755555555555553</v>
      </c>
      <c r="M53" s="45">
        <f t="shared" si="19"/>
        <v>153714000</v>
      </c>
      <c r="N53" s="18">
        <f>D53*'SUMMARY 2'!$I$29*'SUMMARY 2'!$I$28</f>
        <v>954293061.12000012</v>
      </c>
      <c r="O53" s="41" t="s">
        <v>309</v>
      </c>
      <c r="P53" s="41" t="s">
        <v>151</v>
      </c>
      <c r="Q53" s="41" t="str">
        <f t="shared" si="20"/>
        <v xml:space="preserve"> DT HINO G 367</v>
      </c>
    </row>
    <row r="54" spans="2:17" x14ac:dyDescent="0.3">
      <c r="B54" s="41">
        <v>47</v>
      </c>
      <c r="C54" s="41" t="s">
        <v>379</v>
      </c>
      <c r="D54" s="42">
        <v>6175.7699999999995</v>
      </c>
      <c r="E54" s="42">
        <v>6800</v>
      </c>
      <c r="F54" s="49">
        <f>VLOOKUP(P54,'list rate unit'!$B$3:$K$40,10,FALSE)</f>
        <v>500000</v>
      </c>
      <c r="G54" s="44">
        <f t="shared" si="0"/>
        <v>105000000</v>
      </c>
      <c r="H54" s="42">
        <v>4055</v>
      </c>
      <c r="I54" s="44">
        <f t="shared" si="1"/>
        <v>46632500</v>
      </c>
      <c r="J54" s="42">
        <f t="shared" si="16"/>
        <v>0.65659828652945307</v>
      </c>
      <c r="K54" s="42">
        <f t="shared" si="17"/>
        <v>0.90820147058823519</v>
      </c>
      <c r="L54" s="42">
        <f t="shared" si="18"/>
        <v>0.5963235294117647</v>
      </c>
      <c r="M54" s="45">
        <f t="shared" si="19"/>
        <v>151632500</v>
      </c>
      <c r="N54" s="18">
        <f>D54*'SUMMARY 2'!$I$29*'SUMMARY 2'!$I$28</f>
        <v>962827246.07999992</v>
      </c>
      <c r="O54" s="41" t="s">
        <v>309</v>
      </c>
      <c r="P54" s="41" t="s">
        <v>151</v>
      </c>
      <c r="Q54" s="41" t="str">
        <f t="shared" si="20"/>
        <v xml:space="preserve"> DT HINO G 368</v>
      </c>
    </row>
    <row r="55" spans="2:17" x14ac:dyDescent="0.3">
      <c r="B55" s="41">
        <v>48</v>
      </c>
      <c r="C55" s="41" t="s">
        <v>380</v>
      </c>
      <c r="D55" s="42">
        <v>3384.29</v>
      </c>
      <c r="E55" s="42">
        <v>3800</v>
      </c>
      <c r="F55" s="49">
        <f>VLOOKUP(P55,'list rate unit'!$B$3:$K$40,10,FALSE)</f>
        <v>500000</v>
      </c>
      <c r="G55" s="44">
        <f t="shared" si="0"/>
        <v>105000000</v>
      </c>
      <c r="H55" s="42">
        <v>2860</v>
      </c>
      <c r="I55" s="44">
        <f t="shared" si="1"/>
        <v>32890000</v>
      </c>
      <c r="J55" s="42">
        <f t="shared" si="16"/>
        <v>0.84508124303768295</v>
      </c>
      <c r="K55" s="42">
        <f t="shared" si="17"/>
        <v>0.89060263157894737</v>
      </c>
      <c r="L55" s="42">
        <f t="shared" si="18"/>
        <v>0.75263157894736843</v>
      </c>
      <c r="M55" s="45">
        <f t="shared" si="19"/>
        <v>137890000</v>
      </c>
      <c r="N55" s="18">
        <f>D55*'SUMMARY 2'!$I$29*'SUMMARY 2'!$I$28</f>
        <v>527624348.15999997</v>
      </c>
      <c r="O55" s="41" t="s">
        <v>309</v>
      </c>
      <c r="P55" s="41" t="s">
        <v>151</v>
      </c>
      <c r="Q55" s="41" t="str">
        <f t="shared" si="20"/>
        <v xml:space="preserve"> DT HINO G 369</v>
      </c>
    </row>
    <row r="56" spans="2:17" x14ac:dyDescent="0.3">
      <c r="B56" s="41">
        <v>49</v>
      </c>
      <c r="C56" s="41" t="s">
        <v>329</v>
      </c>
      <c r="D56" s="42">
        <v>5255.21</v>
      </c>
      <c r="E56" s="42">
        <v>5800</v>
      </c>
      <c r="F56" s="49">
        <f>VLOOKUP(P56,'list rate unit'!$B$3:$K$40,10,FALSE)</f>
        <v>500000</v>
      </c>
      <c r="G56" s="44">
        <f t="shared" ref="G56:G70" si="21">IF(D56=0,0,F56*$C$85)</f>
        <v>105000000</v>
      </c>
      <c r="H56" s="42">
        <v>3464</v>
      </c>
      <c r="I56" s="44">
        <f t="shared" ref="I56:I70" si="22">H56*$C$84</f>
        <v>39836000</v>
      </c>
      <c r="J56" s="42">
        <f t="shared" ref="J56:J70" si="23">IFERROR(H56/D56,0)</f>
        <v>0.6591553905552775</v>
      </c>
      <c r="K56" s="42">
        <f t="shared" ref="K56:K70" si="24">IFERROR(D56/E56,0)</f>
        <v>0.90607068965517246</v>
      </c>
      <c r="L56" s="42">
        <f t="shared" ref="L56:L70" si="25">H56/E56</f>
        <v>0.59724137931034482</v>
      </c>
      <c r="M56" s="45">
        <f t="shared" ref="M56:M70" si="26">G56+I56</f>
        <v>144836000</v>
      </c>
      <c r="N56" s="18">
        <f>D56*'SUMMARY 2'!$I$29*'SUMMARY 2'!$I$28</f>
        <v>819308259.84000003</v>
      </c>
      <c r="O56" s="41" t="s">
        <v>309</v>
      </c>
      <c r="P56" s="41" t="s">
        <v>151</v>
      </c>
      <c r="Q56" s="41" t="str">
        <f t="shared" ref="Q56:Q70" si="27">C56</f>
        <v xml:space="preserve"> DT HINO G 370</v>
      </c>
    </row>
    <row r="57" spans="2:17" x14ac:dyDescent="0.3">
      <c r="B57" s="41">
        <v>50</v>
      </c>
      <c r="C57" s="41" t="s">
        <v>330</v>
      </c>
      <c r="D57" s="42">
        <v>6364.17</v>
      </c>
      <c r="E57" s="42">
        <v>7150</v>
      </c>
      <c r="F57" s="49">
        <f>VLOOKUP(P57,'list rate unit'!$B$3:$K$40,10,FALSE)</f>
        <v>500000</v>
      </c>
      <c r="G57" s="44">
        <f t="shared" si="21"/>
        <v>105000000</v>
      </c>
      <c r="H57" s="42">
        <v>4391</v>
      </c>
      <c r="I57" s="44">
        <f t="shared" si="22"/>
        <v>50496500</v>
      </c>
      <c r="J57" s="42">
        <f t="shared" si="23"/>
        <v>0.68995642793954282</v>
      </c>
      <c r="K57" s="42">
        <f t="shared" si="24"/>
        <v>0.89009370629370632</v>
      </c>
      <c r="L57" s="42">
        <f t="shared" si="25"/>
        <v>0.61412587412587416</v>
      </c>
      <c r="M57" s="45">
        <f t="shared" si="26"/>
        <v>155496500</v>
      </c>
      <c r="N57" s="18">
        <f>D57*'SUMMARY 2'!$I$29*'SUMMARY 2'!$I$28</f>
        <v>992199559.68000007</v>
      </c>
      <c r="O57" s="41" t="s">
        <v>309</v>
      </c>
      <c r="P57" s="41" t="s">
        <v>151</v>
      </c>
      <c r="Q57" s="41" t="str">
        <f t="shared" si="27"/>
        <v xml:space="preserve"> DT HINO G 371</v>
      </c>
    </row>
    <row r="58" spans="2:17" x14ac:dyDescent="0.3">
      <c r="B58" s="41">
        <v>51</v>
      </c>
      <c r="C58" s="41" t="s">
        <v>411</v>
      </c>
      <c r="D58" s="42">
        <v>1249.55</v>
      </c>
      <c r="E58" s="42">
        <v>1350</v>
      </c>
      <c r="F58" s="49">
        <f>VLOOKUP(P58,'list rate unit'!$B$3:$K$40,10,FALSE)</f>
        <v>500000</v>
      </c>
      <c r="G58" s="44">
        <f t="shared" si="21"/>
        <v>105000000</v>
      </c>
      <c r="H58" s="42">
        <v>2029</v>
      </c>
      <c r="I58" s="44">
        <f t="shared" si="22"/>
        <v>23333500</v>
      </c>
      <c r="J58" s="42">
        <f t="shared" si="23"/>
        <v>1.6237845624424794</v>
      </c>
      <c r="K58" s="42">
        <f t="shared" si="24"/>
        <v>0.92559259259259252</v>
      </c>
      <c r="L58" s="42">
        <f t="shared" si="25"/>
        <v>1.5029629629629631</v>
      </c>
      <c r="M58" s="45">
        <f t="shared" si="26"/>
        <v>128333500</v>
      </c>
      <c r="N58" s="18">
        <f>D58*'SUMMARY 2'!$I$29*'SUMMARY 2'!$I$28</f>
        <v>194809843.19999999</v>
      </c>
      <c r="O58" s="41" t="s">
        <v>309</v>
      </c>
      <c r="P58" s="41" t="s">
        <v>151</v>
      </c>
      <c r="Q58" s="41" t="str">
        <f t="shared" si="27"/>
        <v xml:space="preserve"> DT HINO G 372</v>
      </c>
    </row>
    <row r="59" spans="2:17" x14ac:dyDescent="0.3">
      <c r="B59" s="41">
        <v>52</v>
      </c>
      <c r="C59" s="41" t="s">
        <v>331</v>
      </c>
      <c r="D59" s="42">
        <v>5155.1899999999996</v>
      </c>
      <c r="E59" s="42">
        <v>5650</v>
      </c>
      <c r="F59" s="49">
        <f>VLOOKUP(P59,'list rate unit'!$B$3:$K$40,10,FALSE)</f>
        <v>500000</v>
      </c>
      <c r="G59" s="44">
        <f t="shared" si="21"/>
        <v>105000000</v>
      </c>
      <c r="H59" s="42">
        <v>4241</v>
      </c>
      <c r="I59" s="44">
        <f t="shared" si="22"/>
        <v>48771500</v>
      </c>
      <c r="J59" s="42">
        <f t="shared" si="23"/>
        <v>0.82266608990163315</v>
      </c>
      <c r="K59" s="42">
        <f t="shared" si="24"/>
        <v>0.9124230088495574</v>
      </c>
      <c r="L59" s="42">
        <f t="shared" si="25"/>
        <v>0.75061946902654864</v>
      </c>
      <c r="M59" s="45">
        <f t="shared" si="26"/>
        <v>153771500</v>
      </c>
      <c r="N59" s="18">
        <f>D59*'SUMMARY 2'!$I$29*'SUMMARY 2'!$I$28</f>
        <v>803714741.75999999</v>
      </c>
      <c r="O59" s="41" t="s">
        <v>309</v>
      </c>
      <c r="P59" s="41" t="s">
        <v>151</v>
      </c>
      <c r="Q59" s="41" t="str">
        <f t="shared" si="27"/>
        <v xml:space="preserve"> DT HINO G 373</v>
      </c>
    </row>
    <row r="60" spans="2:17" x14ac:dyDescent="0.3">
      <c r="B60" s="41">
        <v>53</v>
      </c>
      <c r="C60" s="41" t="s">
        <v>332</v>
      </c>
      <c r="D60" s="42">
        <v>2643.31</v>
      </c>
      <c r="E60" s="42">
        <v>2850</v>
      </c>
      <c r="F60" s="49">
        <f>VLOOKUP(P60,'list rate unit'!$B$3:$K$40,10,FALSE)</f>
        <v>500000</v>
      </c>
      <c r="G60" s="44">
        <f t="shared" si="21"/>
        <v>105000000</v>
      </c>
      <c r="H60" s="42">
        <v>3052</v>
      </c>
      <c r="I60" s="44">
        <f t="shared" si="22"/>
        <v>35098000</v>
      </c>
      <c r="J60" s="42">
        <f t="shared" si="23"/>
        <v>1.1546129663187443</v>
      </c>
      <c r="K60" s="42">
        <f t="shared" si="24"/>
        <v>0.92747719298245612</v>
      </c>
      <c r="L60" s="42">
        <f t="shared" si="25"/>
        <v>1.0708771929824561</v>
      </c>
      <c r="M60" s="45">
        <f t="shared" si="26"/>
        <v>140098000</v>
      </c>
      <c r="N60" s="18">
        <f>D60*'SUMMARY 2'!$I$29*'SUMMARY 2'!$I$28</f>
        <v>412102602.24000001</v>
      </c>
      <c r="O60" s="41" t="s">
        <v>309</v>
      </c>
      <c r="P60" s="41" t="s">
        <v>151</v>
      </c>
      <c r="Q60" s="41" t="str">
        <f t="shared" si="27"/>
        <v xml:space="preserve"> DT HINO G 374</v>
      </c>
    </row>
    <row r="61" spans="2:17" x14ac:dyDescent="0.3">
      <c r="B61" s="41">
        <v>54</v>
      </c>
      <c r="C61" s="41" t="s">
        <v>333</v>
      </c>
      <c r="D61" s="42">
        <v>4467.4999999999991</v>
      </c>
      <c r="E61" s="42">
        <v>4900</v>
      </c>
      <c r="F61" s="49">
        <f>VLOOKUP(P61,'list rate unit'!$B$3:$K$40,10,FALSE)</f>
        <v>500000</v>
      </c>
      <c r="G61" s="44">
        <f t="shared" si="21"/>
        <v>105000000</v>
      </c>
      <c r="H61" s="42">
        <v>3611</v>
      </c>
      <c r="I61" s="44">
        <f t="shared" si="22"/>
        <v>41526500</v>
      </c>
      <c r="J61" s="42">
        <f t="shared" si="23"/>
        <v>0.80828203693340817</v>
      </c>
      <c r="K61" s="42">
        <f t="shared" si="24"/>
        <v>0.91173469387755079</v>
      </c>
      <c r="L61" s="42">
        <f t="shared" si="25"/>
        <v>0.73693877551020404</v>
      </c>
      <c r="M61" s="45">
        <f t="shared" si="26"/>
        <v>146526500</v>
      </c>
      <c r="N61" s="18">
        <f>D61*'SUMMARY 2'!$I$29*'SUMMARY 2'!$I$28</f>
        <v>696501119.99999988</v>
      </c>
      <c r="O61" s="41" t="s">
        <v>309</v>
      </c>
      <c r="P61" s="41" t="s">
        <v>151</v>
      </c>
      <c r="Q61" s="41" t="str">
        <f t="shared" si="27"/>
        <v xml:space="preserve"> DT HINO G 375</v>
      </c>
    </row>
    <row r="62" spans="2:17" x14ac:dyDescent="0.3">
      <c r="B62" s="41">
        <v>55</v>
      </c>
      <c r="C62" s="41" t="s">
        <v>334</v>
      </c>
      <c r="D62" s="42">
        <v>3884.9500000000003</v>
      </c>
      <c r="E62" s="42">
        <v>4300</v>
      </c>
      <c r="F62" s="49">
        <f>VLOOKUP(P62,'list rate unit'!$B$3:$K$40,10,FALSE)</f>
        <v>500000</v>
      </c>
      <c r="G62" s="44">
        <f t="shared" si="21"/>
        <v>105000000</v>
      </c>
      <c r="H62" s="42">
        <v>4664</v>
      </c>
      <c r="I62" s="44">
        <f t="shared" si="22"/>
        <v>53636000</v>
      </c>
      <c r="J62" s="42">
        <f t="shared" si="23"/>
        <v>1.2005302513545861</v>
      </c>
      <c r="K62" s="42">
        <f t="shared" si="24"/>
        <v>0.90347674418604662</v>
      </c>
      <c r="L62" s="42">
        <f t="shared" si="25"/>
        <v>1.0846511627906976</v>
      </c>
      <c r="M62" s="45">
        <f t="shared" si="26"/>
        <v>158636000</v>
      </c>
      <c r="N62" s="18">
        <f>D62*'SUMMARY 2'!$I$29*'SUMMARY 2'!$I$28</f>
        <v>605679244.80000007</v>
      </c>
      <c r="O62" s="41" t="s">
        <v>309</v>
      </c>
      <c r="P62" s="41" t="s">
        <v>151</v>
      </c>
      <c r="Q62" s="41" t="str">
        <f t="shared" si="27"/>
        <v xml:space="preserve"> DT HINO G 376</v>
      </c>
    </row>
    <row r="63" spans="2:17" x14ac:dyDescent="0.3">
      <c r="B63" s="41">
        <v>56</v>
      </c>
      <c r="C63" s="41" t="s">
        <v>335</v>
      </c>
      <c r="D63" s="42">
        <v>4050.6100000000006</v>
      </c>
      <c r="E63" s="42">
        <v>4500</v>
      </c>
      <c r="F63" s="49">
        <f>VLOOKUP(P63,'list rate unit'!$B$3:$K$40,10,FALSE)</f>
        <v>500000</v>
      </c>
      <c r="G63" s="44">
        <f t="shared" si="21"/>
        <v>105000000</v>
      </c>
      <c r="H63" s="42">
        <v>3907</v>
      </c>
      <c r="I63" s="44">
        <f t="shared" si="22"/>
        <v>44930500</v>
      </c>
      <c r="J63" s="42">
        <f t="shared" si="23"/>
        <v>0.96454608071376891</v>
      </c>
      <c r="K63" s="42">
        <f t="shared" si="24"/>
        <v>0.90013555555555569</v>
      </c>
      <c r="L63" s="42">
        <f t="shared" si="25"/>
        <v>0.86822222222222223</v>
      </c>
      <c r="M63" s="45">
        <f t="shared" si="26"/>
        <v>149930500</v>
      </c>
      <c r="N63" s="18">
        <f>D63*'SUMMARY 2'!$I$29*'SUMMARY 2'!$I$28</f>
        <v>631506301.44000006</v>
      </c>
      <c r="O63" s="41" t="s">
        <v>309</v>
      </c>
      <c r="P63" s="41" t="s">
        <v>151</v>
      </c>
      <c r="Q63" s="41" t="str">
        <f t="shared" si="27"/>
        <v xml:space="preserve"> DT HINO G 377</v>
      </c>
    </row>
    <row r="64" spans="2:17" x14ac:dyDescent="0.3">
      <c r="B64" s="41">
        <v>57</v>
      </c>
      <c r="C64" s="41" t="s">
        <v>381</v>
      </c>
      <c r="D64" s="42">
        <v>3359.9300000000003</v>
      </c>
      <c r="E64" s="42">
        <v>3650</v>
      </c>
      <c r="F64" s="49">
        <f>VLOOKUP(P64,'list rate unit'!$B$3:$K$40,10,FALSE)</f>
        <v>500000</v>
      </c>
      <c r="G64" s="44">
        <f t="shared" si="21"/>
        <v>105000000</v>
      </c>
      <c r="H64" s="42">
        <v>2611</v>
      </c>
      <c r="I64" s="44">
        <f t="shared" si="22"/>
        <v>30026500</v>
      </c>
      <c r="J64" s="42">
        <f t="shared" si="23"/>
        <v>0.77709952290672712</v>
      </c>
      <c r="K64" s="42">
        <f t="shared" si="24"/>
        <v>0.92052876712328779</v>
      </c>
      <c r="L64" s="42">
        <f t="shared" si="25"/>
        <v>0.71534246575342464</v>
      </c>
      <c r="M64" s="45">
        <f t="shared" si="26"/>
        <v>135026500</v>
      </c>
      <c r="N64" s="18">
        <f>D64*'SUMMARY 2'!$I$29*'SUMMARY 2'!$I$28</f>
        <v>523826526.71999997</v>
      </c>
      <c r="O64" s="41" t="s">
        <v>309</v>
      </c>
      <c r="P64" s="41" t="s">
        <v>151</v>
      </c>
      <c r="Q64" s="41" t="str">
        <f t="shared" si="27"/>
        <v xml:space="preserve"> DT HINO G 378</v>
      </c>
    </row>
    <row r="65" spans="2:17" x14ac:dyDescent="0.3">
      <c r="B65" s="41">
        <v>58</v>
      </c>
      <c r="C65" s="41" t="s">
        <v>412</v>
      </c>
      <c r="D65" s="42">
        <v>2383.62</v>
      </c>
      <c r="E65" s="42">
        <v>2600</v>
      </c>
      <c r="F65" s="49">
        <f>VLOOKUP(P65,'list rate unit'!$B$3:$K$40,10,FALSE)</f>
        <v>500000</v>
      </c>
      <c r="G65" s="44">
        <f t="shared" si="21"/>
        <v>105000000</v>
      </c>
      <c r="H65" s="42">
        <v>2738</v>
      </c>
      <c r="I65" s="44">
        <f t="shared" si="22"/>
        <v>31487000</v>
      </c>
      <c r="J65" s="42">
        <f t="shared" si="23"/>
        <v>1.1486730267408396</v>
      </c>
      <c r="K65" s="42">
        <f t="shared" si="24"/>
        <v>0.91677692307692304</v>
      </c>
      <c r="L65" s="42">
        <f t="shared" si="25"/>
        <v>1.053076923076923</v>
      </c>
      <c r="M65" s="45">
        <f t="shared" si="26"/>
        <v>136487000</v>
      </c>
      <c r="N65" s="18">
        <f>D65*'SUMMARY 2'!$I$29*'SUMMARY 2'!$I$28</f>
        <v>371615892.47999996</v>
      </c>
      <c r="O65" s="41" t="s">
        <v>309</v>
      </c>
      <c r="P65" s="41" t="s">
        <v>151</v>
      </c>
      <c r="Q65" s="41" t="str">
        <f t="shared" si="27"/>
        <v xml:space="preserve"> DT HINO G 379</v>
      </c>
    </row>
    <row r="66" spans="2:17" x14ac:dyDescent="0.3">
      <c r="B66" s="41">
        <v>59</v>
      </c>
      <c r="C66" s="41" t="s">
        <v>382</v>
      </c>
      <c r="D66" s="42">
        <v>2918.82</v>
      </c>
      <c r="E66" s="42">
        <v>3250</v>
      </c>
      <c r="F66" s="49">
        <f>VLOOKUP(P66,'list rate unit'!$B$3:$K$40,10,FALSE)</f>
        <v>500000</v>
      </c>
      <c r="G66" s="44">
        <f t="shared" si="21"/>
        <v>105000000</v>
      </c>
      <c r="H66" s="42">
        <v>1670</v>
      </c>
      <c r="I66" s="44">
        <f t="shared" si="22"/>
        <v>19205000</v>
      </c>
      <c r="J66" s="42">
        <f t="shared" si="23"/>
        <v>0.5721490191241666</v>
      </c>
      <c r="K66" s="42">
        <f t="shared" si="24"/>
        <v>0.89809846153846162</v>
      </c>
      <c r="L66" s="42">
        <f t="shared" si="25"/>
        <v>0.51384615384615384</v>
      </c>
      <c r="M66" s="45">
        <f t="shared" si="26"/>
        <v>124205000</v>
      </c>
      <c r="N66" s="18">
        <f>D66*'SUMMARY 2'!$I$29*'SUMMARY 2'!$I$28</f>
        <v>455055713.28000003</v>
      </c>
      <c r="O66" s="41" t="s">
        <v>309</v>
      </c>
      <c r="P66" s="41" t="s">
        <v>151</v>
      </c>
      <c r="Q66" s="41" t="str">
        <f t="shared" si="27"/>
        <v xml:space="preserve"> DT HINO G 380</v>
      </c>
    </row>
    <row r="67" spans="2:17" x14ac:dyDescent="0.3">
      <c r="B67" s="41">
        <v>60</v>
      </c>
      <c r="C67" s="41" t="s">
        <v>383</v>
      </c>
      <c r="D67" s="42">
        <v>3206.64</v>
      </c>
      <c r="E67" s="42">
        <v>3550</v>
      </c>
      <c r="F67" s="49">
        <f>VLOOKUP(P67,'list rate unit'!$B$3:$K$40,10,FALSE)</f>
        <v>500000</v>
      </c>
      <c r="G67" s="44">
        <f t="shared" si="21"/>
        <v>105000000</v>
      </c>
      <c r="H67" s="42">
        <v>948</v>
      </c>
      <c r="I67" s="44">
        <f t="shared" si="22"/>
        <v>10902000</v>
      </c>
      <c r="J67" s="42">
        <f t="shared" si="23"/>
        <v>0.29563655415013845</v>
      </c>
      <c r="K67" s="42">
        <f t="shared" si="24"/>
        <v>0.90327887323943656</v>
      </c>
      <c r="L67" s="42">
        <f t="shared" si="25"/>
        <v>0.26704225352112676</v>
      </c>
      <c r="M67" s="45">
        <f t="shared" si="26"/>
        <v>115902000</v>
      </c>
      <c r="N67" s="18">
        <f>D67*'SUMMARY 2'!$I$29*'SUMMARY 2'!$I$28</f>
        <v>499928002.56</v>
      </c>
      <c r="O67" s="41" t="s">
        <v>309</v>
      </c>
      <c r="P67" s="41" t="s">
        <v>151</v>
      </c>
      <c r="Q67" s="41" t="str">
        <f t="shared" si="27"/>
        <v xml:space="preserve"> DT HINO G 381</v>
      </c>
    </row>
    <row r="68" spans="2:17" x14ac:dyDescent="0.3">
      <c r="B68" s="41">
        <v>61</v>
      </c>
      <c r="C68" s="41" t="s">
        <v>384</v>
      </c>
      <c r="D68" s="42">
        <v>2843.85</v>
      </c>
      <c r="E68" s="42">
        <v>3150</v>
      </c>
      <c r="F68" s="49">
        <f>VLOOKUP(P68,'list rate unit'!$B$3:$K$40,10,FALSE)</f>
        <v>500000</v>
      </c>
      <c r="G68" s="44">
        <f t="shared" si="21"/>
        <v>105000000</v>
      </c>
      <c r="H68" s="42">
        <v>2243</v>
      </c>
      <c r="I68" s="44">
        <f t="shared" si="22"/>
        <v>25794500</v>
      </c>
      <c r="J68" s="42">
        <f t="shared" si="23"/>
        <v>0.78871951755542669</v>
      </c>
      <c r="K68" s="42">
        <f t="shared" si="24"/>
        <v>0.90280952380952373</v>
      </c>
      <c r="L68" s="42">
        <f t="shared" si="25"/>
        <v>0.71206349206349207</v>
      </c>
      <c r="M68" s="45">
        <f t="shared" si="26"/>
        <v>130794500</v>
      </c>
      <c r="N68" s="18">
        <f>D68*'SUMMARY 2'!$I$29*'SUMMARY 2'!$I$28</f>
        <v>443367590.39999998</v>
      </c>
      <c r="O68" s="41" t="s">
        <v>309</v>
      </c>
      <c r="P68" s="41" t="s">
        <v>151</v>
      </c>
      <c r="Q68" s="41" t="str">
        <f t="shared" si="27"/>
        <v xml:space="preserve"> DT HINO G 382</v>
      </c>
    </row>
    <row r="69" spans="2:17" x14ac:dyDescent="0.3">
      <c r="B69" s="41">
        <v>62</v>
      </c>
      <c r="C69" s="41" t="s">
        <v>385</v>
      </c>
      <c r="D69" s="42">
        <v>3930.68</v>
      </c>
      <c r="E69" s="42">
        <v>4300</v>
      </c>
      <c r="F69" s="49">
        <f>VLOOKUP(P69,'list rate unit'!$B$3:$K$40,10,FALSE)</f>
        <v>500000</v>
      </c>
      <c r="G69" s="44">
        <f t="shared" si="21"/>
        <v>105000000</v>
      </c>
      <c r="H69" s="42">
        <v>2737</v>
      </c>
      <c r="I69" s="44">
        <f t="shared" si="22"/>
        <v>31475500</v>
      </c>
      <c r="J69" s="42">
        <f t="shared" si="23"/>
        <v>0.69631717667172099</v>
      </c>
      <c r="K69" s="42">
        <f t="shared" si="24"/>
        <v>0.91411162790697675</v>
      </c>
      <c r="L69" s="42">
        <f t="shared" si="25"/>
        <v>0.6365116279069768</v>
      </c>
      <c r="M69" s="45">
        <f t="shared" si="26"/>
        <v>136475500</v>
      </c>
      <c r="N69" s="18">
        <f>D69*'SUMMARY 2'!$I$29*'SUMMARY 2'!$I$28</f>
        <v>612808734.72000003</v>
      </c>
      <c r="O69" s="41" t="s">
        <v>309</v>
      </c>
      <c r="P69" s="41" t="s">
        <v>151</v>
      </c>
      <c r="Q69" s="41" t="str">
        <f t="shared" si="27"/>
        <v xml:space="preserve"> DT HINO G 383</v>
      </c>
    </row>
    <row r="70" spans="2:17" x14ac:dyDescent="0.3">
      <c r="B70" s="41">
        <v>63</v>
      </c>
      <c r="C70" s="41" t="s">
        <v>386</v>
      </c>
      <c r="D70" s="42">
        <v>4466.6899999999996</v>
      </c>
      <c r="E70" s="42">
        <v>4850</v>
      </c>
      <c r="F70" s="49">
        <f>VLOOKUP(P70,'list rate unit'!$B$3:$K$40,10,FALSE)</f>
        <v>500000</v>
      </c>
      <c r="G70" s="44">
        <f t="shared" si="21"/>
        <v>105000000</v>
      </c>
      <c r="H70" s="42">
        <v>4043</v>
      </c>
      <c r="I70" s="44">
        <f t="shared" si="22"/>
        <v>46494500</v>
      </c>
      <c r="J70" s="42">
        <f t="shared" si="23"/>
        <v>0.90514452536441981</v>
      </c>
      <c r="K70" s="42">
        <f t="shared" si="24"/>
        <v>0.9209670103092783</v>
      </c>
      <c r="L70" s="42">
        <f t="shared" si="25"/>
        <v>0.83360824742268036</v>
      </c>
      <c r="M70" s="45">
        <f t="shared" si="26"/>
        <v>151494500</v>
      </c>
      <c r="N70" s="18">
        <f>D70*'SUMMARY 2'!$I$29*'SUMMARY 2'!$I$28</f>
        <v>696374837.75999999</v>
      </c>
      <c r="O70" s="41" t="s">
        <v>309</v>
      </c>
      <c r="P70" s="41" t="s">
        <v>151</v>
      </c>
      <c r="Q70" s="41" t="str">
        <f t="shared" si="27"/>
        <v xml:space="preserve"> DT HINO G 385</v>
      </c>
    </row>
    <row r="71" spans="2:17" x14ac:dyDescent="0.3">
      <c r="B71" s="41">
        <v>64</v>
      </c>
      <c r="C71" s="41" t="s">
        <v>387</v>
      </c>
      <c r="D71" s="42">
        <v>5211.55</v>
      </c>
      <c r="E71" s="42">
        <v>5700</v>
      </c>
      <c r="F71" s="49">
        <f>VLOOKUP(P71,'list rate unit'!$B$3:$K$40,10,FALSE)</f>
        <v>500000</v>
      </c>
      <c r="G71" s="44">
        <f t="shared" ref="G71:G78" si="28">IF(D71=0,0,F71*$C$85)</f>
        <v>105000000</v>
      </c>
      <c r="H71" s="42">
        <v>4901</v>
      </c>
      <c r="I71" s="44">
        <f t="shared" ref="I71:I78" si="29">H71*$C$84</f>
        <v>56361500</v>
      </c>
      <c r="J71" s="42">
        <f t="shared" si="16"/>
        <v>0.9404112020416191</v>
      </c>
      <c r="K71" s="42">
        <f t="shared" si="17"/>
        <v>0.91430701754385968</v>
      </c>
      <c r="L71" s="42">
        <f t="shared" si="18"/>
        <v>0.85982456140350882</v>
      </c>
      <c r="M71" s="45">
        <f t="shared" si="19"/>
        <v>161361500</v>
      </c>
      <c r="N71" s="18">
        <f>D71*'SUMMARY 2'!$I$29*'SUMMARY 2'!$I$28</f>
        <v>812501491.20000005</v>
      </c>
      <c r="O71" s="41" t="s">
        <v>309</v>
      </c>
      <c r="P71" s="41" t="s">
        <v>151</v>
      </c>
      <c r="Q71" s="41" t="str">
        <f t="shared" si="20"/>
        <v xml:space="preserve"> DT HINO G 386</v>
      </c>
    </row>
    <row r="72" spans="2:17" x14ac:dyDescent="0.3">
      <c r="B72" s="41">
        <v>65</v>
      </c>
      <c r="C72" s="41" t="s">
        <v>388</v>
      </c>
      <c r="D72" s="42">
        <v>5015.91</v>
      </c>
      <c r="E72" s="42">
        <v>5150</v>
      </c>
      <c r="F72" s="49">
        <f>VLOOKUP(P72,'list rate unit'!$B$3:$K$40,10,FALSE)</f>
        <v>500000</v>
      </c>
      <c r="G72" s="44">
        <f t="shared" si="28"/>
        <v>105000000</v>
      </c>
      <c r="H72" s="42">
        <v>4471</v>
      </c>
      <c r="I72" s="44">
        <f t="shared" si="29"/>
        <v>51416500</v>
      </c>
      <c r="J72" s="42">
        <f t="shared" si="16"/>
        <v>0.89136368076779693</v>
      </c>
      <c r="K72" s="42">
        <f t="shared" si="17"/>
        <v>0.97396310679611653</v>
      </c>
      <c r="L72" s="42">
        <f t="shared" si="18"/>
        <v>0.86815533980582527</v>
      </c>
      <c r="M72" s="45">
        <f t="shared" si="19"/>
        <v>156416500</v>
      </c>
      <c r="N72" s="18">
        <f>D72*'SUMMARY 2'!$I$29*'SUMMARY 2'!$I$28</f>
        <v>782000432.63999999</v>
      </c>
      <c r="O72" s="41" t="s">
        <v>309</v>
      </c>
      <c r="P72" s="41" t="s">
        <v>151</v>
      </c>
      <c r="Q72" s="41" t="str">
        <f t="shared" si="20"/>
        <v xml:space="preserve"> DT HINO G 387</v>
      </c>
    </row>
    <row r="73" spans="2:17" x14ac:dyDescent="0.3">
      <c r="B73" s="41">
        <v>66</v>
      </c>
      <c r="C73" s="41" t="s">
        <v>389</v>
      </c>
      <c r="D73" s="42">
        <v>5701.45</v>
      </c>
      <c r="E73" s="42">
        <v>6150</v>
      </c>
      <c r="F73" s="49">
        <f>VLOOKUP(P73,'list rate unit'!$B$3:$K$40,10,FALSE)</f>
        <v>500000</v>
      </c>
      <c r="G73" s="44">
        <f t="shared" si="28"/>
        <v>105000000</v>
      </c>
      <c r="H73" s="42">
        <v>4133</v>
      </c>
      <c r="I73" s="44">
        <f t="shared" si="29"/>
        <v>47529500</v>
      </c>
      <c r="J73" s="42">
        <f t="shared" si="16"/>
        <v>0.72490331406922803</v>
      </c>
      <c r="K73" s="42">
        <f t="shared" si="17"/>
        <v>0.92706504065040651</v>
      </c>
      <c r="L73" s="42">
        <f t="shared" si="18"/>
        <v>0.67203252032520322</v>
      </c>
      <c r="M73" s="45">
        <f t="shared" si="19"/>
        <v>152529500</v>
      </c>
      <c r="N73" s="18">
        <f>D73*'SUMMARY 2'!$I$29*'SUMMARY 2'!$I$28</f>
        <v>888878860.79999995</v>
      </c>
      <c r="O73" s="41" t="s">
        <v>309</v>
      </c>
      <c r="P73" s="41" t="s">
        <v>151</v>
      </c>
      <c r="Q73" s="41" t="str">
        <f t="shared" si="20"/>
        <v xml:space="preserve"> DT HINO G 388</v>
      </c>
    </row>
    <row r="74" spans="2:17" x14ac:dyDescent="0.3">
      <c r="B74" s="41">
        <v>67</v>
      </c>
      <c r="C74" s="41" t="s">
        <v>390</v>
      </c>
      <c r="D74" s="42">
        <v>6503.8499999999995</v>
      </c>
      <c r="E74" s="42">
        <v>7100</v>
      </c>
      <c r="F74" s="49">
        <f>VLOOKUP(P74,'list rate unit'!$B$3:$K$40,10,FALSE)</f>
        <v>500000</v>
      </c>
      <c r="G74" s="44">
        <f t="shared" si="28"/>
        <v>105000000</v>
      </c>
      <c r="H74" s="42">
        <v>4451</v>
      </c>
      <c r="I74" s="44">
        <f t="shared" si="29"/>
        <v>51186500</v>
      </c>
      <c r="J74" s="42">
        <f t="shared" si="16"/>
        <v>0.68436387678067612</v>
      </c>
      <c r="K74" s="42">
        <f t="shared" si="17"/>
        <v>0.91603521126760556</v>
      </c>
      <c r="L74" s="42">
        <f t="shared" si="18"/>
        <v>0.62690140845070419</v>
      </c>
      <c r="M74" s="45">
        <f t="shared" si="19"/>
        <v>156186500</v>
      </c>
      <c r="N74" s="18">
        <f>D74*'SUMMARY 2'!$I$29*'SUMMARY 2'!$I$28</f>
        <v>1013976230.3999999</v>
      </c>
      <c r="O74" s="41" t="s">
        <v>309</v>
      </c>
      <c r="P74" s="41" t="s">
        <v>151</v>
      </c>
      <c r="Q74" s="41" t="str">
        <f t="shared" si="20"/>
        <v xml:space="preserve"> DT HINO G 389</v>
      </c>
    </row>
    <row r="75" spans="2:17" x14ac:dyDescent="0.3">
      <c r="B75" s="41">
        <v>68</v>
      </c>
      <c r="C75" s="41" t="s">
        <v>391</v>
      </c>
      <c r="D75" s="42">
        <v>5235.7600000000011</v>
      </c>
      <c r="E75" s="42">
        <v>5700</v>
      </c>
      <c r="F75" s="49">
        <f>VLOOKUP(P75,'list rate unit'!$B$3:$K$40,10,FALSE)</f>
        <v>500000</v>
      </c>
      <c r="G75" s="44">
        <f t="shared" si="28"/>
        <v>105000000</v>
      </c>
      <c r="H75" s="42">
        <v>3741</v>
      </c>
      <c r="I75" s="44">
        <f t="shared" si="29"/>
        <v>43021500</v>
      </c>
      <c r="J75" s="42">
        <f t="shared" si="16"/>
        <v>0.71450945039497593</v>
      </c>
      <c r="K75" s="42">
        <f t="shared" si="17"/>
        <v>0.91855438596491246</v>
      </c>
      <c r="L75" s="42">
        <f t="shared" si="18"/>
        <v>0.65631578947368419</v>
      </c>
      <c r="M75" s="45">
        <f t="shared" si="19"/>
        <v>148021500</v>
      </c>
      <c r="N75" s="18">
        <f>D75*'SUMMARY 2'!$I$29*'SUMMARY 2'!$I$28</f>
        <v>816275927.0400002</v>
      </c>
      <c r="O75" s="41" t="s">
        <v>309</v>
      </c>
      <c r="P75" s="41" t="s">
        <v>151</v>
      </c>
      <c r="Q75" s="41" t="str">
        <f t="shared" si="20"/>
        <v xml:space="preserve"> DT HINO G 390</v>
      </c>
    </row>
    <row r="76" spans="2:17" x14ac:dyDescent="0.3">
      <c r="B76" s="41">
        <v>69</v>
      </c>
      <c r="C76" s="41" t="s">
        <v>392</v>
      </c>
      <c r="D76" s="42">
        <v>4228.59</v>
      </c>
      <c r="E76" s="42">
        <v>4600</v>
      </c>
      <c r="F76" s="49">
        <f>VLOOKUP(P76,'list rate unit'!$B$3:$K$40,10,FALSE)</f>
        <v>500000</v>
      </c>
      <c r="G76" s="44">
        <f t="shared" si="28"/>
        <v>105000000</v>
      </c>
      <c r="H76" s="42">
        <v>4242</v>
      </c>
      <c r="I76" s="44">
        <f t="shared" si="29"/>
        <v>48783000</v>
      </c>
      <c r="J76" s="42">
        <f t="shared" si="16"/>
        <v>1.0031712698559094</v>
      </c>
      <c r="K76" s="42">
        <f t="shared" si="17"/>
        <v>0.919258695652174</v>
      </c>
      <c r="L76" s="42">
        <f t="shared" si="18"/>
        <v>0.92217391304347829</v>
      </c>
      <c r="M76" s="45">
        <f t="shared" si="19"/>
        <v>153783000</v>
      </c>
      <c r="N76" s="18">
        <f>D76*'SUMMARY 2'!$I$29*'SUMMARY 2'!$I$28</f>
        <v>659254095.36000001</v>
      </c>
      <c r="O76" s="41" t="s">
        <v>309</v>
      </c>
      <c r="P76" s="41" t="s">
        <v>151</v>
      </c>
      <c r="Q76" s="41" t="str">
        <f t="shared" si="20"/>
        <v xml:space="preserve"> DT HINO G 391</v>
      </c>
    </row>
    <row r="77" spans="2:17" x14ac:dyDescent="0.3">
      <c r="B77" s="41">
        <v>70</v>
      </c>
      <c r="C77" s="41" t="s">
        <v>393</v>
      </c>
      <c r="D77" s="42">
        <v>5740.52</v>
      </c>
      <c r="E77" s="42">
        <v>6350</v>
      </c>
      <c r="F77" s="49">
        <f>VLOOKUP(P77,'list rate unit'!$B$3:$K$40,10,FALSE)</f>
        <v>500000</v>
      </c>
      <c r="G77" s="44">
        <f t="shared" si="28"/>
        <v>105000000</v>
      </c>
      <c r="H77" s="42">
        <v>4202</v>
      </c>
      <c r="I77" s="44">
        <f t="shared" si="29"/>
        <v>48323000</v>
      </c>
      <c r="J77" s="42">
        <f t="shared" si="16"/>
        <v>0.73198943649704207</v>
      </c>
      <c r="K77" s="42">
        <f t="shared" si="17"/>
        <v>0.9040188976377953</v>
      </c>
      <c r="L77" s="42">
        <f t="shared" si="18"/>
        <v>0.66173228346456692</v>
      </c>
      <c r="M77" s="45">
        <f t="shared" si="19"/>
        <v>153323000</v>
      </c>
      <c r="N77" s="18">
        <f>D77*'SUMMARY 2'!$I$29*'SUMMARY 2'!$I$28</f>
        <v>894970030.08000004</v>
      </c>
      <c r="O77" s="41" t="s">
        <v>309</v>
      </c>
      <c r="P77" s="41" t="s">
        <v>151</v>
      </c>
      <c r="Q77" s="41" t="str">
        <f t="shared" si="20"/>
        <v xml:space="preserve"> DT HINO G 392</v>
      </c>
    </row>
    <row r="78" spans="2:17" x14ac:dyDescent="0.3">
      <c r="B78" s="41">
        <v>71</v>
      </c>
      <c r="C78" s="41" t="s">
        <v>394</v>
      </c>
      <c r="D78" s="42">
        <v>4082.37</v>
      </c>
      <c r="E78" s="42">
        <v>4500</v>
      </c>
      <c r="F78" s="49">
        <f>VLOOKUP(P78,'list rate unit'!$B$3:$K$40,10,FALSE)</f>
        <v>500000</v>
      </c>
      <c r="G78" s="44">
        <f t="shared" si="28"/>
        <v>105000000</v>
      </c>
      <c r="H78" s="42">
        <v>3992</v>
      </c>
      <c r="I78" s="44">
        <f t="shared" si="29"/>
        <v>45908000</v>
      </c>
      <c r="J78" s="42">
        <f t="shared" si="16"/>
        <v>0.97786334898600569</v>
      </c>
      <c r="K78" s="42">
        <f t="shared" si="17"/>
        <v>0.9071933333333333</v>
      </c>
      <c r="L78" s="42">
        <f t="shared" si="18"/>
        <v>0.88711111111111107</v>
      </c>
      <c r="M78" s="45">
        <f t="shared" si="19"/>
        <v>150908000</v>
      </c>
      <c r="N78" s="18">
        <f>D78*'SUMMARY 2'!$I$29*'SUMMARY 2'!$I$28</f>
        <v>636457812.48000002</v>
      </c>
      <c r="O78" s="41" t="s">
        <v>309</v>
      </c>
      <c r="P78" s="41" t="s">
        <v>151</v>
      </c>
      <c r="Q78" s="41" t="str">
        <f t="shared" si="20"/>
        <v xml:space="preserve"> DT HINO G 393</v>
      </c>
    </row>
    <row r="79" spans="2:17" x14ac:dyDescent="0.3">
      <c r="D79" s="18"/>
      <c r="E79" s="18"/>
      <c r="H79" s="18"/>
      <c r="I79" s="30"/>
      <c r="J79" s="18"/>
      <c r="K79" s="18"/>
      <c r="L79" s="18"/>
      <c r="M79" s="33"/>
      <c r="N79" s="18"/>
    </row>
    <row r="80" spans="2:17" ht="15.75" customHeight="1" x14ac:dyDescent="0.3">
      <c r="B80" s="200" t="s">
        <v>21</v>
      </c>
      <c r="C80" s="200"/>
      <c r="D80" s="46">
        <f>SUM(D8:D79)</f>
        <v>152743.09</v>
      </c>
      <c r="E80" s="46">
        <f>SUM(E8:E79)</f>
        <v>169650</v>
      </c>
      <c r="F80" s="50"/>
      <c r="G80" s="51">
        <f>SUM(G8:G79)</f>
        <v>5040000000</v>
      </c>
      <c r="H80" s="46">
        <f>SUM(H8:H79)</f>
        <v>180517</v>
      </c>
      <c r="I80" s="47">
        <f>SUM(I8:I79)</f>
        <v>2075945500</v>
      </c>
      <c r="J80" s="46">
        <f>IFERROR(H80/D80,0)</f>
        <v>1.181834150402483</v>
      </c>
      <c r="K80" s="46">
        <f>IFERROR(D80/E80,0)</f>
        <v>0.90034241084585909</v>
      </c>
      <c r="L80" s="46">
        <f>IFERROR(H80/E80,0)</f>
        <v>1.0640554081933393</v>
      </c>
      <c r="M80" s="48">
        <f>SUM(M8:M79)</f>
        <v>7115945500</v>
      </c>
      <c r="N80" s="17">
        <f>SUM(N8:N78)</f>
        <v>23813258703.360001</v>
      </c>
    </row>
    <row r="82" spans="2:14" x14ac:dyDescent="0.3">
      <c r="B82" s="28"/>
      <c r="C82" s="15" t="s">
        <v>58</v>
      </c>
      <c r="L82" s="18"/>
      <c r="M82" s="18"/>
      <c r="N82" s="18"/>
    </row>
    <row r="83" spans="2:14" x14ac:dyDescent="0.3">
      <c r="B83" s="35" t="s">
        <v>34</v>
      </c>
      <c r="C83" s="29">
        <f>'REPORT unit OB'!C42</f>
        <v>14848</v>
      </c>
      <c r="D83" s="30"/>
    </row>
    <row r="84" spans="2:14" x14ac:dyDescent="0.3">
      <c r="B84" s="35" t="s">
        <v>35</v>
      </c>
      <c r="C84" s="29">
        <f>'SUMMARY 2'!I13</f>
        <v>11500</v>
      </c>
      <c r="D84" s="30"/>
    </row>
    <row r="85" spans="2:14" x14ac:dyDescent="0.3">
      <c r="B85" s="35" t="s">
        <v>50</v>
      </c>
      <c r="C85" s="34">
        <v>210</v>
      </c>
      <c r="D85" s="29" t="s">
        <v>51</v>
      </c>
    </row>
    <row r="86" spans="2:14" x14ac:dyDescent="0.3">
      <c r="D86" s="18"/>
    </row>
    <row r="89" spans="2:14" x14ac:dyDescent="0.3">
      <c r="D89" s="18"/>
    </row>
    <row r="91" spans="2:14" x14ac:dyDescent="0.3">
      <c r="E91" s="18"/>
    </row>
    <row r="92" spans="2:14" x14ac:dyDescent="0.3">
      <c r="E92" s="18"/>
    </row>
    <row r="93" spans="2:14" x14ac:dyDescent="0.3">
      <c r="E93" s="18"/>
    </row>
    <row r="94" spans="2:14" x14ac:dyDescent="0.3">
      <c r="E94" s="18"/>
    </row>
    <row r="95" spans="2:14" x14ac:dyDescent="0.3">
      <c r="E95" s="18"/>
    </row>
    <row r="96" spans="2:14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  <row r="134" spans="5:5" x14ac:dyDescent="0.3">
      <c r="E134" s="18"/>
    </row>
    <row r="135" spans="5:5" x14ac:dyDescent="0.3">
      <c r="E135" s="18"/>
    </row>
    <row r="136" spans="5:5" x14ac:dyDescent="0.3">
      <c r="E136" s="18"/>
    </row>
    <row r="137" spans="5:5" x14ac:dyDescent="0.3">
      <c r="E137" s="18"/>
    </row>
    <row r="138" spans="5:5" x14ac:dyDescent="0.3">
      <c r="E138" s="18"/>
    </row>
    <row r="139" spans="5:5" x14ac:dyDescent="0.3">
      <c r="E139" s="18"/>
    </row>
    <row r="140" spans="5:5" x14ac:dyDescent="0.3">
      <c r="E140" s="18"/>
    </row>
    <row r="141" spans="5:5" x14ac:dyDescent="0.3">
      <c r="E141" s="18"/>
    </row>
    <row r="142" spans="5:5" x14ac:dyDescent="0.3">
      <c r="E142" s="18"/>
    </row>
    <row r="143" spans="5:5" x14ac:dyDescent="0.3">
      <c r="E143" s="18"/>
    </row>
    <row r="144" spans="5:5" x14ac:dyDescent="0.3">
      <c r="E144" s="18"/>
    </row>
    <row r="145" spans="5:5" x14ac:dyDescent="0.3">
      <c r="E145" s="18"/>
    </row>
    <row r="146" spans="5:5" x14ac:dyDescent="0.3">
      <c r="E146" s="18"/>
    </row>
    <row r="147" spans="5:5" x14ac:dyDescent="0.3">
      <c r="E147" s="18"/>
    </row>
    <row r="148" spans="5:5" x14ac:dyDescent="0.3">
      <c r="E148" s="18"/>
    </row>
    <row r="149" spans="5:5" x14ac:dyDescent="0.3">
      <c r="E149" s="18"/>
    </row>
    <row r="150" spans="5:5" x14ac:dyDescent="0.3">
      <c r="E150" s="18"/>
    </row>
    <row r="151" spans="5:5" x14ac:dyDescent="0.3">
      <c r="E151" s="18"/>
    </row>
    <row r="152" spans="5:5" x14ac:dyDescent="0.3">
      <c r="E152" s="18"/>
    </row>
    <row r="153" spans="5:5" x14ac:dyDescent="0.3">
      <c r="E153" s="18"/>
    </row>
    <row r="154" spans="5:5" x14ac:dyDescent="0.3">
      <c r="E154" s="18"/>
    </row>
    <row r="155" spans="5:5" x14ac:dyDescent="0.3">
      <c r="E155" s="18"/>
    </row>
    <row r="156" spans="5:5" x14ac:dyDescent="0.3">
      <c r="E156" s="18"/>
    </row>
    <row r="157" spans="5:5" x14ac:dyDescent="0.3">
      <c r="E157" s="18"/>
    </row>
    <row r="158" spans="5:5" x14ac:dyDescent="0.3">
      <c r="E158" s="18"/>
    </row>
    <row r="159" spans="5:5" x14ac:dyDescent="0.3">
      <c r="E159" s="18"/>
    </row>
    <row r="160" spans="5:5" x14ac:dyDescent="0.3">
      <c r="E160" s="18"/>
    </row>
    <row r="161" spans="5:5" x14ac:dyDescent="0.3">
      <c r="E161" s="18"/>
    </row>
    <row r="162" spans="5:5" x14ac:dyDescent="0.3">
      <c r="E162" s="18"/>
    </row>
    <row r="163" spans="5:5" x14ac:dyDescent="0.3">
      <c r="E163" s="18"/>
    </row>
    <row r="164" spans="5:5" x14ac:dyDescent="0.3">
      <c r="E164" s="18"/>
    </row>
    <row r="165" spans="5:5" x14ac:dyDescent="0.3">
      <c r="E165" s="18"/>
    </row>
    <row r="166" spans="5:5" x14ac:dyDescent="0.3">
      <c r="E166" s="18"/>
    </row>
    <row r="167" spans="5:5" x14ac:dyDescent="0.3">
      <c r="E167" s="18"/>
    </row>
    <row r="168" spans="5:5" x14ac:dyDescent="0.3">
      <c r="E168" s="18"/>
    </row>
    <row r="169" spans="5:5" x14ac:dyDescent="0.3">
      <c r="E169" s="18"/>
    </row>
    <row r="170" spans="5:5" x14ac:dyDescent="0.3">
      <c r="E170" s="18"/>
    </row>
    <row r="171" spans="5:5" x14ac:dyDescent="0.3">
      <c r="E171" s="18"/>
    </row>
    <row r="172" spans="5:5" x14ac:dyDescent="0.3">
      <c r="E172" s="18"/>
    </row>
  </sheetData>
  <autoFilter ref="B7:Q78" xr:uid="{00000000-0009-0000-0000-000004000000}">
    <filterColumn colId="14" showButton="0"/>
  </autoFilter>
  <mergeCells count="14">
    <mergeCell ref="B2:C3"/>
    <mergeCell ref="B80:C80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C8:C78">
    <cfRule type="duplicateValues" dxfId="1" priority="51"/>
  </conditionalFormatting>
  <conditionalFormatting sqref="J8:J78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unit'!$B$6:$B$26</xm:f>
          </x14:formula1>
          <xm:sqref>P1:P1048576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48"/>
  <sheetViews>
    <sheetView workbookViewId="0">
      <pane xSplit="3" ySplit="7" topLeftCell="D23" activePane="bottomRight" state="frozenSplit"/>
      <selection pane="topRight" activeCell="C1" sqref="C1"/>
      <selection pane="bottomLeft" activeCell="A7" sqref="A7"/>
      <selection pane="bottomRight" activeCell="E39" sqref="E39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204" t="s">
        <v>83</v>
      </c>
      <c r="C2" s="204"/>
    </row>
    <row r="3" spans="2:12" x14ac:dyDescent="0.3">
      <c r="B3" s="204"/>
      <c r="C3" s="204"/>
    </row>
    <row r="5" spans="2:12" ht="15" customHeight="1" x14ac:dyDescent="0.3">
      <c r="B5" s="201" t="s">
        <v>1</v>
      </c>
      <c r="C5" s="201" t="s">
        <v>88</v>
      </c>
      <c r="D5" s="201" t="s">
        <v>91</v>
      </c>
      <c r="E5" s="203" t="s">
        <v>37</v>
      </c>
      <c r="F5" s="203"/>
      <c r="G5" s="201" t="s">
        <v>90</v>
      </c>
      <c r="H5" s="205" t="s">
        <v>82</v>
      </c>
      <c r="I5" s="31"/>
      <c r="J5" s="201" t="s">
        <v>47</v>
      </c>
      <c r="K5" s="201" t="s">
        <v>89</v>
      </c>
      <c r="L5" s="201"/>
    </row>
    <row r="6" spans="2:12" ht="15" customHeight="1" x14ac:dyDescent="0.3">
      <c r="B6" s="201"/>
      <c r="C6" s="201"/>
      <c r="D6" s="201"/>
      <c r="E6" s="39" t="s">
        <v>27</v>
      </c>
      <c r="F6" s="201" t="s">
        <v>28</v>
      </c>
      <c r="G6" s="201"/>
      <c r="H6" s="205"/>
      <c r="I6" s="31"/>
      <c r="J6" s="201"/>
      <c r="K6" s="201"/>
      <c r="L6" s="201"/>
    </row>
    <row r="7" spans="2:12" x14ac:dyDescent="0.3">
      <c r="B7" s="201"/>
      <c r="C7" s="201"/>
      <c r="D7" s="39" t="s">
        <v>45</v>
      </c>
      <c r="E7" s="39" t="s">
        <v>32</v>
      </c>
      <c r="F7" s="201"/>
      <c r="G7" s="39" t="s">
        <v>53</v>
      </c>
      <c r="H7" s="205"/>
      <c r="I7" s="31"/>
      <c r="J7" s="201"/>
      <c r="K7" s="201"/>
      <c r="L7" s="201"/>
    </row>
    <row r="8" spans="2:12" x14ac:dyDescent="0.3">
      <c r="B8" s="41">
        <v>1</v>
      </c>
      <c r="C8" s="41" t="s">
        <v>354</v>
      </c>
      <c r="D8" s="44">
        <f>IFERROR(VLOOKUP(K8,'list rate unit'!$B$6:$K$27,10,FALSE),0)</f>
        <v>8000000</v>
      </c>
      <c r="E8" s="42">
        <v>63</v>
      </c>
      <c r="F8" s="44">
        <f t="shared" ref="F8:F24" si="0">E8*$C$47</f>
        <v>724500</v>
      </c>
      <c r="G8" s="42"/>
      <c r="H8" s="45">
        <f>D8+F8</f>
        <v>8724500</v>
      </c>
      <c r="I8" s="18"/>
      <c r="J8" s="41"/>
      <c r="K8" s="41" t="str">
        <f>VLOOKUP(L8,'list rate unit'!O:P,2,FALSE)</f>
        <v>LV</v>
      </c>
      <c r="L8" s="41" t="str">
        <f t="shared" ref="L8" si="1">C8</f>
        <v>LV HILUX HITAM - 04</v>
      </c>
    </row>
    <row r="9" spans="2:12" x14ac:dyDescent="0.3">
      <c r="B9" s="41">
        <v>2</v>
      </c>
      <c r="C9" s="41" t="s">
        <v>269</v>
      </c>
      <c r="D9" s="44">
        <f>IFERROR(VLOOKUP(K9,'list rate unit'!$B$6:$K$27,10,FALSE),0)</f>
        <v>8000000</v>
      </c>
      <c r="E9" s="42">
        <v>323</v>
      </c>
      <c r="F9" s="44">
        <f t="shared" si="0"/>
        <v>3714500</v>
      </c>
      <c r="G9" s="42"/>
      <c r="H9" s="45">
        <f t="shared" ref="H9" si="2">D9+F9</f>
        <v>11714500</v>
      </c>
      <c r="I9" s="18"/>
      <c r="J9" s="41"/>
      <c r="K9" s="41" t="str">
        <f>VLOOKUP(L9,'list rate unit'!O:P,2,FALSE)</f>
        <v>LV</v>
      </c>
      <c r="L9" s="41" t="str">
        <f t="shared" ref="L9:L42" si="3">C9</f>
        <v>LV PAJERO PUTIH - 06</v>
      </c>
    </row>
    <row r="10" spans="2:12" x14ac:dyDescent="0.3">
      <c r="B10" s="41">
        <v>3</v>
      </c>
      <c r="C10" s="41" t="s">
        <v>414</v>
      </c>
      <c r="D10" s="44">
        <f>IFERROR(VLOOKUP(K10,'list rate unit'!$B$6:$K$27,10,FALSE),0)</f>
        <v>8000000</v>
      </c>
      <c r="E10" s="42">
        <v>51</v>
      </c>
      <c r="F10" s="44">
        <f t="shared" si="0"/>
        <v>586500</v>
      </c>
      <c r="G10" s="42"/>
      <c r="H10" s="45">
        <f t="shared" ref="H10" si="4">D10+F10</f>
        <v>8586500</v>
      </c>
      <c r="I10" s="18"/>
      <c r="J10" s="41"/>
      <c r="K10" s="41" t="str">
        <f>VLOOKUP(L10,'list rate unit'!O:P,2,FALSE)</f>
        <v>LV</v>
      </c>
      <c r="L10" s="41" t="str">
        <f t="shared" si="3"/>
        <v>LV HLUX SILVER - 07</v>
      </c>
    </row>
    <row r="11" spans="2:12" x14ac:dyDescent="0.3">
      <c r="B11" s="41">
        <v>4</v>
      </c>
      <c r="C11" s="41" t="s">
        <v>270</v>
      </c>
      <c r="D11" s="44">
        <f>IFERROR(VLOOKUP(K11,'list rate unit'!$B$6:$K$27,10,FALSE),0)</f>
        <v>8000000</v>
      </c>
      <c r="E11" s="42">
        <v>384</v>
      </c>
      <c r="F11" s="44">
        <f t="shared" si="0"/>
        <v>4416000</v>
      </c>
      <c r="G11" s="42"/>
      <c r="H11" s="45">
        <f t="shared" ref="H11:H42" si="5">D11+F11</f>
        <v>12416000</v>
      </c>
      <c r="I11" s="18"/>
      <c r="J11" s="41"/>
      <c r="K11" s="41" t="str">
        <f>VLOOKUP(L11,'list rate unit'!O:P,2,FALSE)</f>
        <v>LV</v>
      </c>
      <c r="L11" s="41" t="str">
        <f t="shared" si="3"/>
        <v>LV TRITON HITAM - 08</v>
      </c>
    </row>
    <row r="12" spans="2:12" x14ac:dyDescent="0.3">
      <c r="B12" s="41">
        <v>5</v>
      </c>
      <c r="C12" s="41" t="s">
        <v>271</v>
      </c>
      <c r="D12" s="44">
        <f>IFERROR(VLOOKUP(K12,'list rate unit'!$B$6:$K$27,10,FALSE),0)</f>
        <v>8000000</v>
      </c>
      <c r="E12" s="42">
        <v>184</v>
      </c>
      <c r="F12" s="44">
        <f t="shared" si="0"/>
        <v>2116000</v>
      </c>
      <c r="G12" s="42"/>
      <c r="H12" s="45">
        <f t="shared" si="5"/>
        <v>10116000</v>
      </c>
      <c r="I12" s="18"/>
      <c r="J12" s="41"/>
      <c r="K12" s="41" t="str">
        <f>VLOOKUP(L12,'list rate unit'!O:P,2,FALSE)</f>
        <v>LV</v>
      </c>
      <c r="L12" s="41" t="str">
        <f t="shared" si="3"/>
        <v>LV PAJERO PUTIH - 09</v>
      </c>
    </row>
    <row r="13" spans="2:12" x14ac:dyDescent="0.3">
      <c r="B13" s="41">
        <v>6</v>
      </c>
      <c r="C13" s="41" t="s">
        <v>284</v>
      </c>
      <c r="D13" s="44">
        <f>IFERROR(VLOOKUP(K13,'list rate unit'!$B$6:$K$27,10,FALSE),0)</f>
        <v>8000000</v>
      </c>
      <c r="E13" s="42">
        <v>327</v>
      </c>
      <c r="F13" s="44">
        <f t="shared" si="0"/>
        <v>3760500</v>
      </c>
      <c r="G13" s="42"/>
      <c r="H13" s="45">
        <f t="shared" si="5"/>
        <v>11760500</v>
      </c>
      <c r="I13" s="18"/>
      <c r="J13" s="41"/>
      <c r="K13" s="41" t="str">
        <f>VLOOKUP(L13,'list rate unit'!O:P,2,FALSE)</f>
        <v>LV</v>
      </c>
      <c r="L13" s="41" t="str">
        <f t="shared" si="3"/>
        <v>LV HILUX SILVER - 10</v>
      </c>
    </row>
    <row r="14" spans="2:12" x14ac:dyDescent="0.3">
      <c r="B14" s="41">
        <v>7</v>
      </c>
      <c r="C14" s="41" t="s">
        <v>337</v>
      </c>
      <c r="D14" s="44">
        <f>IFERROR(VLOOKUP(K14,'list rate unit'!$B$6:$K$27,10,FALSE),0)</f>
        <v>8000000</v>
      </c>
      <c r="E14" s="42">
        <v>179</v>
      </c>
      <c r="F14" s="44">
        <f t="shared" si="0"/>
        <v>2058500</v>
      </c>
      <c r="G14" s="42"/>
      <c r="H14" s="45">
        <f t="shared" si="5"/>
        <v>10058500</v>
      </c>
      <c r="I14" s="18"/>
      <c r="J14" s="41"/>
      <c r="K14" s="41" t="str">
        <f>VLOOKUP(L14,'list rate unit'!O:P,2,FALSE)</f>
        <v>LV</v>
      </c>
      <c r="L14" s="41" t="str">
        <f t="shared" si="3"/>
        <v>LV TRITON HITAM - 10</v>
      </c>
    </row>
    <row r="15" spans="2:12" x14ac:dyDescent="0.3">
      <c r="B15" s="41">
        <v>8</v>
      </c>
      <c r="C15" s="41" t="s">
        <v>267</v>
      </c>
      <c r="D15" s="44">
        <f>IFERROR(VLOOKUP(K15,'list rate unit'!$B$6:$K$27,10,FALSE),0)</f>
        <v>8000000</v>
      </c>
      <c r="E15" s="42">
        <v>337</v>
      </c>
      <c r="F15" s="44">
        <f t="shared" si="0"/>
        <v>3875500</v>
      </c>
      <c r="G15" s="42"/>
      <c r="H15" s="45">
        <f t="shared" ref="H15:H40" si="6">D15+F15</f>
        <v>11875500</v>
      </c>
      <c r="I15" s="18"/>
      <c r="J15" s="41"/>
      <c r="K15" s="41" t="str">
        <f>VLOOKUP(L15,'list rate unit'!O:P,2,FALSE)</f>
        <v>LV</v>
      </c>
      <c r="L15" s="41" t="str">
        <f t="shared" si="3"/>
        <v>LV TRITON PUTIH - 11</v>
      </c>
    </row>
    <row r="16" spans="2:12" x14ac:dyDescent="0.3">
      <c r="B16" s="41">
        <v>9</v>
      </c>
      <c r="C16" s="41" t="s">
        <v>311</v>
      </c>
      <c r="D16" s="44">
        <f>IFERROR(VLOOKUP(K16,'list rate unit'!$B$6:$K$27,10,FALSE),0)</f>
        <v>8000000</v>
      </c>
      <c r="E16" s="42">
        <v>30</v>
      </c>
      <c r="F16" s="44">
        <f t="shared" si="0"/>
        <v>345000</v>
      </c>
      <c r="G16" s="42"/>
      <c r="H16" s="45">
        <f t="shared" si="6"/>
        <v>8345000</v>
      </c>
      <c r="I16" s="18"/>
      <c r="J16" s="41"/>
      <c r="K16" s="41" t="str">
        <f>VLOOKUP(L16,'list rate unit'!O:P,2,FALSE)</f>
        <v>LV</v>
      </c>
      <c r="L16" s="41" t="str">
        <f t="shared" si="3"/>
        <v>LV HILUX HITAM - 11</v>
      </c>
    </row>
    <row r="17" spans="2:12" x14ac:dyDescent="0.3">
      <c r="B17" s="41">
        <v>10</v>
      </c>
      <c r="C17" s="41" t="s">
        <v>318</v>
      </c>
      <c r="D17" s="44">
        <f>IFERROR(VLOOKUP(K17,'list rate unit'!$B$6:$K$27,10,FALSE),0)</f>
        <v>8000000</v>
      </c>
      <c r="E17" s="42">
        <v>343</v>
      </c>
      <c r="F17" s="44">
        <f t="shared" si="0"/>
        <v>3944500</v>
      </c>
      <c r="G17" s="42"/>
      <c r="H17" s="45">
        <f t="shared" si="6"/>
        <v>11944500</v>
      </c>
      <c r="I17" s="18"/>
      <c r="J17" s="41"/>
      <c r="K17" s="41" t="str">
        <f>VLOOKUP(L17,'list rate unit'!O:P,2,FALSE)</f>
        <v>LV</v>
      </c>
      <c r="L17" s="41" t="str">
        <f t="shared" si="3"/>
        <v>LV TRITON PUTIH - 12</v>
      </c>
    </row>
    <row r="18" spans="2:12" x14ac:dyDescent="0.3">
      <c r="B18" s="41">
        <v>11</v>
      </c>
      <c r="C18" s="41" t="s">
        <v>343</v>
      </c>
      <c r="D18" s="44">
        <f>IFERROR(VLOOKUP(K18,'list rate unit'!$B$6:$K$27,10,FALSE),0)</f>
        <v>8000000</v>
      </c>
      <c r="E18" s="42">
        <v>200</v>
      </c>
      <c r="F18" s="44">
        <f t="shared" si="0"/>
        <v>2300000</v>
      </c>
      <c r="G18" s="42"/>
      <c r="H18" s="45">
        <f t="shared" si="6"/>
        <v>10300000</v>
      </c>
      <c r="I18" s="18"/>
      <c r="J18" s="41"/>
      <c r="K18" s="41" t="str">
        <f>VLOOKUP(L18,'list rate unit'!O:P,2,FALSE)</f>
        <v>LV</v>
      </c>
      <c r="L18" s="41" t="str">
        <f t="shared" si="3"/>
        <v>LV PAJERO HITAM - 15</v>
      </c>
    </row>
    <row r="19" spans="2:12" x14ac:dyDescent="0.3">
      <c r="B19" s="41">
        <v>12</v>
      </c>
      <c r="C19" s="41" t="s">
        <v>319</v>
      </c>
      <c r="D19" s="44">
        <f>IFERROR(VLOOKUP(K19,'list rate unit'!$B$6:$K$27,10,FALSE),0)</f>
        <v>8000000</v>
      </c>
      <c r="E19" s="42">
        <v>324</v>
      </c>
      <c r="F19" s="44">
        <f t="shared" si="0"/>
        <v>3726000</v>
      </c>
      <c r="G19" s="42"/>
      <c r="H19" s="45">
        <f t="shared" si="6"/>
        <v>11726000</v>
      </c>
      <c r="I19" s="18"/>
      <c r="J19" s="41"/>
      <c r="K19" s="41" t="str">
        <f>VLOOKUP(L19,'list rate unit'!O:P,2,FALSE)</f>
        <v>LV</v>
      </c>
      <c r="L19" s="41" t="str">
        <f t="shared" si="3"/>
        <v>LV HILUX SILVER - 17</v>
      </c>
    </row>
    <row r="20" spans="2:12" x14ac:dyDescent="0.3">
      <c r="B20" s="41">
        <v>13</v>
      </c>
      <c r="C20" s="41" t="s">
        <v>320</v>
      </c>
      <c r="D20" s="44">
        <f>IFERROR(VLOOKUP(K20,'list rate unit'!$B$6:$K$27,10,FALSE),0)</f>
        <v>8000000</v>
      </c>
      <c r="E20" s="42">
        <v>48</v>
      </c>
      <c r="F20" s="44">
        <f t="shared" si="0"/>
        <v>552000</v>
      </c>
      <c r="G20" s="42"/>
      <c r="H20" s="45">
        <f t="shared" si="6"/>
        <v>8552000</v>
      </c>
      <c r="I20" s="18"/>
      <c r="J20" s="41"/>
      <c r="K20" s="41" t="str">
        <f>VLOOKUP(L20,'list rate unit'!O:P,2,FALSE)</f>
        <v>LV</v>
      </c>
      <c r="L20" s="41" t="str">
        <f t="shared" si="3"/>
        <v>LV HILUX HITAM - 18</v>
      </c>
    </row>
    <row r="21" spans="2:12" x14ac:dyDescent="0.3">
      <c r="B21" s="41">
        <v>14</v>
      </c>
      <c r="C21" s="41" t="s">
        <v>321</v>
      </c>
      <c r="D21" s="44">
        <f>IFERROR(VLOOKUP(K21,'list rate unit'!$B$6:$K$27,10,FALSE),0)</f>
        <v>8000000</v>
      </c>
      <c r="E21" s="42">
        <v>491</v>
      </c>
      <c r="F21" s="44">
        <f t="shared" si="0"/>
        <v>5646500</v>
      </c>
      <c r="G21" s="42"/>
      <c r="H21" s="45">
        <f t="shared" si="6"/>
        <v>13646500</v>
      </c>
      <c r="I21" s="18"/>
      <c r="J21" s="41"/>
      <c r="K21" s="41" t="str">
        <f>VLOOKUP(L21,'list rate unit'!O:P,2,FALSE)</f>
        <v>LV</v>
      </c>
      <c r="L21" s="41" t="str">
        <f t="shared" si="3"/>
        <v>LV HILUX SILVER - 19</v>
      </c>
    </row>
    <row r="22" spans="2:12" x14ac:dyDescent="0.3">
      <c r="B22" s="41">
        <v>15</v>
      </c>
      <c r="C22" s="41" t="s">
        <v>405</v>
      </c>
      <c r="D22" s="44">
        <f>IFERROR(VLOOKUP(K22,'list rate unit'!$B$6:$K$27,10,FALSE),0)</f>
        <v>8000000</v>
      </c>
      <c r="E22" s="42">
        <v>113</v>
      </c>
      <c r="F22" s="44">
        <f t="shared" si="0"/>
        <v>1299500</v>
      </c>
      <c r="G22" s="42"/>
      <c r="H22" s="45">
        <f t="shared" si="6"/>
        <v>9299500</v>
      </c>
      <c r="I22" s="18"/>
      <c r="J22" s="41"/>
      <c r="K22" s="41" t="str">
        <f>VLOOKUP(L22,'list rate unit'!O:P,2,FALSE)</f>
        <v>LV</v>
      </c>
      <c r="L22" s="41" t="str">
        <f t="shared" si="3"/>
        <v>LV HILUX SILVER - 20</v>
      </c>
    </row>
    <row r="23" spans="2:12" x14ac:dyDescent="0.3">
      <c r="B23" s="41">
        <v>16</v>
      </c>
      <c r="C23" s="41" t="s">
        <v>348</v>
      </c>
      <c r="D23" s="44">
        <f>IFERROR(VLOOKUP(K23,'list rate unit'!$B$6:$K$27,10,FALSE),0)</f>
        <v>8000000</v>
      </c>
      <c r="E23" s="42">
        <v>263</v>
      </c>
      <c r="F23" s="44">
        <f t="shared" si="0"/>
        <v>3024500</v>
      </c>
      <c r="G23" s="42"/>
      <c r="H23" s="45">
        <f t="shared" si="6"/>
        <v>11024500</v>
      </c>
      <c r="I23" s="18"/>
      <c r="J23" s="41"/>
      <c r="K23" s="41" t="str">
        <f>VLOOKUP(L23,'list rate unit'!O:P,2,FALSE)</f>
        <v>LV</v>
      </c>
      <c r="L23" s="41" t="str">
        <f t="shared" si="3"/>
        <v>LV PAJERO SILVER - 21</v>
      </c>
    </row>
    <row r="24" spans="2:12" x14ac:dyDescent="0.3">
      <c r="B24" s="41">
        <v>17</v>
      </c>
      <c r="C24" s="41" t="s">
        <v>268</v>
      </c>
      <c r="D24" s="44">
        <f>IFERROR(VLOOKUP(K24,'list rate unit'!$B$6:$K$27,10,FALSE),0)</f>
        <v>8000000</v>
      </c>
      <c r="E24" s="42">
        <v>416</v>
      </c>
      <c r="F24" s="44">
        <f t="shared" si="0"/>
        <v>4784000</v>
      </c>
      <c r="G24" s="42"/>
      <c r="H24" s="45">
        <f t="shared" si="6"/>
        <v>12784000</v>
      </c>
      <c r="I24" s="18"/>
      <c r="J24" s="41"/>
      <c r="K24" s="41" t="str">
        <f>VLOOKUP(L24,'list rate unit'!O:P,2,FALSE)</f>
        <v>LV</v>
      </c>
      <c r="L24" s="41" t="str">
        <f t="shared" si="3"/>
        <v>LV HILUX PUTIH - 23</v>
      </c>
    </row>
    <row r="25" spans="2:12" x14ac:dyDescent="0.3">
      <c r="B25" s="41">
        <v>18</v>
      </c>
      <c r="C25" s="41" t="s">
        <v>359</v>
      </c>
      <c r="D25" s="44">
        <f>IFERROR(VLOOKUP(K25,'list rate unit'!$B$6:$K$27,10,FALSE),0)</f>
        <v>8000000</v>
      </c>
      <c r="E25" s="42">
        <v>39</v>
      </c>
      <c r="F25" s="44">
        <f t="shared" ref="F25:F34" si="7">E25*$C$47</f>
        <v>448500</v>
      </c>
      <c r="G25" s="42"/>
      <c r="H25" s="45">
        <f t="shared" ref="H25:H34" si="8">D25+F25</f>
        <v>8448500</v>
      </c>
      <c r="I25" s="18"/>
      <c r="J25" s="41"/>
      <c r="K25" s="41" t="str">
        <f>VLOOKUP(L25,'list rate unit'!O:P,2,FALSE)</f>
        <v>LV</v>
      </c>
      <c r="L25" s="41" t="str">
        <f t="shared" ref="L25:L34" si="9">C25</f>
        <v>LV LC-SILVER - 24</v>
      </c>
    </row>
    <row r="26" spans="2:12" x14ac:dyDescent="0.3">
      <c r="B26" s="41">
        <v>19</v>
      </c>
      <c r="C26" s="41" t="s">
        <v>322</v>
      </c>
      <c r="D26" s="44">
        <f>IFERROR(VLOOKUP(K26,'list rate unit'!$B$6:$K$27,10,FALSE),0)</f>
        <v>8000000</v>
      </c>
      <c r="E26" s="42">
        <v>204</v>
      </c>
      <c r="F26" s="44">
        <f t="shared" si="7"/>
        <v>2346000</v>
      </c>
      <c r="G26" s="42"/>
      <c r="H26" s="45">
        <f t="shared" si="8"/>
        <v>10346000</v>
      </c>
      <c r="I26" s="18"/>
      <c r="J26" s="41"/>
      <c r="K26" s="41" t="str">
        <f>VLOOKUP(L26,'list rate unit'!O:P,2,FALSE)</f>
        <v>LV</v>
      </c>
      <c r="L26" s="41" t="str">
        <f t="shared" si="9"/>
        <v>LV TRITON PUTIH - 27</v>
      </c>
    </row>
    <row r="27" spans="2:12" x14ac:dyDescent="0.3">
      <c r="B27" s="41">
        <v>20</v>
      </c>
      <c r="C27" s="41" t="s">
        <v>415</v>
      </c>
      <c r="D27" s="44">
        <f>IFERROR(VLOOKUP(K27,'list rate unit'!$B$6:$K$27,10,FALSE),0)</f>
        <v>8000000</v>
      </c>
      <c r="E27" s="42">
        <v>31</v>
      </c>
      <c r="F27" s="44">
        <f t="shared" si="7"/>
        <v>356500</v>
      </c>
      <c r="G27" s="42"/>
      <c r="H27" s="45">
        <f t="shared" si="8"/>
        <v>8356500</v>
      </c>
      <c r="I27" s="18"/>
      <c r="J27" s="41"/>
      <c r="K27" s="41" t="str">
        <f>VLOOKUP(L27,'list rate unit'!O:P,2,FALSE)</f>
        <v>LV</v>
      </c>
      <c r="L27" s="41" t="str">
        <f t="shared" si="9"/>
        <v>LV TRITON PUTIH - 28</v>
      </c>
    </row>
    <row r="28" spans="2:12" x14ac:dyDescent="0.3">
      <c r="B28" s="41">
        <v>21</v>
      </c>
      <c r="C28" s="41" t="s">
        <v>344</v>
      </c>
      <c r="D28" s="44">
        <f>IFERROR(VLOOKUP(K28,'list rate unit'!$B$6:$K$27,10,FALSE),0)</f>
        <v>8000000</v>
      </c>
      <c r="E28" s="42">
        <v>196</v>
      </c>
      <c r="F28" s="44">
        <f t="shared" si="7"/>
        <v>2254000</v>
      </c>
      <c r="G28" s="42"/>
      <c r="H28" s="45">
        <f t="shared" si="8"/>
        <v>10254000</v>
      </c>
      <c r="I28" s="18"/>
      <c r="J28" s="41"/>
      <c r="K28" s="41" t="str">
        <f>VLOOKUP(L28,'list rate unit'!O:P,2,FALSE)</f>
        <v>LV</v>
      </c>
      <c r="L28" s="41" t="str">
        <f t="shared" si="9"/>
        <v>LV LC-HIJAU - 29</v>
      </c>
    </row>
    <row r="29" spans="2:12" x14ac:dyDescent="0.3">
      <c r="B29" s="41">
        <v>22</v>
      </c>
      <c r="C29" s="41" t="s">
        <v>296</v>
      </c>
      <c r="D29" s="44">
        <f>IFERROR(VLOOKUP(K29,'list rate unit'!$B$6:$K$27,10,FALSE),0)</f>
        <v>8000000</v>
      </c>
      <c r="E29" s="42">
        <v>368</v>
      </c>
      <c r="F29" s="44">
        <f t="shared" si="7"/>
        <v>4232000</v>
      </c>
      <c r="G29" s="42"/>
      <c r="H29" s="45">
        <f t="shared" si="8"/>
        <v>12232000</v>
      </c>
      <c r="I29" s="18"/>
      <c r="J29" s="41"/>
      <c r="K29" s="41" t="str">
        <f>VLOOKUP(L29,'list rate unit'!O:P,2,FALSE)</f>
        <v>LV</v>
      </c>
      <c r="L29" s="41" t="str">
        <f t="shared" si="9"/>
        <v>LV TRITON PUTIH (SAFETY) - 30</v>
      </c>
    </row>
    <row r="30" spans="2:12" x14ac:dyDescent="0.3">
      <c r="B30" s="41">
        <v>23</v>
      </c>
      <c r="C30" s="41" t="s">
        <v>323</v>
      </c>
      <c r="D30" s="44">
        <f>IFERROR(VLOOKUP(K30,'list rate unit'!$B$6:$K$27,10,FALSE),0)</f>
        <v>8000000</v>
      </c>
      <c r="E30" s="42">
        <v>338</v>
      </c>
      <c r="F30" s="44">
        <f t="shared" si="7"/>
        <v>3887000</v>
      </c>
      <c r="G30" s="42"/>
      <c r="H30" s="45">
        <f t="shared" si="8"/>
        <v>11887000</v>
      </c>
      <c r="I30" s="18"/>
      <c r="J30" s="41"/>
      <c r="K30" s="41" t="str">
        <f>VLOOKUP(L30,'list rate unit'!O:P,2,FALSE)</f>
        <v>LV</v>
      </c>
      <c r="L30" s="41" t="str">
        <f t="shared" si="9"/>
        <v>LV TRITON PUTIH - 32</v>
      </c>
    </row>
    <row r="31" spans="2:12" x14ac:dyDescent="0.3">
      <c r="B31" s="41">
        <v>24</v>
      </c>
      <c r="C31" s="41" t="s">
        <v>272</v>
      </c>
      <c r="D31" s="44">
        <f>IFERROR(VLOOKUP(K31,'list rate unit'!$B$6:$K$27,10,FALSE),0)</f>
        <v>210000</v>
      </c>
      <c r="E31" s="42">
        <v>1051</v>
      </c>
      <c r="F31" s="44">
        <f t="shared" si="7"/>
        <v>12086500</v>
      </c>
      <c r="G31" s="42"/>
      <c r="H31" s="45">
        <f t="shared" si="8"/>
        <v>12296500</v>
      </c>
      <c r="I31" s="18"/>
      <c r="J31" s="41"/>
      <c r="K31" s="41" t="str">
        <f>VLOOKUP(L31,'list rate unit'!O:P,2,FALSE)</f>
        <v>FM 260 Ti</v>
      </c>
      <c r="L31" s="41" t="str">
        <f t="shared" si="9"/>
        <v>MANHAUL - 02</v>
      </c>
    </row>
    <row r="32" spans="2:12" x14ac:dyDescent="0.3">
      <c r="B32" s="41">
        <v>25</v>
      </c>
      <c r="C32" s="41" t="s">
        <v>326</v>
      </c>
      <c r="D32" s="44">
        <f>IFERROR(VLOOKUP(K32,'list rate unit'!$B$6:$K$27,10,FALSE),0)</f>
        <v>12000000</v>
      </c>
      <c r="E32" s="42">
        <v>161</v>
      </c>
      <c r="F32" s="44">
        <f t="shared" si="7"/>
        <v>1851500</v>
      </c>
      <c r="G32" s="42"/>
      <c r="H32" s="45">
        <f t="shared" si="8"/>
        <v>13851500</v>
      </c>
      <c r="I32" s="18"/>
      <c r="J32" s="41"/>
      <c r="K32" s="41" t="str">
        <f>VLOOKUP(L32,'list rate unit'!O:P,2,FALSE)</f>
        <v>LT</v>
      </c>
      <c r="L32" s="41" t="str">
        <f t="shared" si="9"/>
        <v>BUS APP - 03</v>
      </c>
    </row>
    <row r="33" spans="2:12" x14ac:dyDescent="0.3">
      <c r="B33" s="41">
        <v>26</v>
      </c>
      <c r="C33" s="41" t="s">
        <v>273</v>
      </c>
      <c r="D33" s="44">
        <f>IFERROR(VLOOKUP(K33,'list rate unit'!$B$6:$K$27,10,FALSE),0)</f>
        <v>210000</v>
      </c>
      <c r="E33" s="42">
        <v>20</v>
      </c>
      <c r="F33" s="44">
        <f t="shared" si="7"/>
        <v>230000</v>
      </c>
      <c r="G33" s="42"/>
      <c r="H33" s="45">
        <f t="shared" si="8"/>
        <v>440000</v>
      </c>
      <c r="I33" s="18"/>
      <c r="J33" s="41"/>
      <c r="K33" s="41" t="str">
        <f>VLOOKUP(L33,'list rate unit'!O:P,2,FALSE)</f>
        <v>FM 260 Ti</v>
      </c>
      <c r="L33" s="41" t="str">
        <f t="shared" si="9"/>
        <v>FUEL TRUCK - 03</v>
      </c>
    </row>
    <row r="34" spans="2:12" x14ac:dyDescent="0.3">
      <c r="B34" s="41">
        <v>27</v>
      </c>
      <c r="C34" s="41" t="s">
        <v>274</v>
      </c>
      <c r="D34" s="44">
        <f>IFERROR(VLOOKUP(K34,'list rate unit'!$B$6:$K$27,10,FALSE),0)</f>
        <v>210000</v>
      </c>
      <c r="E34" s="42">
        <v>1430</v>
      </c>
      <c r="F34" s="44">
        <f t="shared" si="7"/>
        <v>16445000</v>
      </c>
      <c r="G34" s="42"/>
      <c r="H34" s="45">
        <f t="shared" si="8"/>
        <v>16655000</v>
      </c>
      <c r="I34" s="18"/>
      <c r="J34" s="41"/>
      <c r="K34" s="41" t="str">
        <f>VLOOKUP(L34,'list rate unit'!O:P,2,FALSE)</f>
        <v>FM 260 Ti</v>
      </c>
      <c r="L34" s="41" t="str">
        <f t="shared" si="9"/>
        <v>FUEL TRUCK - 05</v>
      </c>
    </row>
    <row r="35" spans="2:12" x14ac:dyDescent="0.3">
      <c r="B35" s="41">
        <v>28</v>
      </c>
      <c r="C35" s="41" t="s">
        <v>347</v>
      </c>
      <c r="D35" s="44">
        <f>IFERROR(VLOOKUP(K35,'list rate unit'!$B$6:$K$27,10,FALSE),0)</f>
        <v>210000</v>
      </c>
      <c r="E35" s="42">
        <v>1367</v>
      </c>
      <c r="F35" s="44">
        <f t="shared" ref="F35:F42" si="10">E35*$C$47</f>
        <v>15720500</v>
      </c>
      <c r="G35" s="42"/>
      <c r="H35" s="45">
        <f t="shared" si="6"/>
        <v>15930500</v>
      </c>
      <c r="I35" s="18"/>
      <c r="J35" s="41"/>
      <c r="K35" s="41" t="str">
        <f>VLOOKUP(L35,'list rate unit'!O:P,2,FALSE)</f>
        <v>FM 260 Ti</v>
      </c>
      <c r="L35" s="41" t="str">
        <f t="shared" si="3"/>
        <v>FUEL TRUCK - 06</v>
      </c>
    </row>
    <row r="36" spans="2:12" x14ac:dyDescent="0.3">
      <c r="B36" s="41">
        <v>29</v>
      </c>
      <c r="C36" s="41" t="s">
        <v>416</v>
      </c>
      <c r="D36" s="44">
        <f>IFERROR(VLOOKUP(K36,'list rate unit'!$B$6:$K$27,10,FALSE),0)</f>
        <v>0</v>
      </c>
      <c r="E36" s="42">
        <v>235</v>
      </c>
      <c r="F36" s="44">
        <f t="shared" si="10"/>
        <v>2702500</v>
      </c>
      <c r="G36" s="42"/>
      <c r="H36" s="45">
        <f t="shared" si="6"/>
        <v>2702500</v>
      </c>
      <c r="I36" s="18"/>
      <c r="J36" s="41"/>
      <c r="K36" s="41" t="e">
        <f>VLOOKUP(L36,'list rate unit'!O:P,2,FALSE)</f>
        <v>#N/A</v>
      </c>
      <c r="L36" s="41" t="str">
        <f t="shared" si="3"/>
        <v>WATER TRUCK - 02</v>
      </c>
    </row>
    <row r="37" spans="2:12" x14ac:dyDescent="0.3">
      <c r="B37" s="41">
        <v>30</v>
      </c>
      <c r="C37" s="41" t="s">
        <v>338</v>
      </c>
      <c r="D37" s="44">
        <f>IFERROR(VLOOKUP(K37,'list rate unit'!$B$6:$K$27,10,FALSE),0)</f>
        <v>12000000</v>
      </c>
      <c r="E37" s="42">
        <v>108</v>
      </c>
      <c r="F37" s="44">
        <f t="shared" si="10"/>
        <v>1242000</v>
      </c>
      <c r="G37" s="42"/>
      <c r="H37" s="45">
        <f t="shared" si="6"/>
        <v>13242000</v>
      </c>
      <c r="I37" s="18"/>
      <c r="J37" s="41"/>
      <c r="K37" s="41" t="str">
        <f>VLOOKUP(L37,'list rate unit'!O:P,2,FALSE)</f>
        <v>LT</v>
      </c>
      <c r="L37" s="41" t="str">
        <f t="shared" si="3"/>
        <v>TRUCK WELDER - LT-04</v>
      </c>
    </row>
    <row r="38" spans="2:12" x14ac:dyDescent="0.3">
      <c r="B38" s="41">
        <v>31</v>
      </c>
      <c r="C38" s="41" t="s">
        <v>275</v>
      </c>
      <c r="D38" s="44">
        <f>IFERROR(VLOOKUP(K38,'list rate unit'!$B$6:$K$27,10,FALSE),0)</f>
        <v>12000000</v>
      </c>
      <c r="E38" s="42">
        <v>256</v>
      </c>
      <c r="F38" s="44">
        <f t="shared" si="10"/>
        <v>2944000</v>
      </c>
      <c r="G38" s="42"/>
      <c r="H38" s="45">
        <f t="shared" si="6"/>
        <v>14944000</v>
      </c>
      <c r="I38" s="18"/>
      <c r="J38" s="41"/>
      <c r="K38" s="41" t="str">
        <f>VLOOKUP(L38,'list rate unit'!O:P,2,FALSE)</f>
        <v>LT</v>
      </c>
      <c r="L38" s="41" t="str">
        <f t="shared" si="3"/>
        <v>TRUCK TYRE - LT-08</v>
      </c>
    </row>
    <row r="39" spans="2:12" x14ac:dyDescent="0.3">
      <c r="B39" s="41">
        <v>32</v>
      </c>
      <c r="C39" s="41" t="s">
        <v>327</v>
      </c>
      <c r="D39" s="44">
        <f>IFERROR(VLOOKUP(K39,'list rate unit'!$B$6:$K$27,10,FALSE),0)</f>
        <v>12000000</v>
      </c>
      <c r="E39" s="42">
        <v>267</v>
      </c>
      <c r="F39" s="44">
        <f t="shared" si="10"/>
        <v>3070500</v>
      </c>
      <c r="G39" s="42"/>
      <c r="H39" s="45">
        <f t="shared" si="6"/>
        <v>15070500</v>
      </c>
      <c r="I39" s="18"/>
      <c r="J39" s="41"/>
      <c r="K39" s="41" t="str">
        <f>VLOOKUP(L39,'list rate unit'!O:P,2,FALSE)</f>
        <v>LT</v>
      </c>
      <c r="L39" s="41" t="str">
        <f t="shared" si="3"/>
        <v>TRUCK TYRE - LT-10</v>
      </c>
    </row>
    <row r="40" spans="2:12" x14ac:dyDescent="0.3">
      <c r="B40" s="41">
        <v>33</v>
      </c>
      <c r="C40" s="41" t="s">
        <v>340</v>
      </c>
      <c r="D40" s="44">
        <f>IFERROR(VLOOKUP(K40,'list rate unit'!$B$6:$K$27,10,FALSE),0)</f>
        <v>0</v>
      </c>
      <c r="E40" s="42">
        <v>400</v>
      </c>
      <c r="F40" s="44">
        <f t="shared" si="10"/>
        <v>4600000</v>
      </c>
      <c r="G40" s="42"/>
      <c r="H40" s="45">
        <f t="shared" si="6"/>
        <v>4600000</v>
      </c>
      <c r="I40" s="18"/>
      <c r="J40" s="41"/>
      <c r="K40" s="41">
        <f>VLOOKUP(L40,'list rate unit'!O:P,2,FALSE)</f>
        <v>0</v>
      </c>
      <c r="L40" s="41" t="str">
        <f t="shared" si="3"/>
        <v>MEKANIK CAMP</v>
      </c>
    </row>
    <row r="41" spans="2:12" x14ac:dyDescent="0.3">
      <c r="B41" s="41">
        <v>34</v>
      </c>
      <c r="C41" s="41" t="s">
        <v>355</v>
      </c>
      <c r="D41" s="44">
        <f>IFERROR(VLOOKUP(K41,'list rate unit'!$B$6:$K$27,10,FALSE),0)</f>
        <v>0</v>
      </c>
      <c r="E41" s="42">
        <v>412</v>
      </c>
      <c r="F41" s="44">
        <f t="shared" si="10"/>
        <v>4738000</v>
      </c>
      <c r="G41" s="42"/>
      <c r="H41" s="45">
        <f t="shared" si="5"/>
        <v>4738000</v>
      </c>
      <c r="I41" s="18"/>
      <c r="J41" s="41"/>
      <c r="K41" s="41">
        <f>VLOOKUP(L41,'list rate unit'!O:P,2,FALSE)</f>
        <v>0</v>
      </c>
      <c r="L41" s="41" t="str">
        <f t="shared" si="3"/>
        <v>Kompresor Tyre</v>
      </c>
    </row>
    <row r="42" spans="2:12" x14ac:dyDescent="0.3">
      <c r="B42" s="41">
        <v>35</v>
      </c>
      <c r="C42" s="41" t="s">
        <v>417</v>
      </c>
      <c r="D42" s="44">
        <f>IFERROR(VLOOKUP(K42,'list rate unit'!$B$6:$K$27,10,FALSE),0)</f>
        <v>0</v>
      </c>
      <c r="E42" s="42">
        <v>22</v>
      </c>
      <c r="F42" s="44">
        <f t="shared" si="10"/>
        <v>253000</v>
      </c>
      <c r="G42" s="42"/>
      <c r="H42" s="45">
        <f t="shared" si="5"/>
        <v>253000</v>
      </c>
      <c r="I42" s="18"/>
      <c r="J42" s="41"/>
      <c r="K42" s="41">
        <f>VLOOKUP(L42,'list rate unit'!O:P,2,FALSE)</f>
        <v>0</v>
      </c>
      <c r="L42" s="41" t="str">
        <f t="shared" si="3"/>
        <v>WELDER CAMP</v>
      </c>
    </row>
    <row r="43" spans="2:12" x14ac:dyDescent="0.3">
      <c r="D43" s="30"/>
      <c r="E43" s="18"/>
      <c r="F43" s="30"/>
      <c r="G43" s="18"/>
      <c r="H43" s="18"/>
      <c r="I43" s="18"/>
    </row>
    <row r="44" spans="2:12" ht="15.75" customHeight="1" x14ac:dyDescent="0.3">
      <c r="B44" s="200" t="s">
        <v>21</v>
      </c>
      <c r="C44" s="200"/>
      <c r="D44" s="51">
        <f>SUM(D8:D43)</f>
        <v>232840000</v>
      </c>
      <c r="E44" s="46">
        <f>SUM(E8:E43)</f>
        <v>10981</v>
      </c>
      <c r="F44" s="47">
        <f>SUM(F8:F43)</f>
        <v>126281500</v>
      </c>
      <c r="G44" s="46">
        <f>IFERROR(E44/#REF!,0)</f>
        <v>0</v>
      </c>
      <c r="H44" s="48">
        <f>SUM(H8:H43)</f>
        <v>359121500</v>
      </c>
      <c r="I44" s="17"/>
    </row>
    <row r="46" spans="2:12" x14ac:dyDescent="0.3">
      <c r="B46" s="35" t="s">
        <v>34</v>
      </c>
      <c r="C46" s="29">
        <f>'REPORT unit DT HAUL'!C83</f>
        <v>14848</v>
      </c>
    </row>
    <row r="47" spans="2:12" x14ac:dyDescent="0.3">
      <c r="B47" s="35" t="s">
        <v>35</v>
      </c>
      <c r="C47" s="29">
        <f>'SUMMARY 2'!I13</f>
        <v>11500</v>
      </c>
    </row>
    <row r="48" spans="2:12" x14ac:dyDescent="0.3">
      <c r="J48" s="27"/>
    </row>
  </sheetData>
  <mergeCells count="11">
    <mergeCell ref="B44:C44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5F1809B-215F-4169-A813-C9E878219BF0}">
          <x14:formula1>
            <xm:f>'list rate unit'!$B$4:$B$27</xm:f>
          </x14:formula1>
          <xm:sqref>K1:K7 K43:K1048576</xm:sqref>
        </x14:dataValidation>
        <x14:dataValidation type="list" allowBlank="1" showInputMessage="1" showErrorMessage="1" xr:uid="{75B9498A-83E4-4815-A39E-ADBBDB20D76B}">
          <x14:formula1>
            <xm:f>'list rate unit'!$B$6:$B$26</xm:f>
          </x14:formula1>
          <xm:sqref>K8:K42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SUMMARY 2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  <vt:lpstr>'SUMMARY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2023-07-26T03:36:17Z</cp:lastPrinted>
  <dcterms:created xsi:type="dcterms:W3CDTF">2019-02-05T01:55:23Z</dcterms:created>
  <dcterms:modified xsi:type="dcterms:W3CDTF">2023-09-02T04:23:27Z</dcterms:modified>
</cp:coreProperties>
</file>