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3\CV_APP\cost production report APP\"/>
    </mc:Choice>
  </mc:AlternateContent>
  <xr:revisionPtr revIDLastSave="0" documentId="13_ncr:1_{49275DF6-C3CE-4E9B-AD3F-59804FA7B88A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11" hidden="1">'list rate unit'!$O$2:$P$2</definedName>
    <definedName name="_xlnm._FilterDatabase" localSheetId="5" hidden="1">'REPORT unit DEVELOP'!$B$7:$O$11</definedName>
    <definedName name="_xlnm._FilterDatabase" localSheetId="7" hidden="1">'REPORT unit DT HAUL'!$B$7:$Q$81</definedName>
    <definedName name="_xlnm._FilterDatabase" localSheetId="3" hidden="1">'REPORT unit OB'!$B$7:$O$39</definedName>
    <definedName name="_xlnm._FilterDatabase" localSheetId="6" hidden="1">'REPORT unit ORE GETTING'!$B$7:$O$28</definedName>
    <definedName name="_xlnm._FilterDatabase" localSheetId="4" hidden="1">'REPORT unit QUARRY'!$B$7:$O$24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6" l="1"/>
  <c r="D14" i="16"/>
  <c r="G35" i="15"/>
  <c r="D35" i="15"/>
  <c r="I29" i="15"/>
  <c r="N29" i="15"/>
  <c r="M29" i="15" s="1"/>
  <c r="E29" i="15" s="1"/>
  <c r="F29" i="15" s="1"/>
  <c r="I30" i="15"/>
  <c r="N30" i="15"/>
  <c r="M30" i="15" s="1"/>
  <c r="E30" i="15" s="1"/>
  <c r="F30" i="15" s="1"/>
  <c r="I31" i="15"/>
  <c r="N31" i="15"/>
  <c r="M31" i="15" s="1"/>
  <c r="E31" i="15" s="1"/>
  <c r="F31" i="15" s="1"/>
  <c r="I32" i="15"/>
  <c r="N32" i="15"/>
  <c r="M32" i="15" s="1"/>
  <c r="E32" i="15" s="1"/>
  <c r="F32" i="15" s="1"/>
  <c r="I33" i="15"/>
  <c r="N33" i="15"/>
  <c r="M33" i="15" s="1"/>
  <c r="E33" i="15" s="1"/>
  <c r="F33" i="15" s="1"/>
  <c r="F68" i="7"/>
  <c r="G68" i="7"/>
  <c r="I68" i="7"/>
  <c r="J68" i="7"/>
  <c r="K68" i="7"/>
  <c r="L68" i="7"/>
  <c r="N68" i="7"/>
  <c r="Q68" i="7"/>
  <c r="F69" i="7"/>
  <c r="G69" i="7"/>
  <c r="I69" i="7"/>
  <c r="J69" i="7"/>
  <c r="K69" i="7"/>
  <c r="L69" i="7"/>
  <c r="M69" i="7"/>
  <c r="N69" i="7"/>
  <c r="Q69" i="7"/>
  <c r="F70" i="7"/>
  <c r="G70" i="7"/>
  <c r="I70" i="7"/>
  <c r="J70" i="7"/>
  <c r="K70" i="7"/>
  <c r="L70" i="7"/>
  <c r="M70" i="7"/>
  <c r="N70" i="7"/>
  <c r="Q70" i="7"/>
  <c r="H9" i="14"/>
  <c r="I9" i="14"/>
  <c r="N9" i="14"/>
  <c r="M9" i="14" s="1"/>
  <c r="E9" i="14" s="1"/>
  <c r="F9" i="14" s="1"/>
  <c r="M68" i="7" l="1"/>
  <c r="J9" i="14"/>
  <c r="I26" i="12"/>
  <c r="I25" i="12"/>
  <c r="I24" i="12"/>
  <c r="I5" i="12"/>
  <c r="I4" i="12"/>
  <c r="I3" i="12"/>
  <c r="L25" i="6" l="1"/>
  <c r="K25" i="6" s="1"/>
  <c r="D25" i="6" s="1"/>
  <c r="L26" i="6"/>
  <c r="K26" i="6" s="1"/>
  <c r="D26" i="6" s="1"/>
  <c r="L27" i="6"/>
  <c r="K27" i="6" s="1"/>
  <c r="D27" i="6" s="1"/>
  <c r="L28" i="6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L32" i="6"/>
  <c r="K32" i="6" s="1"/>
  <c r="L33" i="6"/>
  <c r="K33" i="6" s="1"/>
  <c r="D33" i="6" s="1"/>
  <c r="L34" i="6"/>
  <c r="K34" i="6" s="1"/>
  <c r="D34" i="6" s="1"/>
  <c r="F56" i="7"/>
  <c r="G56" i="7" s="1"/>
  <c r="J56" i="7"/>
  <c r="K56" i="7"/>
  <c r="L56" i="7"/>
  <c r="N56" i="7"/>
  <c r="Q56" i="7"/>
  <c r="F57" i="7"/>
  <c r="G57" i="7" s="1"/>
  <c r="J57" i="7"/>
  <c r="K57" i="7"/>
  <c r="L57" i="7"/>
  <c r="N57" i="7"/>
  <c r="Q57" i="7"/>
  <c r="F58" i="7"/>
  <c r="G58" i="7" s="1"/>
  <c r="J58" i="7"/>
  <c r="K58" i="7"/>
  <c r="L58" i="7"/>
  <c r="N58" i="7"/>
  <c r="Q58" i="7"/>
  <c r="F59" i="7"/>
  <c r="G59" i="7" s="1"/>
  <c r="J59" i="7"/>
  <c r="K59" i="7"/>
  <c r="L59" i="7"/>
  <c r="N59" i="7"/>
  <c r="Q59" i="7"/>
  <c r="F60" i="7"/>
  <c r="G60" i="7" s="1"/>
  <c r="J60" i="7"/>
  <c r="K60" i="7"/>
  <c r="L60" i="7"/>
  <c r="N60" i="7"/>
  <c r="Q60" i="7"/>
  <c r="F61" i="7"/>
  <c r="G61" i="7" s="1"/>
  <c r="J61" i="7"/>
  <c r="K61" i="7"/>
  <c r="L61" i="7"/>
  <c r="N61" i="7"/>
  <c r="Q61" i="7"/>
  <c r="F62" i="7"/>
  <c r="G62" i="7" s="1"/>
  <c r="J62" i="7"/>
  <c r="K62" i="7"/>
  <c r="L62" i="7"/>
  <c r="N62" i="7"/>
  <c r="Q62" i="7"/>
  <c r="F63" i="7"/>
  <c r="G63" i="7" s="1"/>
  <c r="J63" i="7"/>
  <c r="K63" i="7"/>
  <c r="L63" i="7"/>
  <c r="N63" i="7"/>
  <c r="Q63" i="7"/>
  <c r="F64" i="7"/>
  <c r="G64" i="7" s="1"/>
  <c r="J64" i="7"/>
  <c r="K64" i="7"/>
  <c r="L64" i="7"/>
  <c r="N64" i="7"/>
  <c r="Q64" i="7"/>
  <c r="F65" i="7"/>
  <c r="G65" i="7" s="1"/>
  <c r="J65" i="7"/>
  <c r="K65" i="7"/>
  <c r="L65" i="7"/>
  <c r="N65" i="7"/>
  <c r="Q65" i="7"/>
  <c r="F66" i="7"/>
  <c r="G66" i="7" s="1"/>
  <c r="J66" i="7"/>
  <c r="K66" i="7"/>
  <c r="L66" i="7"/>
  <c r="N66" i="7"/>
  <c r="Q66" i="7"/>
  <c r="F67" i="7"/>
  <c r="G67" i="7" s="1"/>
  <c r="J67" i="7"/>
  <c r="K67" i="7"/>
  <c r="L67" i="7"/>
  <c r="N67" i="7"/>
  <c r="Q67" i="7"/>
  <c r="F71" i="7"/>
  <c r="G71" i="7" s="1"/>
  <c r="J71" i="7"/>
  <c r="K71" i="7"/>
  <c r="L71" i="7"/>
  <c r="N71" i="7"/>
  <c r="Q71" i="7"/>
  <c r="F72" i="7"/>
  <c r="G72" i="7" s="1"/>
  <c r="J72" i="7"/>
  <c r="K72" i="7"/>
  <c r="L72" i="7"/>
  <c r="N72" i="7"/>
  <c r="Q72" i="7"/>
  <c r="F73" i="7"/>
  <c r="G73" i="7" s="1"/>
  <c r="J73" i="7"/>
  <c r="K73" i="7"/>
  <c r="L73" i="7"/>
  <c r="N73" i="7"/>
  <c r="Q73" i="7"/>
  <c r="D83" i="7"/>
  <c r="E83" i="7"/>
  <c r="I21" i="15" l="1"/>
  <c r="N21" i="15"/>
  <c r="M21" i="15" s="1"/>
  <c r="E21" i="15" s="1"/>
  <c r="F21" i="15" s="1"/>
  <c r="I22" i="15"/>
  <c r="N22" i="15"/>
  <c r="M22" i="15" s="1"/>
  <c r="E22" i="15" s="1"/>
  <c r="F22" i="15" s="1"/>
  <c r="I23" i="15"/>
  <c r="N23" i="15"/>
  <c r="M23" i="15" s="1"/>
  <c r="E23" i="15" s="1"/>
  <c r="F23" i="15" s="1"/>
  <c r="I24" i="15"/>
  <c r="N24" i="15"/>
  <c r="M24" i="15" s="1"/>
  <c r="E24" i="15" s="1"/>
  <c r="F24" i="15" s="1"/>
  <c r="I25" i="15"/>
  <c r="N25" i="15"/>
  <c r="M25" i="15" s="1"/>
  <c r="E25" i="15" s="1"/>
  <c r="F25" i="15" s="1"/>
  <c r="I10" i="14"/>
  <c r="N10" i="14"/>
  <c r="M10" i="14" s="1"/>
  <c r="E10" i="14" s="1"/>
  <c r="F10" i="14" s="1"/>
  <c r="G39" i="4"/>
  <c r="G26" i="13"/>
  <c r="D26" i="13"/>
  <c r="I29" i="4"/>
  <c r="N29" i="4"/>
  <c r="M29" i="4" s="1"/>
  <c r="E29" i="4" s="1"/>
  <c r="F29" i="4" s="1"/>
  <c r="I30" i="4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C42" i="4" l="1"/>
  <c r="I10" i="12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E24" i="13"/>
  <c r="F24" i="13" s="1"/>
  <c r="I24" i="13"/>
  <c r="N24" i="13"/>
  <c r="D13" i="16"/>
  <c r="F44" i="7"/>
  <c r="G44" i="7" s="1"/>
  <c r="J44" i="7"/>
  <c r="K44" i="7"/>
  <c r="L44" i="7"/>
  <c r="N44" i="7"/>
  <c r="Q44" i="7"/>
  <c r="F45" i="7"/>
  <c r="G45" i="7" s="1"/>
  <c r="J45" i="7"/>
  <c r="K45" i="7"/>
  <c r="L45" i="7"/>
  <c r="N45" i="7"/>
  <c r="Q45" i="7"/>
  <c r="F46" i="7"/>
  <c r="G46" i="7" s="1"/>
  <c r="J46" i="7"/>
  <c r="K46" i="7"/>
  <c r="L46" i="7"/>
  <c r="N46" i="7"/>
  <c r="Q46" i="7"/>
  <c r="F47" i="7"/>
  <c r="G47" i="7" s="1"/>
  <c r="J47" i="7"/>
  <c r="K47" i="7"/>
  <c r="L47" i="7"/>
  <c r="N47" i="7"/>
  <c r="Q47" i="7"/>
  <c r="F48" i="7"/>
  <c r="G48" i="7" s="1"/>
  <c r="J48" i="7"/>
  <c r="K48" i="7"/>
  <c r="L48" i="7"/>
  <c r="N48" i="7"/>
  <c r="Q48" i="7"/>
  <c r="F49" i="7"/>
  <c r="G49" i="7" s="1"/>
  <c r="J49" i="7"/>
  <c r="K49" i="7"/>
  <c r="L49" i="7"/>
  <c r="N49" i="7"/>
  <c r="Q49" i="7"/>
  <c r="F50" i="7"/>
  <c r="G50" i="7" s="1"/>
  <c r="J50" i="7"/>
  <c r="K50" i="7"/>
  <c r="L50" i="7"/>
  <c r="N50" i="7"/>
  <c r="Q50" i="7"/>
  <c r="F51" i="7"/>
  <c r="G51" i="7" s="1"/>
  <c r="J51" i="7"/>
  <c r="K51" i="7"/>
  <c r="L51" i="7"/>
  <c r="N51" i="7"/>
  <c r="Q51" i="7"/>
  <c r="F52" i="7"/>
  <c r="G52" i="7" s="1"/>
  <c r="J52" i="7"/>
  <c r="K52" i="7"/>
  <c r="L52" i="7"/>
  <c r="N52" i="7"/>
  <c r="Q52" i="7"/>
  <c r="F53" i="7"/>
  <c r="G53" i="7" s="1"/>
  <c r="J53" i="7"/>
  <c r="K53" i="7"/>
  <c r="L53" i="7"/>
  <c r="N53" i="7"/>
  <c r="Q53" i="7"/>
  <c r="F54" i="7"/>
  <c r="G54" i="7" s="1"/>
  <c r="J54" i="7"/>
  <c r="K54" i="7"/>
  <c r="L54" i="7"/>
  <c r="N54" i="7"/>
  <c r="Q54" i="7"/>
  <c r="F55" i="7"/>
  <c r="G55" i="7" s="1"/>
  <c r="J55" i="7"/>
  <c r="K55" i="7"/>
  <c r="L55" i="7"/>
  <c r="N55" i="7"/>
  <c r="Q55" i="7"/>
  <c r="F74" i="7"/>
  <c r="G74" i="7" s="1"/>
  <c r="J74" i="7"/>
  <c r="K74" i="7"/>
  <c r="L74" i="7"/>
  <c r="N74" i="7"/>
  <c r="Q74" i="7"/>
  <c r="F75" i="7"/>
  <c r="G75" i="7" s="1"/>
  <c r="J75" i="7"/>
  <c r="K75" i="7"/>
  <c r="L75" i="7"/>
  <c r="N75" i="7"/>
  <c r="Q75" i="7"/>
  <c r="F76" i="7"/>
  <c r="G76" i="7" s="1"/>
  <c r="J76" i="7"/>
  <c r="K76" i="7"/>
  <c r="L76" i="7"/>
  <c r="N76" i="7"/>
  <c r="Q76" i="7"/>
  <c r="F77" i="7"/>
  <c r="G77" i="7" s="1"/>
  <c r="J77" i="7"/>
  <c r="K77" i="7"/>
  <c r="L77" i="7"/>
  <c r="N77" i="7"/>
  <c r="Q77" i="7"/>
  <c r="F78" i="7"/>
  <c r="G78" i="7" s="1"/>
  <c r="J78" i="7"/>
  <c r="K78" i="7"/>
  <c r="L78" i="7"/>
  <c r="N78" i="7"/>
  <c r="Q78" i="7"/>
  <c r="F79" i="7"/>
  <c r="G79" i="7" s="1"/>
  <c r="J79" i="7"/>
  <c r="K79" i="7"/>
  <c r="L79" i="7"/>
  <c r="N79" i="7"/>
  <c r="Q79" i="7"/>
  <c r="F80" i="7"/>
  <c r="G80" i="7" s="1"/>
  <c r="J80" i="7"/>
  <c r="K80" i="7"/>
  <c r="L80" i="7"/>
  <c r="N80" i="7"/>
  <c r="Q80" i="7"/>
  <c r="F81" i="7"/>
  <c r="G81" i="7" s="1"/>
  <c r="J81" i="7"/>
  <c r="K81" i="7"/>
  <c r="L81" i="7"/>
  <c r="N81" i="7"/>
  <c r="Q81" i="7"/>
  <c r="H33" i="4" l="1"/>
  <c r="J33" i="4" s="1"/>
  <c r="H29" i="4"/>
  <c r="J29" i="4" s="1"/>
  <c r="H30" i="4"/>
  <c r="J30" i="4" s="1"/>
  <c r="H32" i="4"/>
  <c r="J32" i="4" s="1"/>
  <c r="H31" i="4"/>
  <c r="J31" i="4" s="1"/>
  <c r="D23" i="12"/>
  <c r="C23" i="12" l="1"/>
  <c r="F18" i="16" l="1"/>
  <c r="F12" i="16"/>
  <c r="I9" i="12" s="1"/>
  <c r="J10" i="16"/>
  <c r="F10" i="16"/>
  <c r="I7" i="12" s="1"/>
  <c r="D22" i="12"/>
  <c r="D20" i="12"/>
  <c r="D19" i="12"/>
  <c r="D21" i="12" s="1"/>
  <c r="E10" i="13"/>
  <c r="F10" i="13" s="1"/>
  <c r="I10" i="13"/>
  <c r="N10" i="13"/>
  <c r="I28" i="4"/>
  <c r="N28" i="4"/>
  <c r="M28" i="4" s="1"/>
  <c r="E28" i="4" s="1"/>
  <c r="F28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I37" i="4"/>
  <c r="N37" i="4"/>
  <c r="M37" i="4" s="1"/>
  <c r="E37" i="4" s="1"/>
  <c r="F37" i="4" s="1"/>
  <c r="O7" i="12" l="1"/>
  <c r="O9" i="12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8" i="7"/>
  <c r="K27" i="5"/>
  <c r="D32" i="6" s="1"/>
  <c r="N83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D24" i="6" s="1"/>
  <c r="L35" i="6"/>
  <c r="K35" i="6" s="1"/>
  <c r="D35" i="6" s="1"/>
  <c r="L36" i="6"/>
  <c r="K36" i="6" s="1"/>
  <c r="D36" i="6" s="1"/>
  <c r="E38" i="6"/>
  <c r="D39" i="4" l="1"/>
  <c r="C20" i="12" l="1"/>
  <c r="G38" i="6"/>
  <c r="C38" i="15" l="1"/>
  <c r="C37" i="15"/>
  <c r="J18" i="16"/>
  <c r="I27" i="12" s="1"/>
  <c r="I22" i="12" s="1"/>
  <c r="N28" i="15"/>
  <c r="M28" i="15" s="1"/>
  <c r="E28" i="15" s="1"/>
  <c r="F28" i="15" s="1"/>
  <c r="I28" i="15"/>
  <c r="N27" i="15"/>
  <c r="M27" i="15" s="1"/>
  <c r="E27" i="15" s="1"/>
  <c r="F27" i="15" s="1"/>
  <c r="I27" i="15"/>
  <c r="N26" i="15"/>
  <c r="M26" i="15" s="1"/>
  <c r="E26" i="15" s="1"/>
  <c r="F26" i="15" s="1"/>
  <c r="I26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C16" i="14"/>
  <c r="C15" i="14"/>
  <c r="G13" i="14"/>
  <c r="D13" i="14"/>
  <c r="N11" i="14"/>
  <c r="M11" i="14" s="1"/>
  <c r="E11" i="14" s="1"/>
  <c r="I11" i="14"/>
  <c r="N9" i="13"/>
  <c r="I9" i="13"/>
  <c r="E9" i="13"/>
  <c r="F9" i="13" s="1"/>
  <c r="N8" i="13"/>
  <c r="I8" i="13"/>
  <c r="E8" i="13"/>
  <c r="F8" i="15" l="1"/>
  <c r="F35" i="15" s="1"/>
  <c r="E35" i="15"/>
  <c r="H29" i="15"/>
  <c r="H33" i="15"/>
  <c r="J33" i="15" s="1"/>
  <c r="H30" i="15"/>
  <c r="J30" i="15" s="1"/>
  <c r="H31" i="15"/>
  <c r="J31" i="15" s="1"/>
  <c r="H32" i="15"/>
  <c r="J32" i="15" s="1"/>
  <c r="H21" i="15"/>
  <c r="J21" i="15" s="1"/>
  <c r="H25" i="15"/>
  <c r="J25" i="15" s="1"/>
  <c r="H23" i="15"/>
  <c r="J23" i="15" s="1"/>
  <c r="H24" i="15"/>
  <c r="J24" i="15" s="1"/>
  <c r="H22" i="15"/>
  <c r="J22" i="15" s="1"/>
  <c r="H8" i="14"/>
  <c r="J8" i="14" s="1"/>
  <c r="H10" i="14"/>
  <c r="J10" i="14" s="1"/>
  <c r="F8" i="13"/>
  <c r="F26" i="13" s="1"/>
  <c r="E26" i="13"/>
  <c r="H28" i="15"/>
  <c r="J28" i="15" s="1"/>
  <c r="E13" i="14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27" i="15"/>
  <c r="J27" i="15" s="1"/>
  <c r="H26" i="15"/>
  <c r="J26" i="15" s="1"/>
  <c r="H11" i="15"/>
  <c r="J11" i="15" s="1"/>
  <c r="H15" i="15"/>
  <c r="J15" i="15" s="1"/>
  <c r="F11" i="14"/>
  <c r="F13" i="14" s="1"/>
  <c r="H11" i="14"/>
  <c r="J19" i="15"/>
  <c r="I35" i="15"/>
  <c r="I13" i="14"/>
  <c r="I26" i="13"/>
  <c r="J29" i="15" l="1"/>
  <c r="H35" i="15"/>
  <c r="J35" i="15"/>
  <c r="J11" i="14"/>
  <c r="J13" i="14" s="1"/>
  <c r="H13" i="14"/>
  <c r="E20" i="11" l="1"/>
  <c r="D24" i="16"/>
  <c r="I13" i="12" s="1"/>
  <c r="E21" i="11"/>
  <c r="D25" i="16"/>
  <c r="I14" i="12" s="1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C29" i="13"/>
  <c r="C28" i="13"/>
  <c r="H16" i="13" l="1"/>
  <c r="J16" i="13" s="1"/>
  <c r="H19" i="13"/>
  <c r="J19" i="13" s="1"/>
  <c r="H11" i="13"/>
  <c r="J11" i="13" s="1"/>
  <c r="H22" i="13"/>
  <c r="J22" i="13" s="1"/>
  <c r="H14" i="13"/>
  <c r="J14" i="13" s="1"/>
  <c r="H17" i="13"/>
  <c r="J17" i="13" s="1"/>
  <c r="H24" i="13"/>
  <c r="J24" i="13" s="1"/>
  <c r="H20" i="13"/>
  <c r="J20" i="13" s="1"/>
  <c r="H12" i="13"/>
  <c r="J12" i="13" s="1"/>
  <c r="H23" i="13"/>
  <c r="J23" i="13" s="1"/>
  <c r="H18" i="13"/>
  <c r="J18" i="13" s="1"/>
  <c r="H21" i="13"/>
  <c r="J21" i="13" s="1"/>
  <c r="H15" i="13"/>
  <c r="J15" i="13" s="1"/>
  <c r="H13" i="13"/>
  <c r="J13" i="13" s="1"/>
  <c r="H10" i="13"/>
  <c r="J10" i="13" s="1"/>
  <c r="H9" i="13"/>
  <c r="J9" i="13" s="1"/>
  <c r="H8" i="13"/>
  <c r="I18" i="4"/>
  <c r="N18" i="4"/>
  <c r="M18" i="4" s="1"/>
  <c r="E18" i="4" s="1"/>
  <c r="F18" i="4" s="1"/>
  <c r="I19" i="4"/>
  <c r="N19" i="4"/>
  <c r="M19" i="4" s="1"/>
  <c r="E19" i="4" s="1"/>
  <c r="F19" i="4" s="1"/>
  <c r="H26" i="13" l="1"/>
  <c r="J8" i="13"/>
  <c r="J26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I12" i="12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C22" i="12" l="1"/>
  <c r="C19" i="12"/>
  <c r="C21" i="12" s="1"/>
  <c r="C41" i="6" l="1"/>
  <c r="L10" i="6"/>
  <c r="K10" i="6" s="1"/>
  <c r="D10" i="6" s="1"/>
  <c r="C87" i="7"/>
  <c r="F32" i="6" l="1"/>
  <c r="H32" i="6" s="1"/>
  <c r="F29" i="6"/>
  <c r="H29" i="6" s="1"/>
  <c r="F31" i="6"/>
  <c r="H31" i="6" s="1"/>
  <c r="F25" i="6"/>
  <c r="H25" i="6" s="1"/>
  <c r="F33" i="6"/>
  <c r="H33" i="6" s="1"/>
  <c r="F27" i="6"/>
  <c r="H27" i="6" s="1"/>
  <c r="F26" i="6"/>
  <c r="H26" i="6" s="1"/>
  <c r="F34" i="6"/>
  <c r="H34" i="6" s="1"/>
  <c r="F28" i="6"/>
  <c r="H28" i="6" s="1"/>
  <c r="F30" i="6"/>
  <c r="H30" i="6" s="1"/>
  <c r="I64" i="7"/>
  <c r="M64" i="7" s="1"/>
  <c r="I67" i="7"/>
  <c r="M67" i="7" s="1"/>
  <c r="I63" i="7"/>
  <c r="M63" i="7" s="1"/>
  <c r="I57" i="7"/>
  <c r="M57" i="7" s="1"/>
  <c r="I58" i="7"/>
  <c r="M58" i="7" s="1"/>
  <c r="I56" i="7"/>
  <c r="M56" i="7" s="1"/>
  <c r="I62" i="7"/>
  <c r="M62" i="7" s="1"/>
  <c r="I72" i="7"/>
  <c r="M72" i="7" s="1"/>
  <c r="I60" i="7"/>
  <c r="M60" i="7" s="1"/>
  <c r="I65" i="7"/>
  <c r="M65" i="7" s="1"/>
  <c r="I73" i="7"/>
  <c r="M73" i="7" s="1"/>
  <c r="I66" i="7"/>
  <c r="M66" i="7" s="1"/>
  <c r="I61" i="7"/>
  <c r="M61" i="7" s="1"/>
  <c r="I71" i="7"/>
  <c r="M71" i="7" s="1"/>
  <c r="I59" i="7"/>
  <c r="M59" i="7" s="1"/>
  <c r="I49" i="7"/>
  <c r="M49" i="7" s="1"/>
  <c r="I75" i="7"/>
  <c r="M75" i="7" s="1"/>
  <c r="I47" i="7"/>
  <c r="M47" i="7" s="1"/>
  <c r="I77" i="7"/>
  <c r="M77" i="7" s="1"/>
  <c r="I78" i="7"/>
  <c r="M78" i="7" s="1"/>
  <c r="I44" i="7"/>
  <c r="M44" i="7" s="1"/>
  <c r="I45" i="7"/>
  <c r="M45" i="7" s="1"/>
  <c r="I54" i="7"/>
  <c r="M54" i="7" s="1"/>
  <c r="I80" i="7"/>
  <c r="M80" i="7" s="1"/>
  <c r="I51" i="7"/>
  <c r="M51" i="7" s="1"/>
  <c r="I52" i="7"/>
  <c r="M52" i="7" s="1"/>
  <c r="I50" i="7"/>
  <c r="M50" i="7" s="1"/>
  <c r="I76" i="7"/>
  <c r="M76" i="7" s="1"/>
  <c r="I81" i="7"/>
  <c r="M81" i="7" s="1"/>
  <c r="I48" i="7"/>
  <c r="M48" i="7" s="1"/>
  <c r="I74" i="7"/>
  <c r="M74" i="7" s="1"/>
  <c r="I53" i="7"/>
  <c r="M53" i="7" s="1"/>
  <c r="I79" i="7"/>
  <c r="M79" i="7" s="1"/>
  <c r="I46" i="7"/>
  <c r="M46" i="7" s="1"/>
  <c r="I55" i="7"/>
  <c r="M55" i="7" s="1"/>
  <c r="H28" i="4"/>
  <c r="J28" i="4" s="1"/>
  <c r="H34" i="4"/>
  <c r="J34" i="4" s="1"/>
  <c r="H35" i="4"/>
  <c r="J35" i="4" s="1"/>
  <c r="H36" i="4"/>
  <c r="J36" i="4" s="1"/>
  <c r="H37" i="4"/>
  <c r="J37" i="4" s="1"/>
  <c r="F15" i="6"/>
  <c r="H15" i="6" s="1"/>
  <c r="F16" i="6"/>
  <c r="H16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35" i="6"/>
  <c r="H35" i="6" s="1"/>
  <c r="F36" i="6"/>
  <c r="H36" i="6" s="1"/>
  <c r="F24" i="6"/>
  <c r="H24" i="6" s="1"/>
  <c r="F13" i="6"/>
  <c r="H13" i="6" s="1"/>
  <c r="F14" i="6"/>
  <c r="H14" i="6" s="1"/>
  <c r="F11" i="6"/>
  <c r="H11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21" i="7"/>
  <c r="M21" i="7" s="1"/>
  <c r="I13" i="7"/>
  <c r="M13" i="7" s="1"/>
  <c r="I29" i="7"/>
  <c r="M29" i="7" s="1"/>
  <c r="I37" i="7"/>
  <c r="M37" i="7" s="1"/>
  <c r="O5" i="12" l="1"/>
  <c r="A12" i="12"/>
  <c r="A13" i="12"/>
  <c r="A14" i="12"/>
  <c r="A15" i="12"/>
  <c r="A16" i="12"/>
  <c r="A11" i="12"/>
  <c r="I10" i="11"/>
  <c r="O14" i="12" l="1"/>
  <c r="A30" i="12" l="1"/>
  <c r="O26" i="12"/>
  <c r="O25" i="12"/>
  <c r="O24" i="12"/>
  <c r="O13" i="12"/>
  <c r="O12" i="12"/>
  <c r="O10" i="12"/>
  <c r="O3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0" i="11" l="1"/>
  <c r="E28" i="11" s="1"/>
  <c r="E12" i="11" l="1"/>
  <c r="I20" i="11"/>
  <c r="J20" i="11" s="1"/>
  <c r="I21" i="11"/>
  <c r="J21" i="11" s="1"/>
  <c r="I19" i="11"/>
  <c r="J19" i="11" s="1"/>
  <c r="O4" i="12"/>
  <c r="O6" i="12" s="1"/>
  <c r="J24" i="16"/>
  <c r="K24" i="16" s="1"/>
  <c r="E13" i="16"/>
  <c r="I6" i="12" s="1"/>
  <c r="D31" i="16"/>
  <c r="I18" i="12" s="1"/>
  <c r="J25" i="16"/>
  <c r="K25" i="16" s="1"/>
  <c r="F11" i="16"/>
  <c r="I8" i="12" s="1"/>
  <c r="J23" i="16"/>
  <c r="K23" i="16" s="1"/>
  <c r="O8" i="12" l="1"/>
  <c r="F13" i="16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83" i="7" l="1"/>
  <c r="AK29" i="2" l="1"/>
  <c r="K83" i="7" l="1"/>
  <c r="D36" i="1" l="1"/>
  <c r="D35" i="1" l="1"/>
  <c r="D34" i="1"/>
  <c r="D32" i="1"/>
  <c r="D33" i="1"/>
  <c r="L8" i="6"/>
  <c r="K8" i="6" s="1"/>
  <c r="D8" i="6" s="1"/>
  <c r="D38" i="6" s="1"/>
  <c r="N8" i="4"/>
  <c r="M8" i="4" s="1"/>
  <c r="E8" i="4" s="1"/>
  <c r="AK4" i="2"/>
  <c r="F8" i="4" l="1"/>
  <c r="E39" i="4"/>
  <c r="AK30" i="2"/>
  <c r="H8" i="4"/>
  <c r="AK5" i="1"/>
  <c r="AK4" i="1"/>
  <c r="F8" i="6"/>
  <c r="F38" i="6" s="1"/>
  <c r="AK29" i="1" l="1"/>
  <c r="H8" i="6"/>
  <c r="H83" i="7"/>
  <c r="J8" i="4"/>
  <c r="J39" i="4" s="1"/>
  <c r="D22" i="16" s="1"/>
  <c r="I11" i="12" s="1"/>
  <c r="I8" i="4"/>
  <c r="E39" i="2"/>
  <c r="E41" i="2" s="1"/>
  <c r="E14" i="16" l="1"/>
  <c r="F14" i="16" s="1"/>
  <c r="I23" i="12" s="1"/>
  <c r="J22" i="16"/>
  <c r="K22" i="16" s="1"/>
  <c r="J19" i="16"/>
  <c r="I28" i="12" s="1"/>
  <c r="I15" i="11"/>
  <c r="H38" i="6"/>
  <c r="H39" i="4"/>
  <c r="E18" i="11"/>
  <c r="M83" i="7"/>
  <c r="L83" i="7"/>
  <c r="I83" i="7"/>
  <c r="D38" i="1"/>
  <c r="D40" i="1" s="1"/>
  <c r="J83" i="7"/>
  <c r="O28" i="12" l="1"/>
  <c r="O23" i="12"/>
  <c r="O27" i="12"/>
  <c r="O22" i="12" s="1"/>
  <c r="E22" i="11"/>
  <c r="D26" i="16"/>
  <c r="I15" i="12" s="1"/>
  <c r="E23" i="11"/>
  <c r="I23" i="11" s="1"/>
  <c r="J23" i="11" s="1"/>
  <c r="D27" i="16"/>
  <c r="I16" i="12" s="1"/>
  <c r="I18" i="11"/>
  <c r="O11" i="12"/>
  <c r="F39" i="4"/>
  <c r="I39" i="4"/>
  <c r="O16" i="12" l="1"/>
  <c r="J26" i="16"/>
  <c r="K26" i="16" s="1"/>
  <c r="O15" i="12"/>
  <c r="I22" i="11"/>
  <c r="J22" i="11" s="1"/>
  <c r="J27" i="16"/>
  <c r="D30" i="16"/>
  <c r="I17" i="12" s="1"/>
  <c r="E26" i="11"/>
  <c r="J18" i="11"/>
  <c r="C41" i="4"/>
  <c r="C86" i="7" s="1"/>
  <c r="C40" i="6" s="1"/>
  <c r="I20" i="12" l="1"/>
  <c r="I19" i="12"/>
  <c r="I21" i="12" s="1"/>
  <c r="J24" i="11"/>
  <c r="I24" i="11"/>
  <c r="J30" i="16"/>
  <c r="I29" i="12" s="1"/>
  <c r="D33" i="16"/>
  <c r="B35" i="16"/>
  <c r="K27" i="16"/>
  <c r="K28" i="16" s="1"/>
  <c r="J28" i="16"/>
  <c r="B31" i="11"/>
  <c r="I26" i="11"/>
  <c r="E30" i="11"/>
  <c r="I27" i="16" l="1"/>
  <c r="J31" i="16"/>
  <c r="I30" i="12" s="1"/>
  <c r="I24" i="16"/>
  <c r="I26" i="16"/>
  <c r="I25" i="16"/>
  <c r="I22" i="16"/>
  <c r="I23" i="16"/>
  <c r="I27" i="11"/>
  <c r="O29" i="12"/>
  <c r="O17" i="12"/>
  <c r="O20" i="12" s="1"/>
  <c r="H18" i="11"/>
  <c r="H19" i="11"/>
  <c r="H23" i="11"/>
  <c r="H21" i="11"/>
  <c r="H20" i="11"/>
  <c r="H22" i="11"/>
  <c r="O30" i="12" l="1"/>
  <c r="I28" i="16"/>
  <c r="O19" i="12"/>
  <c r="O21" i="12" s="1"/>
  <c r="H24" i="11"/>
</calcChain>
</file>

<file path=xl/sharedStrings.xml><?xml version="1.0" encoding="utf-8"?>
<sst xmlns="http://schemas.openxmlformats.org/spreadsheetml/2006/main" count="1183" uniqueCount="426">
  <si>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</si>
  <si>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</si>
  <si>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</si>
  <si>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</si>
  <si>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</si>
  <si>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</si>
  <si>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</si>
  <si>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</si>
  <si>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</si>
  <si>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</si>
  <si>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</si>
  <si>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</si>
  <si>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</si>
  <si>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</si>
  <si>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</si>
  <si>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</si>
  <si>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</si>
  <si>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</si>
  <si>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</si>
  <si>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</si>
  <si>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</si>
  <si>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</si>
  <si>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</si>
  <si>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</si>
  <si>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</si>
  <si>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</si>
  <si>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</si>
  <si>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</si>
  <si>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</si>
  <si>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</si>
  <si>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</si>
  <si>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</si>
  <si>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</si>
  <si>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</si>
  <si>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</si>
  <si>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</si>
  <si>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</si>
  <si>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</si>
  <si>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</si>
  <si>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</si>
  <si>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</si>
  <si>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</si>
  <si>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</si>
  <si>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</si>
  <si>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</si>
  <si>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</si>
  <si>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</si>
  <si>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</si>
  <si>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</si>
  <si>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</si>
  <si>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</si>
  <si>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</si>
  <si>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</si>
  <si>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</si>
  <si>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</si>
  <si>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</si>
  <si>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</si>
  <si>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</si>
  <si>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</si>
  <si>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</si>
  <si>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</si>
  <si>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</si>
  <si>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</si>
  <si>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</si>
  <si>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</si>
  <si>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</si>
  <si>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</si>
  <si>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</si>
  <si>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</si>
  <si>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</si>
  <si>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</si>
  <si>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</si>
  <si>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</si>
  <si>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</si>
  <si>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</si>
  <si>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</si>
  <si>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</si>
  <si>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</si>
  <si>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</si>
  <si>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</si>
  <si>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</si>
  <si>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</si>
  <si>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</si>
  <si>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</si>
  <si>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</si>
  <si>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</si>
  <si>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</si>
  <si>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</si>
  <si>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</si>
  <si>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</si>
  <si>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</si>
  <si>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</si>
  <si>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</si>
  <si>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</si>
  <si>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</si>
  <si>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</si>
  <si>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</si>
  <si>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</si>
  <si>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</si>
  <si>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</si>
  <si>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</si>
  <si>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</si>
  <si>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</si>
  <si>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</si>
  <si>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</si>
  <si>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</si>
  <si>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</si>
  <si>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</si>
  <si>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</si>
  <si>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</si>
  <si>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</si>
  <si>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</si>
  <si>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</si>
  <si>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</si>
  <si>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</si>
  <si>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</si>
  <si>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</si>
  <si>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</si>
  <si>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</si>
  <si>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</si>
  <si>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</si>
  <si>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</si>
  <si>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</si>
  <si>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</si>
  <si>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</si>
  <si>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</si>
  <si>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</si>
  <si>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</si>
  <si>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</si>
  <si>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</si>
  <si>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</si>
  <si>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</si>
  <si>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</si>
  <si>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</si>
  <si>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</si>
  <si>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</si>
  <si>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</si>
  <si>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</si>
  <si>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</si>
  <si>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</si>
  <si>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</si>
  <si>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</si>
  <si>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</si>
  <si>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</si>
  <si>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</si>
  <si>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</si>
  <si>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</si>
  <si>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</si>
  <si>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</si>
  <si>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</si>
  <si>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</si>
  <si>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</si>
  <si>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</si>
  <si>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</si>
  <si>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</si>
  <si>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</si>
  <si>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</si>
  <si>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</si>
  <si>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</si>
  <si>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</si>
  <si>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</si>
  <si>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</si>
  <si>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</si>
  <si>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</si>
  <si>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</si>
  <si>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</si>
  <si>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</si>
  <si>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</si>
  <si>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</si>
  <si>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</si>
  <si>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</si>
  <si>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</si>
  <si>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</si>
  <si>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</si>
  <si>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</si>
  <si>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</si>
  <si>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</si>
  <si>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</si>
  <si>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</si>
  <si>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</si>
  <si>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</si>
  <si>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</si>
  <si>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</si>
  <si>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</si>
  <si>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</si>
  <si>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</si>
  <si>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</si>
  <si>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</si>
  <si>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</si>
  <si>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</si>
  <si>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</si>
  <si>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</si>
  <si>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</si>
  <si>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</si>
  <si>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</si>
  <si>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</si>
  <si>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</si>
  <si>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</si>
  <si>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</si>
  <si>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</si>
  <si>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</si>
  <si>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</si>
  <si>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</si>
  <si>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</si>
  <si>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</si>
  <si>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</si>
  <si>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</si>
  <si>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</si>
  <si>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</si>
  <si>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</si>
  <si>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</si>
  <si>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</si>
  <si>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</si>
  <si>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</si>
  <si>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</si>
  <si>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</si>
  <si>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</si>
  <si>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</si>
  <si>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</si>
  <si>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</si>
  <si>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</si>
  <si>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</si>
  <si>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</si>
  <si>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</si>
  <si>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</si>
  <si>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</si>
  <si>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</si>
  <si>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</si>
  <si>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</si>
  <si>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314</t>
  </si>
  <si>
    <t xml:space="preserve"> DT HINO G 315</t>
  </si>
  <si>
    <t xml:space="preserve"> DT HINO G 317</t>
  </si>
  <si>
    <t xml:space="preserve"> DT HINO G 318</t>
  </si>
  <si>
    <t xml:space="preserve"> DT HINO G 321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</si>
  <si>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</si>
  <si>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</si>
  <si>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</si>
  <si>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</si>
  <si>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329</t>
  </si>
  <si>
    <t xml:space="preserve"> DT HINO G 332</t>
  </si>
  <si>
    <t xml:space="preserve"> DT HINO G 333</t>
  </si>
  <si>
    <t xml:space="preserve"> DT HINO G 334</t>
  </si>
  <si>
    <t xml:space="preserve"> DT HINO G 336</t>
  </si>
  <si>
    <t xml:space="preserve"> DT HINO G 337</t>
  </si>
  <si>
    <t xml:space="preserve"> DT HINO G 339</t>
  </si>
  <si>
    <t xml:space="preserve"> DT HINO G 341</t>
  </si>
  <si>
    <t xml:space="preserve"> DT HINO G 343</t>
  </si>
  <si>
    <t xml:space="preserve"> DT HINO G 344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</si>
  <si>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</si>
  <si>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</si>
  <si>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</si>
  <si>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</si>
  <si>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</si>
  <si>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</si>
  <si>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</si>
  <si>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</si>
  <si>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</si>
  <si>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</si>
  <si>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</si>
  <si>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</si>
  <si>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</si>
  <si>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</si>
  <si>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</si>
  <si>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</si>
  <si>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</si>
  <si>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</si>
  <si>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</si>
  <si>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</si>
  <si>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</si>
  <si>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</si>
  <si>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</si>
  <si>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</si>
  <si>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</si>
  <si>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</si>
  <si>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</si>
  <si>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</si>
  <si>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</si>
  <si>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</si>
  <si>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</si>
  <si>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</si>
  <si>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</si>
  <si>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</si>
  <si>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</si>
  <si>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</si>
  <si>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</si>
  <si>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</si>
  <si>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</si>
  <si>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</si>
  <si>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</si>
  <si>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</si>
  <si>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</si>
  <si>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</si>
  <si>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</si>
  <si>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</si>
  <si>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</si>
  <si>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</si>
  <si>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</si>
  <si>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</si>
  <si>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</si>
  <si>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</si>
  <si>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</si>
  <si>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</si>
  <si>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</si>
  <si>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</si>
  <si>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</si>
  <si>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</si>
  <si>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</si>
  <si>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</si>
  <si>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</si>
  <si>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</si>
  <si>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</si>
  <si>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</si>
  <si>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</si>
  <si>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</si>
  <si>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</si>
  <si>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</si>
  <si>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</si>
  <si>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</si>
  <si>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</si>
  <si>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</si>
  <si>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</si>
  <si>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</si>
  <si>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</si>
  <si>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</si>
  <si>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</si>
  <si>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</si>
  <si>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</si>
  <si>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</si>
  <si>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</si>
  <si>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</si>
  <si>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</si>
  <si>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</si>
  <si>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</si>
  <si>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</si>
  <si>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</si>
  <si>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</si>
  <si>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</si>
  <si>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</si>
  <si>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</si>
  <si>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</si>
  <si>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</si>
  <si>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</si>
  <si>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</si>
  <si>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</si>
  <si>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</si>
  <si>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</si>
  <si>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</si>
  <si>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</si>
  <si>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</si>
  <si>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</si>
  <si>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</si>
  <si>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</si>
  <si>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</si>
  <si>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</si>
  <si>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</si>
  <si>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</si>
  <si>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</si>
  <si>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</si>
  <si>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</si>
  <si>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</si>
  <si>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</si>
  <si>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</si>
  <si>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</si>
  <si>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</si>
  <si>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</si>
  <si>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</si>
  <si>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</si>
  <si>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</si>
  <si>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</si>
  <si>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</si>
  <si>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</si>
  <si>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</si>
  <si>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</si>
  <si>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</si>
  <si>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</si>
  <si>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</si>
  <si>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</si>
  <si>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</si>
  <si>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</si>
  <si>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</si>
  <si>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</si>
  <si>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</si>
  <si>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</si>
  <si>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</si>
  <si>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</si>
  <si>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</si>
  <si>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</si>
  <si>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</si>
  <si>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</si>
  <si>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</si>
  <si>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</si>
  <si>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</si>
  <si>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>NOTE</t>
  </si>
  <si>
    <t>KOMATSU PC 300 - 07</t>
  </si>
  <si>
    <t>KOBELCO SK 330 - 12</t>
  </si>
  <si>
    <t>WELDER CAR</t>
  </si>
  <si>
    <t>ADT HM 400 (bcm/hour)</t>
  </si>
  <si>
    <t>PRODUCTION hauler</t>
  </si>
  <si>
    <t>KOMATSU PC 200 - 21</t>
  </si>
  <si>
    <t xml:space="preserve"> DT HINO G 316</t>
  </si>
  <si>
    <t>LV HILUX SILVER - 20</t>
  </si>
  <si>
    <t>KOMATSU PC 200 - 04</t>
  </si>
  <si>
    <t xml:space="preserve"> DT HINO G 319</t>
  </si>
  <si>
    <t xml:space="preserve"> DT HINO G 356</t>
  </si>
  <si>
    <t xml:space="preserve"> DT HINO G 372</t>
  </si>
  <si>
    <t xml:space="preserve"> DT HINO G 379</t>
  </si>
  <si>
    <t xml:space="preserve"> DT HINO G 312</t>
  </si>
  <si>
    <t>LV HLUX SILVER - 07</t>
  </si>
  <si>
    <t>LV TRITON PUTIH - 28</t>
  </si>
  <si>
    <t>WELDER CAMP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</si>
  <si>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(JULI)</t>
    </r>
  </si>
  <si>
    <t>Juli 2023</t>
  </si>
  <si>
    <t>KOMATSU PC 400 - 02</t>
  </si>
  <si>
    <t xml:space="preserve"> DT HINO G 320</t>
  </si>
  <si>
    <t xml:space="preserve"> DT HINO G 322</t>
  </si>
  <si>
    <t xml:space="preserve"> DT HINO G 338</t>
  </si>
  <si>
    <t xml:space="preserve"> DT HINO G 340</t>
  </si>
  <si>
    <t xml:space="preserve"> DT HINO G 342</t>
  </si>
  <si>
    <t xml:space="preserve"> DT HINO G 394</t>
  </si>
  <si>
    <t>KOMATSU PC 300 - 02</t>
  </si>
  <si>
    <t>LV LC-HIJAU - 22</t>
  </si>
  <si>
    <t>LOADER - 02</t>
  </si>
  <si>
    <t>FUEL RATIO MENINGKAT DIKARENAKAN PRODUKSI ORE YANG MENURUN</t>
  </si>
  <si>
    <t>9 HARI TIDAK BEROPERASI DIKARENAKAN STOCK HIGH GRADE MENIPIS, DAN UNTUK MENJAGA KESTABILAN KUALITAS PENGIRIMAN ORE KE PABRIK</t>
  </si>
  <si>
    <t>KARENA KURANG NYA KEGIATAN SEHINGGA KONSUMSI FUEL MENJADI KURANG</t>
  </si>
  <si>
    <t>kegiatan hauling tidak beroperasi selama 9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</si>
</sst>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165" fontId="57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58" fillId="5" borderId="0" xfId="0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  <c:pt idx="3">
                  <c:v>111460.29999999999</c:v>
                </c:pt>
                <c:pt idx="4">
                  <c:v>111460.29999999999</c:v>
                </c:pt>
                <c:pt idx="5">
                  <c:v>101363.00000000001</c:v>
                </c:pt>
                <c:pt idx="6">
                  <c:v>167642.5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  <c:pt idx="6">
                  <c:v>144973.31999999995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  <c:pt idx="3">
                  <c:v>0.55084948263729172</c:v>
                </c:pt>
                <c:pt idx="4">
                  <c:v>0.54546435084900813</c:v>
                </c:pt>
                <c:pt idx="5">
                  <c:v>0.66361758165295737</c:v>
                </c:pt>
                <c:pt idx="6">
                  <c:v>1.1563679441155108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  <c:pt idx="3">
                  <c:v>18392351432.699123</c:v>
                </c:pt>
                <c:pt idx="4">
                  <c:v>20097756520.941818</c:v>
                </c:pt>
                <c:pt idx="5">
                  <c:v>17831911388.736458</c:v>
                </c:pt>
                <c:pt idx="6">
                  <c:v>17171614247.533119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  <c:pt idx="3">
                  <c:v>31546016033.280003</c:v>
                </c:pt>
                <c:pt idx="4">
                  <c:v>31857456099.84</c:v>
                </c:pt>
                <c:pt idx="5">
                  <c:v>23813258703.360001</c:v>
                </c:pt>
                <c:pt idx="6">
                  <c:v>22601920481.279991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  <c:pt idx="3">
                  <c:v>0.41696753677878684</c:v>
                </c:pt>
                <c:pt idx="4">
                  <c:v>0.36913492219980626</c:v>
                </c:pt>
                <c:pt idx="5">
                  <c:v>0.2511771861689634</c:v>
                </c:pt>
                <c:pt idx="6">
                  <c:v>0.24025862042318552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  <c:pt idx="3">
                  <c:v>373910</c:v>
                </c:pt>
                <c:pt idx="4">
                  <c:v>407315.81021849712</c:v>
                </c:pt>
                <c:pt idx="5">
                  <c:v>424666.66699578729</c:v>
                </c:pt>
                <c:pt idx="6">
                  <c:v>435075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  <c:pt idx="3">
                  <c:v>202342.57</c:v>
                </c:pt>
                <c:pt idx="4">
                  <c:v>204340.21</c:v>
                </c:pt>
                <c:pt idx="5">
                  <c:v>152743.09</c:v>
                </c:pt>
                <c:pt idx="6">
                  <c:v>144973.31999999995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  <c:pt idx="3">
                  <c:v>1.8479057570534958</c:v>
                </c:pt>
                <c:pt idx="4">
                  <c:v>1.9933218734506397</c:v>
                </c:pt>
                <c:pt idx="5">
                  <c:v>2.7802676179707202</c:v>
                </c:pt>
                <c:pt idx="6">
                  <c:v>3.0010694381559322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  <c:pt idx="3">
                  <c:v>6.1218408638227384</c:v>
                </c:pt>
                <c:pt idx="4">
                  <c:v>6.624083316902035</c:v>
                </c:pt>
                <c:pt idx="5">
                  <c:v>7.8626395452258846</c:v>
                </c:pt>
                <c:pt idx="6">
                  <c:v>7.9772844855565515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  <c:pt idx="3">
                  <c:v>0.66103056420606143</c:v>
                </c:pt>
                <c:pt idx="4">
                  <c:v>0.6355740395301217</c:v>
                </c:pt>
                <c:pt idx="5">
                  <c:v>0.68447057535660794</c:v>
                </c:pt>
                <c:pt idx="6">
                  <c:v>0.93222470669413937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  <c:pt idx="3">
                  <c:v>0.60339142988368932</c:v>
                </c:pt>
                <c:pt idx="4">
                  <c:v>0.67460717335175269</c:v>
                </c:pt>
                <c:pt idx="5">
                  <c:v>0.72982920810426066</c:v>
                </c:pt>
                <c:pt idx="6">
                  <c:v>0.75653933850009869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  <c:pt idx="3">
                  <c:v>0.66264458702897411</c:v>
                </c:pt>
                <c:pt idx="4">
                  <c:v>1.0618765095897726</c:v>
                </c:pt>
                <c:pt idx="5">
                  <c:v>1.046106275049153</c:v>
                </c:pt>
                <c:pt idx="6">
                  <c:v>0.53139463558702993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  <c:pt idx="3">
                  <c:v>0.941606460913054</c:v>
                </c:pt>
                <c:pt idx="4">
                  <c:v>1.0986685237185958</c:v>
                </c:pt>
                <c:pt idx="5" formatCode="_(* #,##0.00_);_(* \(#,##0.00\);_(* &quot;-&quot;??_);_(@_)">
                  <c:v>0.73820424971186194</c:v>
                </c:pt>
                <c:pt idx="6" formatCode="_(* #,##0.00_);_(* \(#,##0.00\);_(* &quot;-&quot;??_);_(@_)">
                  <c:v>0.7959121827001534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  <c:pt idx="3">
                  <c:v>1.5605752921291223</c:v>
                </c:pt>
                <c:pt idx="4">
                  <c:v>1.463297376141411</c:v>
                </c:pt>
                <c:pt idx="5" formatCode="#,##0.00">
                  <c:v>1.01147534452527</c:v>
                </c:pt>
                <c:pt idx="6" formatCode="#,##0.00">
                  <c:v>1.0520433534601317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tabSelected="1" topLeftCell="A4" zoomScale="85" zoomScaleNormal="85" workbookViewId="0">
      <selection activeCell="O32" sqref="O32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92" t="s">
        <v>410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</row>
    <row r="3" spans="2:12" ht="19.95" customHeight="1" x14ac:dyDescent="0.3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93" t="s">
        <v>185</v>
      </c>
      <c r="D5" s="194" t="s">
        <v>411</v>
      </c>
      <c r="E5" s="194"/>
      <c r="F5" s="194"/>
      <c r="G5" s="107"/>
      <c r="H5" s="195" t="s">
        <v>369</v>
      </c>
      <c r="I5" s="195"/>
      <c r="J5" s="195"/>
      <c r="K5" s="107"/>
      <c r="L5" s="107"/>
    </row>
    <row r="6" spans="2:12" ht="14.4" customHeight="1" x14ac:dyDescent="0.3">
      <c r="B6" s="107"/>
      <c r="C6" s="193"/>
      <c r="D6" s="194"/>
      <c r="E6" s="194"/>
      <c r="F6" s="194"/>
      <c r="G6" s="107"/>
      <c r="H6" s="195"/>
      <c r="I6" s="195"/>
      <c r="J6" s="195"/>
      <c r="K6" s="107"/>
      <c r="L6" s="107"/>
    </row>
    <row r="7" spans="2:12" ht="14.4" customHeight="1" x14ac:dyDescent="0.3">
      <c r="B7" s="107"/>
      <c r="C7" s="193"/>
      <c r="D7" s="194"/>
      <c r="E7" s="194"/>
      <c r="F7" s="194"/>
      <c r="G7" s="107"/>
      <c r="H7" s="195"/>
      <c r="I7" s="195"/>
      <c r="J7" s="195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55" t="s">
        <v>358</v>
      </c>
      <c r="E9" s="156" t="s">
        <v>359</v>
      </c>
      <c r="F9" s="155" t="s">
        <v>360</v>
      </c>
      <c r="G9" s="107"/>
      <c r="H9" s="109" t="s">
        <v>73</v>
      </c>
      <c r="I9" s="109"/>
      <c r="J9" s="116">
        <v>31</v>
      </c>
      <c r="K9" s="112" t="s">
        <v>361</v>
      </c>
      <c r="L9" s="107"/>
    </row>
    <row r="10" spans="2:12" ht="15.6" x14ac:dyDescent="0.3">
      <c r="B10" s="107"/>
      <c r="C10" s="109" t="s">
        <v>362</v>
      </c>
      <c r="D10" s="157">
        <v>179830.56959999999</v>
      </c>
      <c r="E10" s="158">
        <v>167642.5</v>
      </c>
      <c r="F10" s="159">
        <f>E10/D10</f>
        <v>0.93222470669413937</v>
      </c>
      <c r="G10" s="107"/>
      <c r="H10" s="109" t="s">
        <v>75</v>
      </c>
      <c r="I10" s="109"/>
      <c r="J10" s="116">
        <f>9*J9</f>
        <v>279</v>
      </c>
      <c r="K10" s="112" t="s">
        <v>363</v>
      </c>
      <c r="L10" s="107"/>
    </row>
    <row r="11" spans="2:12" ht="15.6" x14ac:dyDescent="0.3">
      <c r="B11" s="107"/>
      <c r="C11" s="109" t="s">
        <v>76</v>
      </c>
      <c r="D11" s="160">
        <v>191626.94208000004</v>
      </c>
      <c r="E11" s="161">
        <f>'REPORT unit DT HAUL'!D83</f>
        <v>144973.31999999995</v>
      </c>
      <c r="F11" s="162">
        <f t="shared" ref="F11:F12" si="0">E11/D11</f>
        <v>0.75653933850009869</v>
      </c>
      <c r="G11" s="107"/>
      <c r="H11" s="109" t="s">
        <v>364</v>
      </c>
      <c r="I11" s="111"/>
      <c r="J11" s="163">
        <v>0.92</v>
      </c>
      <c r="K11" s="112" t="s">
        <v>365</v>
      </c>
      <c r="L11" s="107"/>
    </row>
    <row r="12" spans="2:12" ht="15.6" x14ac:dyDescent="0.3">
      <c r="B12" s="107"/>
      <c r="C12" s="109" t="s">
        <v>183</v>
      </c>
      <c r="D12" s="160">
        <v>35966.113919999996</v>
      </c>
      <c r="E12" s="161">
        <v>19112.2</v>
      </c>
      <c r="F12" s="162">
        <f t="shared" si="0"/>
        <v>0.53139463558702993</v>
      </c>
      <c r="G12" s="107"/>
      <c r="H12" s="109"/>
      <c r="I12" s="111"/>
      <c r="J12" s="163"/>
      <c r="K12" s="112"/>
      <c r="L12" s="107"/>
    </row>
    <row r="13" spans="2:12" ht="15.6" x14ac:dyDescent="0.3">
      <c r="B13" s="107"/>
      <c r="C13" s="109" t="s">
        <v>78</v>
      </c>
      <c r="D13" s="160">
        <f>D10/D11</f>
        <v>0.93844095015055173</v>
      </c>
      <c r="E13" s="161">
        <f>E10/E11</f>
        <v>1.1563679441155108</v>
      </c>
      <c r="F13" s="162">
        <f>D13/E13</f>
        <v>0.8115418236263473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5.6" x14ac:dyDescent="0.3">
      <c r="B14" s="107"/>
      <c r="C14" s="109" t="s">
        <v>366</v>
      </c>
      <c r="D14" s="160">
        <f>J17/D11</f>
        <v>2.388587726957411</v>
      </c>
      <c r="E14" s="161">
        <f>J18/E11</f>
        <v>3.0010694381559322</v>
      </c>
      <c r="F14" s="162">
        <f>D14/E14</f>
        <v>0.7959121827001534</v>
      </c>
      <c r="G14" s="107"/>
      <c r="H14" s="165" t="s">
        <v>367</v>
      </c>
      <c r="I14" s="112"/>
      <c r="J14" s="110"/>
      <c r="K14" s="107"/>
      <c r="L14" s="107"/>
    </row>
    <row r="15" spans="2:12" ht="15.6" x14ac:dyDescent="0.3">
      <c r="B15" s="107"/>
      <c r="C15" s="197" t="s">
        <v>425</v>
      </c>
      <c r="D15" s="197"/>
      <c r="E15" s="197"/>
      <c r="F15" s="197"/>
      <c r="G15" s="107"/>
      <c r="H15" s="165"/>
      <c r="I15" s="112"/>
      <c r="J15" s="110"/>
      <c r="K15" s="107"/>
      <c r="L15" s="107"/>
    </row>
    <row r="16" spans="2:12" ht="7.95" customHeight="1" x14ac:dyDescent="0.3">
      <c r="B16" s="107"/>
      <c r="C16" s="197"/>
      <c r="D16" s="197"/>
      <c r="E16" s="197"/>
      <c r="F16" s="197"/>
      <c r="G16" s="107"/>
      <c r="H16" s="165"/>
      <c r="I16" s="112"/>
      <c r="J16" s="110"/>
      <c r="K16" s="107"/>
      <c r="L16" s="107"/>
    </row>
    <row r="17" spans="2:14" ht="15.6" x14ac:dyDescent="0.3">
      <c r="B17" s="107"/>
      <c r="C17" s="109" t="s">
        <v>396</v>
      </c>
      <c r="D17" s="167"/>
      <c r="E17" s="168"/>
      <c r="F17" s="166"/>
      <c r="G17" s="107"/>
      <c r="H17" s="196" t="s">
        <v>141</v>
      </c>
      <c r="I17" s="170" t="s">
        <v>358</v>
      </c>
      <c r="J17" s="171">
        <v>457717.76200666674</v>
      </c>
      <c r="K17" s="172" t="s">
        <v>142</v>
      </c>
      <c r="L17" s="116"/>
    </row>
    <row r="18" spans="2:14" ht="15.6" x14ac:dyDescent="0.3">
      <c r="B18" s="107"/>
      <c r="C18" s="109" t="s">
        <v>397</v>
      </c>
      <c r="D18" s="173">
        <v>63</v>
      </c>
      <c r="E18" s="161">
        <v>61.272843567251464</v>
      </c>
      <c r="F18" s="162">
        <f t="shared" ref="F18" si="1">E18/D18</f>
        <v>0.97258481852780099</v>
      </c>
      <c r="G18" s="107"/>
      <c r="H18" s="196"/>
      <c r="I18" s="170" t="s">
        <v>359</v>
      </c>
      <c r="J18" s="171">
        <f>'REPORT unit OB'!G39+'REPORT unit QUARRY'!G26+'REPORT unit DEVELOP'!G13+'REPORT unit ORE GETTING'!G35+'REPORT unit DT HAUL'!H83+'REPORT unit LV &amp; support'!E38</f>
        <v>435075</v>
      </c>
      <c r="K18" s="174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96"/>
      <c r="I19" s="170" t="s">
        <v>360</v>
      </c>
      <c r="J19" s="162">
        <f>J17/J18</f>
        <v>1.0520433534601317</v>
      </c>
      <c r="K19" s="174"/>
      <c r="L19" s="107"/>
      <c r="N19" s="179"/>
    </row>
    <row r="20" spans="2:14" ht="7.95" customHeight="1" x14ac:dyDescent="0.3">
      <c r="B20" s="107"/>
      <c r="C20" s="109"/>
      <c r="D20" s="109"/>
      <c r="E20" s="113"/>
      <c r="F20" s="107"/>
      <c r="G20" s="107"/>
      <c r="H20" s="169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5" t="s">
        <v>368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91">
        <f>'REPORT unit OB'!J39</f>
        <v>6910222851.2027359</v>
      </c>
      <c r="E22" s="191"/>
      <c r="F22" s="191"/>
      <c r="G22" s="107"/>
      <c r="H22" s="109" t="s">
        <v>181</v>
      </c>
      <c r="I22" s="125">
        <f>J22/$J$30</f>
        <v>0.40242127219899904</v>
      </c>
      <c r="J22" s="126">
        <f>D22/E11</f>
        <v>47665.479766916687</v>
      </c>
      <c r="K22" s="127">
        <f>J22/$J$32</f>
        <v>3.2102289713710053</v>
      </c>
      <c r="L22" s="127"/>
    </row>
    <row r="23" spans="2:14" ht="15.6" x14ac:dyDescent="0.3">
      <c r="B23" s="107"/>
      <c r="C23" s="123" t="s">
        <v>173</v>
      </c>
      <c r="D23" s="191">
        <f>'REPORT unit QUARRY'!J26</f>
        <v>899787374.57500052</v>
      </c>
      <c r="E23" s="191"/>
      <c r="F23" s="191"/>
      <c r="G23" s="107"/>
      <c r="H23" s="109" t="s">
        <v>182</v>
      </c>
      <c r="I23" s="125">
        <f t="shared" ref="I23:I27" si="2">J23/$J$30</f>
        <v>5.2399696476076167E-2</v>
      </c>
      <c r="J23" s="126">
        <f>D23/E11</f>
        <v>6206.5721787636567</v>
      </c>
      <c r="K23" s="127">
        <f t="shared" ref="K23:K27" si="3">J23/$J$32</f>
        <v>0.41800728574647472</v>
      </c>
      <c r="L23" s="127"/>
    </row>
    <row r="24" spans="2:14" ht="15.6" x14ac:dyDescent="0.3">
      <c r="B24" s="107"/>
      <c r="C24" s="123" t="s">
        <v>174</v>
      </c>
      <c r="D24" s="191">
        <f>'REPORT unit DEVELOP'!J13</f>
        <v>162755500</v>
      </c>
      <c r="E24" s="191"/>
      <c r="F24" s="191"/>
      <c r="G24" s="107"/>
      <c r="H24" s="109" t="s">
        <v>177</v>
      </c>
      <c r="I24" s="125">
        <f t="shared" si="2"/>
        <v>9.4781712222181732E-3</v>
      </c>
      <c r="J24" s="126">
        <f>D24/E11</f>
        <v>1122.6582932638919</v>
      </c>
      <c r="K24" s="127">
        <f t="shared" si="3"/>
        <v>7.5610068242449618E-2</v>
      </c>
      <c r="L24" s="127"/>
    </row>
    <row r="25" spans="2:14" ht="15.6" x14ac:dyDescent="0.3">
      <c r="B25" s="107"/>
      <c r="C25" s="123" t="s">
        <v>175</v>
      </c>
      <c r="D25" s="191">
        <f>'REPORT unit ORE GETTING'!J35</f>
        <v>2653346521.7553816</v>
      </c>
      <c r="E25" s="191"/>
      <c r="F25" s="191"/>
      <c r="G25" s="107"/>
      <c r="H25" s="109" t="s">
        <v>178</v>
      </c>
      <c r="I25" s="125">
        <f t="shared" si="2"/>
        <v>0.15451934125159852</v>
      </c>
      <c r="J25" s="126">
        <f>D25/E11</f>
        <v>18302.309154231843</v>
      </c>
      <c r="K25" s="127">
        <f t="shared" si="3"/>
        <v>1.2326447436847956</v>
      </c>
      <c r="L25" s="127"/>
    </row>
    <row r="26" spans="2:14" ht="15.6" x14ac:dyDescent="0.3">
      <c r="B26" s="107"/>
      <c r="C26" s="123" t="s">
        <v>176</v>
      </c>
      <c r="D26" s="191">
        <f>'REPORT unit DT HAUL'!M83</f>
        <v>6214215000</v>
      </c>
      <c r="E26" s="191"/>
      <c r="F26" s="191"/>
      <c r="G26" s="107"/>
      <c r="H26" s="109" t="s">
        <v>179</v>
      </c>
      <c r="I26" s="125">
        <f t="shared" si="2"/>
        <v>0.36188880733171236</v>
      </c>
      <c r="J26" s="126">
        <f>D26/E11</f>
        <v>42864.542248187478</v>
      </c>
      <c r="K26" s="127">
        <f t="shared" si="3"/>
        <v>2.8868899682238331</v>
      </c>
      <c r="L26" s="127"/>
    </row>
    <row r="27" spans="2:14" ht="15.6" x14ac:dyDescent="0.3">
      <c r="B27" s="107"/>
      <c r="C27" s="123" t="s">
        <v>83</v>
      </c>
      <c r="D27" s="191">
        <f>'REPORT unit LV &amp; support'!H38</f>
        <v>331287000</v>
      </c>
      <c r="E27" s="191"/>
      <c r="F27" s="191"/>
      <c r="G27" s="107"/>
      <c r="H27" s="109" t="s">
        <v>180</v>
      </c>
      <c r="I27" s="125">
        <f t="shared" si="2"/>
        <v>1.929271151939561E-2</v>
      </c>
      <c r="J27" s="126">
        <f>D27/E11</f>
        <v>2285.1584001801166</v>
      </c>
      <c r="K27" s="127">
        <f t="shared" si="3"/>
        <v>0.15390344828799277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0.99999999999999989</v>
      </c>
      <c r="J28" s="129">
        <f t="shared" ref="J28:K28" si="4">SUM(J22:J27)</f>
        <v>118446.72004154365</v>
      </c>
      <c r="K28" s="130">
        <f t="shared" si="4"/>
        <v>7.9772844855565523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190">
        <f>SUM(D22:F27)</f>
        <v>17171614247.533119</v>
      </c>
      <c r="E30" s="190"/>
      <c r="F30" s="190"/>
      <c r="G30" s="138"/>
      <c r="H30" s="133" t="s">
        <v>95</v>
      </c>
      <c r="I30" s="139"/>
      <c r="J30" s="183">
        <f>D30/E11</f>
        <v>118446.72004154368</v>
      </c>
      <c r="K30" s="183"/>
      <c r="L30" s="135"/>
    </row>
    <row r="31" spans="2:14" ht="18" x14ac:dyDescent="0.3">
      <c r="B31" s="107"/>
      <c r="C31" s="136" t="s">
        <v>49</v>
      </c>
      <c r="D31" s="184">
        <f>E11*(J33*J32)</f>
        <v>22601920481.279991</v>
      </c>
      <c r="E31" s="184"/>
      <c r="F31" s="184"/>
      <c r="G31" s="138"/>
      <c r="H31" s="133" t="s">
        <v>85</v>
      </c>
      <c r="I31" s="139"/>
      <c r="J31" s="185">
        <f>J30/J32</f>
        <v>7.9772844855565515</v>
      </c>
      <c r="K31" s="185"/>
      <c r="L31" s="142"/>
    </row>
    <row r="32" spans="2:14" ht="18" x14ac:dyDescent="0.3">
      <c r="B32" s="107"/>
      <c r="C32" s="136"/>
      <c r="D32" s="184"/>
      <c r="E32" s="184"/>
      <c r="F32" s="184"/>
      <c r="G32" s="138"/>
      <c r="H32" s="143" t="s">
        <v>80</v>
      </c>
      <c r="I32" s="144"/>
      <c r="J32" s="186">
        <v>14848</v>
      </c>
      <c r="K32" s="186"/>
      <c r="L32" s="107"/>
    </row>
    <row r="33" spans="2:12" ht="18" x14ac:dyDescent="0.3">
      <c r="B33" s="107"/>
      <c r="C33" s="187" t="s">
        <v>81</v>
      </c>
      <c r="D33" s="188">
        <f>D31-D30</f>
        <v>5430306233.7468719</v>
      </c>
      <c r="E33" s="188"/>
      <c r="F33" s="188"/>
      <c r="G33" s="107"/>
      <c r="H33" s="143" t="s">
        <v>86</v>
      </c>
      <c r="I33" s="144"/>
      <c r="J33" s="189">
        <v>10.5</v>
      </c>
      <c r="K33" s="189"/>
      <c r="L33" s="107"/>
    </row>
    <row r="34" spans="2:12" ht="18" x14ac:dyDescent="0.3">
      <c r="B34" s="107"/>
      <c r="C34" s="187"/>
      <c r="D34" s="188"/>
      <c r="E34" s="188"/>
      <c r="F34" s="188"/>
      <c r="G34" s="107"/>
      <c r="H34" s="143"/>
      <c r="I34" s="144"/>
      <c r="J34" s="150"/>
      <c r="K34" s="107"/>
      <c r="L34" s="107"/>
    </row>
    <row r="35" spans="2:12" ht="14.4" customHeight="1" x14ac:dyDescent="0.3">
      <c r="B35" s="182" t="str">
        <f>IF(D31&lt;D30,("….RUGI …..!!!!!"),("OKE….."))</f>
        <v>OKE…..</v>
      </c>
      <c r="C35" s="182"/>
      <c r="D35" s="182"/>
      <c r="E35" s="182"/>
      <c r="F35" s="182"/>
      <c r="G35" s="182"/>
      <c r="H35" s="182"/>
      <c r="I35" s="182"/>
      <c r="J35" s="182"/>
      <c r="K35" s="182"/>
      <c r="L35" s="182"/>
    </row>
    <row r="36" spans="2:12" ht="14.4" customHeight="1" x14ac:dyDescent="0.3"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</row>
    <row r="37" spans="2:12" ht="14.4" customHeight="1" x14ac:dyDescent="0.3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</row>
    <row r="39" spans="2:12" x14ac:dyDescent="0.3">
      <c r="H39" s="153"/>
    </row>
  </sheetData>
  <mergeCells count="22">
    <mergeCell ref="D22:F22"/>
    <mergeCell ref="B2:L3"/>
    <mergeCell ref="C5:C7"/>
    <mergeCell ref="D5:F7"/>
    <mergeCell ref="H5:J7"/>
    <mergeCell ref="H17:H19"/>
    <mergeCell ref="C15:F16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7"/>
  <sheetViews>
    <sheetView topLeftCell="J72" workbookViewId="0">
      <selection activeCell="O78" sqref="O78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343</v>
      </c>
      <c r="P2" s="64" t="s">
        <v>344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275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283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310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276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284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339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298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285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299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300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311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301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302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303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304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305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209" t="s">
        <v>134</v>
      </c>
      <c r="B28" s="209"/>
      <c r="C28" s="209"/>
      <c r="O28" s="64" t="s">
        <v>340</v>
      </c>
      <c r="P28" s="64" t="s">
        <v>111</v>
      </c>
    </row>
    <row r="29" spans="1:16" x14ac:dyDescent="0.3">
      <c r="J29" s="154" t="s">
        <v>349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286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296</v>
      </c>
      <c r="P40" s="64" t="s">
        <v>116</v>
      </c>
    </row>
    <row r="41" spans="1:16" x14ac:dyDescent="0.3">
      <c r="O41" s="64" t="s">
        <v>315</v>
      </c>
      <c r="P41" s="64" t="s">
        <v>116</v>
      </c>
    </row>
    <row r="42" spans="1:16" x14ac:dyDescent="0.3">
      <c r="O42" s="64" t="s">
        <v>287</v>
      </c>
      <c r="P42" s="64" t="s">
        <v>116</v>
      </c>
    </row>
    <row r="43" spans="1:16" x14ac:dyDescent="0.3">
      <c r="O43" s="64" t="s">
        <v>297</v>
      </c>
      <c r="P43" s="64" t="s">
        <v>116</v>
      </c>
    </row>
    <row r="44" spans="1:16" x14ac:dyDescent="0.3">
      <c r="O44" s="64" t="s">
        <v>288</v>
      </c>
      <c r="P44" s="64" t="s">
        <v>116</v>
      </c>
    </row>
    <row r="45" spans="1:16" x14ac:dyDescent="0.3">
      <c r="O45" s="64" t="s">
        <v>289</v>
      </c>
      <c r="P45" s="64" t="s">
        <v>116</v>
      </c>
    </row>
    <row r="46" spans="1:16" x14ac:dyDescent="0.3">
      <c r="O46" s="64" t="s">
        <v>290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277</v>
      </c>
      <c r="P61" s="64" t="s">
        <v>116</v>
      </c>
    </row>
    <row r="62" spans="15:16" x14ac:dyDescent="0.3">
      <c r="O62" s="64" t="s">
        <v>278</v>
      </c>
      <c r="P62" s="64" t="s">
        <v>116</v>
      </c>
    </row>
    <row r="63" spans="15:16" x14ac:dyDescent="0.3">
      <c r="O63" s="64" t="s">
        <v>279</v>
      </c>
      <c r="P63" s="64" t="s">
        <v>116</v>
      </c>
    </row>
    <row r="64" spans="15:16" x14ac:dyDescent="0.3">
      <c r="O64" s="64" t="s">
        <v>322</v>
      </c>
      <c r="P64" s="64" t="s">
        <v>120</v>
      </c>
    </row>
    <row r="65" spans="15:16" x14ac:dyDescent="0.3">
      <c r="O65" s="64" t="s">
        <v>291</v>
      </c>
      <c r="P65" s="64" t="s">
        <v>120</v>
      </c>
    </row>
    <row r="66" spans="15:16" x14ac:dyDescent="0.3">
      <c r="O66" s="64" t="s">
        <v>292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280</v>
      </c>
      <c r="P71" s="64" t="s">
        <v>120</v>
      </c>
    </row>
    <row r="72" spans="15:16" x14ac:dyDescent="0.3">
      <c r="O72" s="64" t="s">
        <v>306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293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281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312</v>
      </c>
      <c r="P78" s="64" t="s">
        <v>129</v>
      </c>
    </row>
    <row r="79" spans="15:16" x14ac:dyDescent="0.3">
      <c r="O79" s="64" t="s">
        <v>313</v>
      </c>
      <c r="P79" s="64" t="s">
        <v>123</v>
      </c>
    </row>
    <row r="80" spans="15:16" x14ac:dyDescent="0.3">
      <c r="O80" s="64" t="s">
        <v>323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334</v>
      </c>
      <c r="P82" s="64" t="s">
        <v>38</v>
      </c>
    </row>
    <row r="83" spans="15:16" x14ac:dyDescent="0.3">
      <c r="O83" s="64" t="s">
        <v>267</v>
      </c>
      <c r="P83" s="64" t="s">
        <v>38</v>
      </c>
    </row>
    <row r="84" spans="15:16" x14ac:dyDescent="0.3">
      <c r="O84" s="64" t="s">
        <v>268</v>
      </c>
      <c r="P84" s="64" t="s">
        <v>38</v>
      </c>
    </row>
    <row r="85" spans="15:16" x14ac:dyDescent="0.3">
      <c r="O85" s="64" t="s">
        <v>269</v>
      </c>
      <c r="P85" s="64" t="s">
        <v>38</v>
      </c>
    </row>
    <row r="86" spans="15:16" x14ac:dyDescent="0.3">
      <c r="O86" s="64" t="s">
        <v>282</v>
      </c>
      <c r="P86" s="64" t="s">
        <v>38</v>
      </c>
    </row>
    <row r="87" spans="15:16" x14ac:dyDescent="0.3">
      <c r="O87" s="64" t="s">
        <v>335</v>
      </c>
      <c r="P87" s="64" t="s">
        <v>38</v>
      </c>
    </row>
    <row r="88" spans="15:16" x14ac:dyDescent="0.3">
      <c r="O88" s="64" t="s">
        <v>265</v>
      </c>
      <c r="P88" s="64" t="s">
        <v>38</v>
      </c>
    </row>
    <row r="89" spans="15:16" x14ac:dyDescent="0.3">
      <c r="O89" s="64" t="s">
        <v>309</v>
      </c>
      <c r="P89" s="64" t="s">
        <v>38</v>
      </c>
    </row>
    <row r="90" spans="15:16" x14ac:dyDescent="0.3">
      <c r="O90" s="64" t="s">
        <v>316</v>
      </c>
      <c r="P90" s="64" t="s">
        <v>38</v>
      </c>
    </row>
    <row r="91" spans="15:16" x14ac:dyDescent="0.3">
      <c r="O91" s="64" t="s">
        <v>341</v>
      </c>
      <c r="P91" s="64" t="s">
        <v>38</v>
      </c>
    </row>
    <row r="92" spans="15:16" x14ac:dyDescent="0.3">
      <c r="O92" s="64" t="s">
        <v>317</v>
      </c>
      <c r="P92" s="64" t="s">
        <v>38</v>
      </c>
    </row>
    <row r="93" spans="15:16" x14ac:dyDescent="0.3">
      <c r="O93" s="64" t="s">
        <v>318</v>
      </c>
      <c r="P93" s="64" t="s">
        <v>38</v>
      </c>
    </row>
    <row r="94" spans="15:16" x14ac:dyDescent="0.3">
      <c r="O94" s="64" t="s">
        <v>319</v>
      </c>
      <c r="P94" s="64" t="s">
        <v>38</v>
      </c>
    </row>
    <row r="95" spans="15:16" x14ac:dyDescent="0.3">
      <c r="O95" s="64" t="s">
        <v>346</v>
      </c>
      <c r="P95" s="64" t="s">
        <v>38</v>
      </c>
    </row>
    <row r="96" spans="15:16" x14ac:dyDescent="0.3">
      <c r="O96" s="64" t="s">
        <v>266</v>
      </c>
      <c r="P96" s="64" t="s">
        <v>38</v>
      </c>
    </row>
    <row r="97" spans="15:16" x14ac:dyDescent="0.3">
      <c r="O97" s="64" t="s">
        <v>320</v>
      </c>
      <c r="P97" s="64" t="s">
        <v>38</v>
      </c>
    </row>
    <row r="98" spans="15:16" x14ac:dyDescent="0.3">
      <c r="O98" s="64" t="s">
        <v>342</v>
      </c>
      <c r="P98" s="64" t="s">
        <v>38</v>
      </c>
    </row>
    <row r="99" spans="15:16" x14ac:dyDescent="0.3">
      <c r="O99" s="64" t="s">
        <v>294</v>
      </c>
      <c r="P99" s="64" t="s">
        <v>38</v>
      </c>
    </row>
    <row r="100" spans="15:16" x14ac:dyDescent="0.3">
      <c r="O100" s="64" t="s">
        <v>308</v>
      </c>
      <c r="P100" s="64" t="s">
        <v>38</v>
      </c>
    </row>
    <row r="101" spans="15:16" x14ac:dyDescent="0.3">
      <c r="O101" s="64" t="s">
        <v>321</v>
      </c>
      <c r="P101" s="64" t="s">
        <v>38</v>
      </c>
    </row>
    <row r="102" spans="15:16" x14ac:dyDescent="0.3">
      <c r="O102" s="64" t="s">
        <v>270</v>
      </c>
      <c r="P102" s="64" t="s">
        <v>130</v>
      </c>
    </row>
    <row r="103" spans="15:16" x14ac:dyDescent="0.3">
      <c r="O103" s="64" t="s">
        <v>324</v>
      </c>
      <c r="P103" s="64" t="s">
        <v>152</v>
      </c>
    </row>
    <row r="104" spans="15:16" x14ac:dyDescent="0.3">
      <c r="O104" s="64" t="s">
        <v>271</v>
      </c>
      <c r="P104" s="64" t="s">
        <v>130</v>
      </c>
    </row>
    <row r="105" spans="15:16" x14ac:dyDescent="0.3">
      <c r="O105" s="64" t="s">
        <v>272</v>
      </c>
      <c r="P105" s="64" t="s">
        <v>130</v>
      </c>
    </row>
    <row r="106" spans="15:16" x14ac:dyDescent="0.3">
      <c r="O106" s="64" t="s">
        <v>345</v>
      </c>
      <c r="P106" s="64" t="s">
        <v>130</v>
      </c>
    </row>
    <row r="107" spans="15:16" x14ac:dyDescent="0.3">
      <c r="O107" s="64" t="s">
        <v>336</v>
      </c>
      <c r="P107" s="64" t="s">
        <v>152</v>
      </c>
    </row>
    <row r="108" spans="15:16" x14ac:dyDescent="0.3">
      <c r="O108" s="64" t="s">
        <v>273</v>
      </c>
      <c r="P108" s="64" t="s">
        <v>152</v>
      </c>
    </row>
    <row r="109" spans="15:16" x14ac:dyDescent="0.3">
      <c r="O109" s="64" t="s">
        <v>274</v>
      </c>
      <c r="P109" s="64" t="s">
        <v>152</v>
      </c>
    </row>
    <row r="110" spans="15:16" x14ac:dyDescent="0.3">
      <c r="O110" s="64" t="s">
        <v>325</v>
      </c>
      <c r="P110" s="64" t="s">
        <v>152</v>
      </c>
    </row>
    <row r="111" spans="15:16" x14ac:dyDescent="0.3">
      <c r="O111" s="64" t="s">
        <v>338</v>
      </c>
    </row>
    <row r="112" spans="15:16" x14ac:dyDescent="0.3">
      <c r="O112" s="64" t="s">
        <v>352</v>
      </c>
      <c r="P112" s="64" t="s">
        <v>38</v>
      </c>
    </row>
    <row r="113" spans="15:16" x14ac:dyDescent="0.3">
      <c r="O113" s="64" t="s">
        <v>353</v>
      </c>
    </row>
    <row r="114" spans="15:16" x14ac:dyDescent="0.3">
      <c r="O114" s="64" t="s">
        <v>356</v>
      </c>
      <c r="P114" s="64" t="s">
        <v>118</v>
      </c>
    </row>
    <row r="115" spans="15:16" x14ac:dyDescent="0.3">
      <c r="O115" s="64" t="s">
        <v>393</v>
      </c>
      <c r="P115" s="64" t="s">
        <v>112</v>
      </c>
    </row>
    <row r="116" spans="15:16" x14ac:dyDescent="0.3">
      <c r="O116" s="64" t="s">
        <v>394</v>
      </c>
      <c r="P116" s="64" t="s">
        <v>115</v>
      </c>
    </row>
    <row r="117" spans="15:16" x14ac:dyDescent="0.3">
      <c r="O117" s="64" t="s">
        <v>357</v>
      </c>
      <c r="P117" s="64" t="s">
        <v>38</v>
      </c>
    </row>
    <row r="118" spans="15:16" x14ac:dyDescent="0.3">
      <c r="O118" s="64" t="s">
        <v>395</v>
      </c>
      <c r="P118" s="64" t="s">
        <v>152</v>
      </c>
    </row>
    <row r="119" spans="15:16" x14ac:dyDescent="0.3">
      <c r="O119" s="64" t="s">
        <v>398</v>
      </c>
      <c r="P119" s="64" t="s">
        <v>111</v>
      </c>
    </row>
    <row r="120" spans="15:16" x14ac:dyDescent="0.3">
      <c r="O120" s="64" t="s">
        <v>401</v>
      </c>
      <c r="P120" s="64" t="s">
        <v>111</v>
      </c>
    </row>
    <row r="121" spans="15:16" x14ac:dyDescent="0.3">
      <c r="O121" s="64" t="s">
        <v>407</v>
      </c>
      <c r="P121" s="64" t="s">
        <v>38</v>
      </c>
    </row>
    <row r="122" spans="15:16" x14ac:dyDescent="0.3">
      <c r="O122" s="64" t="s">
        <v>400</v>
      </c>
      <c r="P122" s="64" t="s">
        <v>38</v>
      </c>
    </row>
    <row r="123" spans="15:16" x14ac:dyDescent="0.3">
      <c r="O123" s="64" t="s">
        <v>408</v>
      </c>
      <c r="P123" s="64" t="s">
        <v>38</v>
      </c>
    </row>
    <row r="124" spans="15:16" x14ac:dyDescent="0.3">
      <c r="O124" s="64" t="s">
        <v>409</v>
      </c>
    </row>
    <row r="125" spans="15:16" x14ac:dyDescent="0.3">
      <c r="O125" s="64" t="s">
        <v>412</v>
      </c>
      <c r="P125" s="64" t="s">
        <v>113</v>
      </c>
    </row>
    <row r="126" spans="15:16" x14ac:dyDescent="0.3">
      <c r="O126" s="64" t="s">
        <v>419</v>
      </c>
      <c r="P126" s="64" t="s">
        <v>112</v>
      </c>
    </row>
    <row r="127" spans="15:16" x14ac:dyDescent="0.3">
      <c r="O127" s="64" t="s">
        <v>421</v>
      </c>
      <c r="P127" s="64" t="s">
        <v>129</v>
      </c>
    </row>
  </sheetData>
  <autoFilter ref="O2:P2" xr:uid="{00000000-0001-0000-0000-000000000000}"/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92" t="s">
        <v>354</v>
      </c>
      <c r="C2" s="192"/>
      <c r="D2" s="192"/>
      <c r="E2" s="192"/>
      <c r="F2" s="192"/>
      <c r="G2" s="192"/>
      <c r="H2" s="192"/>
      <c r="I2" s="192"/>
      <c r="J2" s="192"/>
    </row>
    <row r="3" spans="2:10" x14ac:dyDescent="0.3">
      <c r="B3" s="192"/>
      <c r="C3" s="192"/>
      <c r="D3" s="192"/>
      <c r="E3" s="192"/>
      <c r="F3" s="192"/>
      <c r="G3" s="192"/>
      <c r="H3" s="192"/>
      <c r="I3" s="192"/>
      <c r="J3" s="192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93" t="s">
        <v>185</v>
      </c>
      <c r="D5" s="194" t="s">
        <v>355</v>
      </c>
      <c r="E5" s="198"/>
      <c r="F5" s="107"/>
      <c r="G5" s="195" t="s">
        <v>184</v>
      </c>
      <c r="H5" s="199"/>
      <c r="I5" s="199"/>
      <c r="J5" s="107"/>
    </row>
    <row r="6" spans="2:10" ht="14.4" customHeight="1" x14ac:dyDescent="0.3">
      <c r="B6" s="107"/>
      <c r="C6" s="193"/>
      <c r="D6" s="198"/>
      <c r="E6" s="198"/>
      <c r="F6" s="107"/>
      <c r="G6" s="199"/>
      <c r="H6" s="199"/>
      <c r="I6" s="199"/>
      <c r="J6" s="107"/>
    </row>
    <row r="7" spans="2:10" ht="14.4" customHeight="1" x14ac:dyDescent="0.3">
      <c r="B7" s="107"/>
      <c r="C7" s="193"/>
      <c r="D7" s="198"/>
      <c r="E7" s="198"/>
      <c r="F7" s="107"/>
      <c r="G7" s="199"/>
      <c r="H7" s="199"/>
      <c r="I7" s="199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HAUL'!D83</f>
        <v>144973.31999999995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1.1753001172905475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347</v>
      </c>
      <c r="D14" s="109"/>
      <c r="E14" s="113"/>
      <c r="F14" s="107"/>
      <c r="G14" s="114" t="s">
        <v>348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OB'!D8:D37)</f>
        <v>1184.8181941747573</v>
      </c>
      <c r="F15" s="107"/>
      <c r="G15" s="115" t="s">
        <v>141</v>
      </c>
      <c r="H15" s="116" t="s">
        <v>142</v>
      </c>
      <c r="I15" s="117">
        <f>'REPORT unit OB'!G39+'REPORT unit QUARRY'!G26+'REPORT unit DEVELOP'!G13+'REPORT unit ORE GETTING'!G35+'REPORT unit DT HAUL'!H83+'REPORT unit LV &amp; support'!E38</f>
        <v>435075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OB'!J39</f>
        <v>6910222851.2027359</v>
      </c>
      <c r="F18" s="107"/>
      <c r="G18" s="109" t="s">
        <v>181</v>
      </c>
      <c r="H18" s="125">
        <f>I18/$I$26</f>
        <v>0.40242127219899904</v>
      </c>
      <c r="I18" s="126">
        <f>E18/E10</f>
        <v>47665.479766916687</v>
      </c>
      <c r="J18" s="127">
        <f>I18/$I$28</f>
        <v>3.2102289713710053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QUARRY'!J26</f>
        <v>899787374.57500052</v>
      </c>
      <c r="F19" s="107"/>
      <c r="G19" s="109" t="s">
        <v>182</v>
      </c>
      <c r="H19" s="125">
        <f t="shared" ref="H19:H23" si="0">I19/$I$26</f>
        <v>5.2399696476076167E-2</v>
      </c>
      <c r="I19" s="126">
        <f>E19/E10</f>
        <v>6206.5721787636567</v>
      </c>
      <c r="J19" s="127">
        <f t="shared" ref="J19:J23" si="1">I19/$I$28</f>
        <v>0.41800728574647472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DEVELOP'!J13</f>
        <v>162755500</v>
      </c>
      <c r="F20" s="107"/>
      <c r="G20" s="109" t="s">
        <v>177</v>
      </c>
      <c r="H20" s="125">
        <f t="shared" si="0"/>
        <v>9.4781712222181732E-3</v>
      </c>
      <c r="I20" s="126">
        <f>E20/E10</f>
        <v>1122.6582932638919</v>
      </c>
      <c r="J20" s="127">
        <f t="shared" si="1"/>
        <v>7.5610068242449618E-2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GETTING'!J35</f>
        <v>2653346521.7553816</v>
      </c>
      <c r="F21" s="107"/>
      <c r="G21" s="109" t="s">
        <v>178</v>
      </c>
      <c r="H21" s="125">
        <f t="shared" si="0"/>
        <v>0.15451934125159852</v>
      </c>
      <c r="I21" s="126">
        <f>E21/E10</f>
        <v>18302.309154231843</v>
      </c>
      <c r="J21" s="127">
        <f t="shared" si="1"/>
        <v>1.2326447436847956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HAUL'!M83</f>
        <v>6214215000</v>
      </c>
      <c r="F22" s="107"/>
      <c r="G22" s="109" t="s">
        <v>179</v>
      </c>
      <c r="H22" s="125">
        <f t="shared" si="0"/>
        <v>0.36188880733171236</v>
      </c>
      <c r="I22" s="126">
        <f>E22/E10</f>
        <v>42864.542248187478</v>
      </c>
      <c r="J22" s="127">
        <f t="shared" si="1"/>
        <v>2.8868899682238331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support'!H38</f>
        <v>331287000</v>
      </c>
      <c r="F23" s="107"/>
      <c r="G23" s="109" t="s">
        <v>180</v>
      </c>
      <c r="H23" s="125">
        <f t="shared" si="0"/>
        <v>1.929271151939561E-2</v>
      </c>
      <c r="I23" s="126">
        <f>E23/E10</f>
        <v>2285.1584001801166</v>
      </c>
      <c r="J23" s="127">
        <f t="shared" si="1"/>
        <v>0.15390344828799277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118446.72004154365</v>
      </c>
      <c r="J24" s="130">
        <f t="shared" si="2"/>
        <v>7.9772844855565523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17171614247.533119</v>
      </c>
      <c r="F26" s="138"/>
      <c r="G26" s="133" t="s">
        <v>95</v>
      </c>
      <c r="H26" s="139"/>
      <c r="I26" s="134">
        <f>E26/E10</f>
        <v>118446.72004154368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7.9772844855565515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22601920481.279991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5430306233.7468719</v>
      </c>
      <c r="F30" s="107"/>
      <c r="G30" s="143"/>
      <c r="H30" s="144"/>
      <c r="I30" s="150"/>
      <c r="J30" s="107"/>
    </row>
    <row r="31" spans="2:10" ht="14.4" customHeight="1" x14ac:dyDescent="0.3">
      <c r="B31" s="182" t="str">
        <f>IF(E28&lt;E26,("….RUGI …..!!!!!"),("OKE….."))</f>
        <v>OKE…..</v>
      </c>
      <c r="C31" s="182"/>
      <c r="D31" s="182"/>
      <c r="E31" s="182"/>
      <c r="F31" s="182"/>
      <c r="G31" s="182"/>
      <c r="H31" s="182"/>
      <c r="I31" s="182"/>
      <c r="J31" s="182"/>
    </row>
    <row r="32" spans="2:10" ht="14.4" customHeight="1" x14ac:dyDescent="0.3">
      <c r="B32" s="182"/>
      <c r="C32" s="182"/>
      <c r="D32" s="182"/>
      <c r="E32" s="182"/>
      <c r="F32" s="182"/>
      <c r="G32" s="182"/>
      <c r="H32" s="182"/>
      <c r="I32" s="182"/>
      <c r="J32" s="182"/>
    </row>
    <row r="33" spans="2:10" ht="14.4" customHeight="1" x14ac:dyDescent="0.3">
      <c r="B33" s="182"/>
      <c r="C33" s="182"/>
      <c r="D33" s="182"/>
      <c r="E33" s="182"/>
      <c r="F33" s="182"/>
      <c r="G33" s="182"/>
      <c r="H33" s="182"/>
      <c r="I33" s="182"/>
      <c r="J33" s="182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J27" sqref="J27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350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351</v>
      </c>
    </row>
    <row r="3" spans="1:17" x14ac:dyDescent="0.3">
      <c r="A3" s="72" t="s">
        <v>362</v>
      </c>
      <c r="B3" s="91">
        <v>2593394.6799999997</v>
      </c>
      <c r="C3" s="73">
        <v>162229.22999999998</v>
      </c>
      <c r="D3" s="73">
        <v>170387.16</v>
      </c>
      <c r="E3" s="73">
        <v>141007.28000000003</v>
      </c>
      <c r="F3" s="73">
        <v>111460.29999999999</v>
      </c>
      <c r="G3" s="73">
        <v>111460.29999999999</v>
      </c>
      <c r="H3" s="73">
        <v>101363.00000000001</v>
      </c>
      <c r="I3" s="73">
        <f>SUMMARY!$E$10</f>
        <v>167642.5</v>
      </c>
      <c r="J3" s="73"/>
      <c r="K3" s="73"/>
      <c r="L3" s="73"/>
      <c r="M3" s="73"/>
      <c r="N3" s="73"/>
      <c r="O3" s="91">
        <f>SUM(C3:N3)</f>
        <v>965549.77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v>220801.4</v>
      </c>
      <c r="F4" s="76">
        <v>202342.57</v>
      </c>
      <c r="G4" s="76">
        <v>204340.21</v>
      </c>
      <c r="H4" s="76">
        <v>152743.09</v>
      </c>
      <c r="I4" s="76">
        <f>SUMMARY!$E$11</f>
        <v>144973.31999999995</v>
      </c>
      <c r="J4" s="76"/>
      <c r="K4" s="76"/>
      <c r="L4" s="76"/>
      <c r="M4" s="76"/>
      <c r="N4" s="76"/>
      <c r="O4" s="92">
        <f>SUM(C4:N4)</f>
        <v>1399379.0499999998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v>34352.259999999995</v>
      </c>
      <c r="F5" s="102">
        <v>22346.49</v>
      </c>
      <c r="G5" s="102">
        <v>22346.49</v>
      </c>
      <c r="H5" s="102">
        <v>30983.5</v>
      </c>
      <c r="I5" s="102">
        <f>SUMMARY!$E$12</f>
        <v>19112.2</v>
      </c>
      <c r="J5" s="102"/>
      <c r="K5" s="102"/>
      <c r="L5" s="102"/>
      <c r="M5" s="102"/>
      <c r="N5" s="102"/>
      <c r="O5" s="103">
        <f>SUM(C5:N5)</f>
        <v>180165.55000000002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v>0.63861587834135125</v>
      </c>
      <c r="F6" s="78">
        <v>0.55084948263729172</v>
      </c>
      <c r="G6" s="78">
        <v>0.54546435084900813</v>
      </c>
      <c r="H6" s="78">
        <v>0.66361758165295737</v>
      </c>
      <c r="I6" s="78">
        <f>SUMMARY!$E$13</f>
        <v>1.1563679441155108</v>
      </c>
      <c r="J6" s="78"/>
      <c r="K6" s="78"/>
      <c r="L6" s="78"/>
      <c r="M6" s="78"/>
      <c r="N6" s="78"/>
      <c r="O6" s="93">
        <f>O3/O4</f>
        <v>0.68998443988424729</v>
      </c>
    </row>
    <row r="7" spans="1:17" x14ac:dyDescent="0.3">
      <c r="A7" s="69" t="s">
        <v>370</v>
      </c>
      <c r="B7" s="94"/>
      <c r="C7" s="176">
        <v>0.74253772354962899</v>
      </c>
      <c r="D7" s="176">
        <v>0.83765309627028406</v>
      </c>
      <c r="E7" s="176">
        <v>0.70707209506681568</v>
      </c>
      <c r="F7" s="176">
        <v>0.66103056420606143</v>
      </c>
      <c r="G7" s="176">
        <v>0.6355740395301217</v>
      </c>
      <c r="H7" s="108">
        <v>0.68447057535660794</v>
      </c>
      <c r="I7" s="108">
        <f>SUMMARY!$F$10</f>
        <v>0.93222470669413937</v>
      </c>
      <c r="J7" s="79"/>
      <c r="K7" s="79"/>
      <c r="L7" s="79"/>
      <c r="M7" s="79"/>
      <c r="N7" s="79"/>
      <c r="O7" s="98">
        <f t="shared" ref="O7:O9" si="0">AVERAGE(C7:N7)</f>
        <v>0.74293754295337977</v>
      </c>
    </row>
    <row r="8" spans="1:17" x14ac:dyDescent="0.3">
      <c r="A8" s="69" t="s">
        <v>371</v>
      </c>
      <c r="B8" s="94"/>
      <c r="C8" s="176">
        <v>0.97757868733841513</v>
      </c>
      <c r="D8" s="176">
        <v>1.0200287269450323</v>
      </c>
      <c r="E8" s="176">
        <v>0.72406828784212274</v>
      </c>
      <c r="F8" s="176">
        <v>0.60339142988368932</v>
      </c>
      <c r="G8" s="176">
        <v>0.67460717335175269</v>
      </c>
      <c r="H8" s="108">
        <v>0.72982920810426066</v>
      </c>
      <c r="I8" s="108">
        <f>SUMMARY!$F$11</f>
        <v>0.75653933850009869</v>
      </c>
      <c r="J8" s="79"/>
      <c r="K8" s="79"/>
      <c r="L8" s="79"/>
      <c r="M8" s="79"/>
      <c r="N8" s="79"/>
      <c r="O8" s="98">
        <f t="shared" si="0"/>
        <v>0.78372040742362459</v>
      </c>
    </row>
    <row r="9" spans="1:17" x14ac:dyDescent="0.3">
      <c r="A9" s="69" t="s">
        <v>372</v>
      </c>
      <c r="B9" s="94"/>
      <c r="C9" s="176">
        <v>0.41234954552156672</v>
      </c>
      <c r="D9" s="176">
        <v>0.8113318461598763</v>
      </c>
      <c r="E9" s="176">
        <v>0.86128618495725751</v>
      </c>
      <c r="F9" s="176">
        <v>0.66264458702897411</v>
      </c>
      <c r="G9" s="176">
        <v>1.0618765095897726</v>
      </c>
      <c r="H9" s="108">
        <v>1.046106275049153</v>
      </c>
      <c r="I9" s="108">
        <f>SUMMARY!$F$12</f>
        <v>0.53139463558702993</v>
      </c>
      <c r="J9" s="79"/>
      <c r="K9" s="79"/>
      <c r="L9" s="79"/>
      <c r="M9" s="79"/>
      <c r="N9" s="79"/>
      <c r="O9" s="98">
        <f t="shared" si="0"/>
        <v>0.76956994055623285</v>
      </c>
    </row>
    <row r="10" spans="1:17" x14ac:dyDescent="0.3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v>213.95746705710121</v>
      </c>
      <c r="F10" s="79">
        <v>182.79616120218577</v>
      </c>
      <c r="G10" s="79">
        <v>43.066234309623425</v>
      </c>
      <c r="H10" s="79">
        <v>52.176818450620935</v>
      </c>
      <c r="I10" s="79">
        <f>SUMMARY!$E$18</f>
        <v>61.272843567251464</v>
      </c>
      <c r="J10" s="79"/>
      <c r="K10" s="79"/>
      <c r="L10" s="79"/>
      <c r="M10" s="79"/>
      <c r="N10" s="79"/>
      <c r="O10" s="94">
        <f>AVERAGE(C10:N10)</f>
        <v>386.90363646783345</v>
      </c>
    </row>
    <row r="11" spans="1:17" x14ac:dyDescent="0.3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v>7633760648.9456692</v>
      </c>
      <c r="F11" s="80">
        <v>5863845675.0929871</v>
      </c>
      <c r="G11" s="80">
        <v>7157900981.7813101</v>
      </c>
      <c r="H11" s="80">
        <v>6335696322.349102</v>
      </c>
      <c r="I11" s="80">
        <f>SUMMARY!$D$22</f>
        <v>6910222851.2027359</v>
      </c>
      <c r="J11" s="80"/>
      <c r="K11" s="80"/>
      <c r="L11" s="80"/>
      <c r="M11" s="80"/>
      <c r="N11" s="80"/>
      <c r="O11" s="95">
        <f t="shared" ref="O11:O30" si="1">SUM(C11:N11)</f>
        <v>49431307054.358253</v>
      </c>
      <c r="Q11" s="108"/>
    </row>
    <row r="12" spans="1:17" x14ac:dyDescent="0.3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v>1215626563.5057042</v>
      </c>
      <c r="F12" s="80">
        <v>913239430.08529866</v>
      </c>
      <c r="G12" s="80">
        <v>1072130001.1488132</v>
      </c>
      <c r="H12" s="80">
        <v>1349807297.0610795</v>
      </c>
      <c r="I12" s="80">
        <f>SUMMARY!$D$23</f>
        <v>899787374.57500052</v>
      </c>
      <c r="J12" s="80"/>
      <c r="K12" s="80"/>
      <c r="L12" s="80"/>
      <c r="M12" s="80"/>
      <c r="N12" s="80"/>
      <c r="O12" s="95">
        <f t="shared" si="1"/>
        <v>7144265856.9749546</v>
      </c>
      <c r="Q12" s="108"/>
    </row>
    <row r="13" spans="1:17" x14ac:dyDescent="0.3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v>112614000</v>
      </c>
      <c r="F13" s="80">
        <v>50126000</v>
      </c>
      <c r="G13" s="80">
        <v>0</v>
      </c>
      <c r="H13" s="80">
        <v>114657000</v>
      </c>
      <c r="I13" s="80">
        <f>SUMMARY!$D$24</f>
        <v>162755500</v>
      </c>
      <c r="J13" s="80"/>
      <c r="K13" s="80"/>
      <c r="L13" s="80"/>
      <c r="M13" s="80"/>
      <c r="N13" s="80"/>
      <c r="O13" s="95">
        <f t="shared" si="1"/>
        <v>581890000</v>
      </c>
      <c r="Q13" s="108"/>
    </row>
    <row r="14" spans="1:17" x14ac:dyDescent="0.3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v>2216656000.4908934</v>
      </c>
      <c r="F14" s="80">
        <v>1626803827.5208366</v>
      </c>
      <c r="G14" s="80">
        <v>2197725538.0116959</v>
      </c>
      <c r="H14" s="80">
        <v>2556683769.3262773</v>
      </c>
      <c r="I14" s="80">
        <f>SUMMARY!$D$25</f>
        <v>2653346521.7553816</v>
      </c>
      <c r="J14" s="80"/>
      <c r="K14" s="80"/>
      <c r="L14" s="80"/>
      <c r="M14" s="80"/>
      <c r="N14" s="80"/>
      <c r="O14" s="95">
        <f t="shared" si="1"/>
        <v>15775135358.18261</v>
      </c>
      <c r="Q14" s="108"/>
    </row>
    <row r="15" spans="1:17" x14ac:dyDescent="0.3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v>9946061000</v>
      </c>
      <c r="F15" s="80">
        <v>9642996500</v>
      </c>
      <c r="G15" s="80">
        <v>9457370000</v>
      </c>
      <c r="H15" s="80">
        <v>7115945500</v>
      </c>
      <c r="I15" s="80">
        <f>SUMMARY!$D$26</f>
        <v>6214215000</v>
      </c>
      <c r="J15" s="80"/>
      <c r="K15" s="80"/>
      <c r="L15" s="80"/>
      <c r="M15" s="80"/>
      <c r="N15" s="80"/>
      <c r="O15" s="95">
        <f t="shared" si="1"/>
        <v>58805175500</v>
      </c>
      <c r="Q15" s="108"/>
    </row>
    <row r="16" spans="1:17" x14ac:dyDescent="0.3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v>204840000</v>
      </c>
      <c r="F16" s="80">
        <v>295340000</v>
      </c>
      <c r="G16" s="80">
        <v>212630000</v>
      </c>
      <c r="H16" s="80">
        <v>359121500</v>
      </c>
      <c r="I16" s="80">
        <f>SUMMARY!$D$27</f>
        <v>331287000</v>
      </c>
      <c r="J16" s="80"/>
      <c r="K16" s="80"/>
      <c r="L16" s="80"/>
      <c r="M16" s="80"/>
      <c r="N16" s="80"/>
      <c r="O16" s="95">
        <f t="shared" si="1"/>
        <v>2057567500</v>
      </c>
      <c r="Q16" s="108"/>
    </row>
    <row r="17" spans="1:15" x14ac:dyDescent="0.3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v>21329558212.942268</v>
      </c>
      <c r="F17" s="80">
        <v>18392351432.699123</v>
      </c>
      <c r="G17" s="80">
        <v>20097756520.941818</v>
      </c>
      <c r="H17" s="80">
        <v>17831911388.736458</v>
      </c>
      <c r="I17" s="80">
        <f>SUMMARY!$D$30</f>
        <v>17171614247.533119</v>
      </c>
      <c r="J17" s="80"/>
      <c r="K17" s="80"/>
      <c r="L17" s="80"/>
      <c r="M17" s="80"/>
      <c r="N17" s="80"/>
      <c r="O17" s="95">
        <f t="shared" si="1"/>
        <v>133795341269.51581</v>
      </c>
    </row>
    <row r="18" spans="1:15" x14ac:dyDescent="0.3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v>34423821465.599998</v>
      </c>
      <c r="F18" s="80">
        <v>31546016033.280003</v>
      </c>
      <c r="G18" s="80">
        <v>31857456099.84</v>
      </c>
      <c r="H18" s="80">
        <v>23813258703.360001</v>
      </c>
      <c r="I18" s="80">
        <f>SUMMARY!$D$31</f>
        <v>22601920481.279991</v>
      </c>
      <c r="J18" s="80"/>
      <c r="K18" s="80"/>
      <c r="L18" s="80"/>
      <c r="M18" s="80"/>
      <c r="N18" s="80"/>
      <c r="O18" s="95">
        <f t="shared" si="1"/>
        <v>218168791411.19998</v>
      </c>
    </row>
    <row r="19" spans="1:15" x14ac:dyDescent="0.3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v>13094263252.65773</v>
      </c>
      <c r="F19" s="81">
        <v>13153664600.580879</v>
      </c>
      <c r="G19" s="81">
        <v>11759699578.898182</v>
      </c>
      <c r="H19" s="81">
        <v>5981347314.6235428</v>
      </c>
      <c r="I19" s="81">
        <f>I18-I17</f>
        <v>5430306233.7468719</v>
      </c>
      <c r="J19" s="81"/>
      <c r="K19" s="81"/>
      <c r="L19" s="81"/>
      <c r="M19" s="81"/>
      <c r="N19" s="81"/>
      <c r="O19" s="96">
        <f t="shared" si="1"/>
        <v>84373450141.684158</v>
      </c>
    </row>
    <row r="20" spans="1:15" x14ac:dyDescent="0.3">
      <c r="A20" s="86" t="s">
        <v>337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v>0.61961622227959401</v>
      </c>
      <c r="F20" s="87">
        <v>0.58303246322121316</v>
      </c>
      <c r="G20" s="87">
        <v>0.63086507780019374</v>
      </c>
      <c r="H20" s="87">
        <v>0.74882281383103655</v>
      </c>
      <c r="I20" s="87">
        <f>I17/I18</f>
        <v>0.75974137957681454</v>
      </c>
      <c r="J20" s="87"/>
      <c r="K20" s="87"/>
      <c r="L20" s="87"/>
      <c r="M20" s="87"/>
      <c r="N20" s="87"/>
      <c r="O20" s="87">
        <f t="shared" ref="O20" si="2">O17/O18</f>
        <v>0.61326526312070517</v>
      </c>
    </row>
    <row r="21" spans="1:15" x14ac:dyDescent="0.3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v>0.38038377772040599</v>
      </c>
      <c r="F21" s="87">
        <v>0.41696753677878684</v>
      </c>
      <c r="G21" s="87">
        <v>0.36913492219980626</v>
      </c>
      <c r="H21" s="87">
        <v>0.2511771861689634</v>
      </c>
      <c r="I21" s="87">
        <f>IFERROR(I19/I18,"")</f>
        <v>0.24025862042318552</v>
      </c>
      <c r="J21" s="87"/>
      <c r="K21" s="87"/>
      <c r="L21" s="87"/>
      <c r="M21" s="87"/>
      <c r="N21" s="87"/>
      <c r="O21" s="88">
        <f t="shared" ref="O21" si="3">O19/O18</f>
        <v>0.38673473687929472</v>
      </c>
    </row>
    <row r="22" spans="1:15" x14ac:dyDescent="0.3">
      <c r="A22" s="89" t="s">
        <v>314</v>
      </c>
      <c r="B22" s="97">
        <v>2.4824366268315292</v>
      </c>
      <c r="C22" s="90">
        <f t="shared" ref="C22:D22" si="4">IFERROR(C27/C4,0)</f>
        <v>1.7187375733252401</v>
      </c>
      <c r="D22" s="90">
        <f t="shared" si="4"/>
        <v>1.9424888767968427</v>
      </c>
      <c r="E22" s="90">
        <v>2.0214183424561618</v>
      </c>
      <c r="F22" s="90">
        <v>1.8479057570534958</v>
      </c>
      <c r="G22" s="90">
        <v>1.9933218734506397</v>
      </c>
      <c r="H22" s="90">
        <v>2.7802676179707202</v>
      </c>
      <c r="I22" s="90">
        <f t="shared" ref="I22" si="5">IFERROR(I27/I4,0)</f>
        <v>3.0010694381559322</v>
      </c>
      <c r="J22" s="90"/>
      <c r="K22" s="90"/>
      <c r="L22" s="90"/>
      <c r="M22" s="90"/>
      <c r="N22" s="90"/>
      <c r="O22" s="97">
        <f t="shared" ref="O22" si="6">IFERROR(O27/O4,0)</f>
        <v>2.1110187959540232</v>
      </c>
    </row>
    <row r="23" spans="1:15" x14ac:dyDescent="0.3">
      <c r="A23" s="89" t="s">
        <v>373</v>
      </c>
      <c r="B23" s="97"/>
      <c r="C23" s="177">
        <f>2.08/C22</f>
        <v>1.2101905679386677</v>
      </c>
      <c r="D23" s="177">
        <f>2.11/D22</f>
        <v>1.086235306263057</v>
      </c>
      <c r="E23" s="177">
        <v>0.95477514944032693</v>
      </c>
      <c r="F23" s="177">
        <v>0.941606460913054</v>
      </c>
      <c r="G23" s="177">
        <v>1.0986685237185958</v>
      </c>
      <c r="H23" s="90">
        <v>0.73820424971186194</v>
      </c>
      <c r="I23" s="90">
        <f>SUMMARY!$F$14</f>
        <v>0.7959121827001534</v>
      </c>
      <c r="J23" s="90"/>
      <c r="K23" s="90"/>
      <c r="L23" s="90"/>
      <c r="M23" s="90"/>
      <c r="N23" s="90"/>
      <c r="O23" s="178">
        <f>AVERAGE(C23:N23)</f>
        <v>0.97508463438367365</v>
      </c>
    </row>
    <row r="24" spans="1:15" x14ac:dyDescent="0.3">
      <c r="A24" s="69" t="s">
        <v>73</v>
      </c>
      <c r="B24" s="69">
        <v>367</v>
      </c>
      <c r="C24" s="74">
        <v>31</v>
      </c>
      <c r="D24" s="74">
        <v>28</v>
      </c>
      <c r="E24" s="74">
        <v>31</v>
      </c>
      <c r="F24" s="74">
        <v>30</v>
      </c>
      <c r="G24" s="74">
        <v>31</v>
      </c>
      <c r="H24" s="74">
        <v>30</v>
      </c>
      <c r="I24" s="74">
        <f>SUMMARY!$J$9</f>
        <v>31</v>
      </c>
      <c r="O24" s="69">
        <f t="shared" si="1"/>
        <v>212</v>
      </c>
    </row>
    <row r="25" spans="1:15" x14ac:dyDescent="0.3">
      <c r="A25" s="69" t="s">
        <v>75</v>
      </c>
      <c r="B25" s="69">
        <v>3303</v>
      </c>
      <c r="C25" s="74">
        <v>279</v>
      </c>
      <c r="D25" s="74">
        <v>252</v>
      </c>
      <c r="E25" s="74">
        <v>279</v>
      </c>
      <c r="F25" s="74">
        <v>270</v>
      </c>
      <c r="G25" s="74">
        <v>279</v>
      </c>
      <c r="H25" s="74">
        <v>270</v>
      </c>
      <c r="I25" s="74">
        <f>SUMMARY!$J$10</f>
        <v>279</v>
      </c>
      <c r="O25" s="69">
        <f t="shared" si="1"/>
        <v>1908</v>
      </c>
    </row>
    <row r="26" spans="1:15" x14ac:dyDescent="0.3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v>0.85</v>
      </c>
      <c r="F26" s="82">
        <v>0.85</v>
      </c>
      <c r="G26" s="82">
        <v>0.85</v>
      </c>
      <c r="H26" s="82">
        <v>0.85</v>
      </c>
      <c r="I26" s="82">
        <f>SUMMARY!$J$11</f>
        <v>0.92</v>
      </c>
      <c r="J26" s="82"/>
      <c r="K26" s="82"/>
      <c r="L26" s="82"/>
      <c r="M26" s="82"/>
      <c r="N26" s="82"/>
      <c r="O26" s="98">
        <f>AVERAGE(C26:N26)</f>
        <v>0.86</v>
      </c>
    </row>
    <row r="27" spans="1:15" x14ac:dyDescent="0.3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v>446332</v>
      </c>
      <c r="F27" s="83">
        <v>373910</v>
      </c>
      <c r="G27" s="83">
        <v>407315.81021849712</v>
      </c>
      <c r="H27" s="83">
        <v>424666.66699578729</v>
      </c>
      <c r="I27" s="83">
        <f>SUMMARY!$J$18</f>
        <v>435075</v>
      </c>
      <c r="J27" s="83"/>
      <c r="K27" s="83"/>
      <c r="L27" s="83"/>
      <c r="M27" s="83"/>
      <c r="N27" s="83"/>
      <c r="O27" s="99">
        <f t="shared" si="1"/>
        <v>2954115.4772142842</v>
      </c>
    </row>
    <row r="28" spans="1:15" x14ac:dyDescent="0.3">
      <c r="A28" s="69" t="s">
        <v>374</v>
      </c>
      <c r="B28" s="99"/>
      <c r="C28" s="108">
        <v>1.2396340073786931</v>
      </c>
      <c r="D28" s="108">
        <v>1.0628169729208339</v>
      </c>
      <c r="E28" s="108">
        <v>1.3193021041287654</v>
      </c>
      <c r="F28" s="108">
        <v>1.5605752921291223</v>
      </c>
      <c r="G28" s="108">
        <v>1.463297376141411</v>
      </c>
      <c r="H28" s="83">
        <v>1.01147534452527</v>
      </c>
      <c r="I28" s="83">
        <f>SUMMARY!$J$19</f>
        <v>1.0520433534601317</v>
      </c>
      <c r="J28" s="83"/>
      <c r="K28" s="83"/>
      <c r="L28" s="83"/>
      <c r="M28" s="83"/>
      <c r="N28" s="83"/>
      <c r="O28" s="98">
        <f>AVERAGE(C28:N28)</f>
        <v>1.2441634929548897</v>
      </c>
    </row>
    <row r="29" spans="1:15" s="106" customFormat="1" x14ac:dyDescent="0.3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v>96600.647518277823</v>
      </c>
      <c r="F29" s="85">
        <v>90897.093146040017</v>
      </c>
      <c r="G29" s="85">
        <v>98354.389089361415</v>
      </c>
      <c r="H29" s="85">
        <v>116744.47196751393</v>
      </c>
      <c r="I29" s="85">
        <f>SUMMARY!$J$30</f>
        <v>118446.72004154368</v>
      </c>
      <c r="J29" s="85"/>
      <c r="K29" s="85"/>
      <c r="L29" s="105"/>
      <c r="M29" s="105"/>
      <c r="N29" s="105"/>
      <c r="O29" s="104">
        <f t="shared" si="1"/>
        <v>685516.41002959176</v>
      </c>
    </row>
    <row r="30" spans="1:15" x14ac:dyDescent="0.3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v>6.5059703339357373</v>
      </c>
      <c r="F30" s="85">
        <v>6.1218408638227384</v>
      </c>
      <c r="G30" s="85">
        <v>6.624083316902035</v>
      </c>
      <c r="H30" s="85">
        <v>7.8626395452258846</v>
      </c>
      <c r="I30" s="85">
        <f>SUMMARY!$J$31</f>
        <v>7.9772844855565515</v>
      </c>
      <c r="J30" s="85"/>
      <c r="K30" s="85"/>
      <c r="L30" s="85"/>
      <c r="M30" s="85"/>
      <c r="N30" s="85"/>
      <c r="O30" s="100">
        <f t="shared" si="1"/>
        <v>46.168939253070569</v>
      </c>
    </row>
    <row r="31" spans="1:15" x14ac:dyDescent="0.3">
      <c r="I31" s="79"/>
      <c r="J31" s="82"/>
    </row>
    <row r="41" spans="1:2" x14ac:dyDescent="0.3">
      <c r="A41" s="151"/>
      <c r="B41" s="151"/>
    </row>
    <row r="43" spans="1:2" x14ac:dyDescent="0.3">
      <c r="A43" s="152"/>
      <c r="B43" s="152"/>
    </row>
    <row r="59" spans="9:10" x14ac:dyDescent="0.3">
      <c r="I59" s="180"/>
    </row>
    <row r="61" spans="9:10" x14ac:dyDescent="0.3">
      <c r="J61" s="181"/>
    </row>
    <row r="67" spans="1:2" x14ac:dyDescent="0.3">
      <c r="A67" s="69" t="s">
        <v>392</v>
      </c>
      <c r="B67" s="74"/>
    </row>
    <row r="68" spans="1:2" x14ac:dyDescent="0.3">
      <c r="A68" s="69" t="s">
        <v>370</v>
      </c>
      <c r="B68" s="181"/>
    </row>
    <row r="69" spans="1:2" x14ac:dyDescent="0.3">
      <c r="A69" s="69" t="s">
        <v>371</v>
      </c>
      <c r="B69" s="181" t="s">
        <v>423</v>
      </c>
    </row>
    <row r="70" spans="1:2" x14ac:dyDescent="0.3">
      <c r="A70" s="69" t="s">
        <v>372</v>
      </c>
      <c r="B70" s="181"/>
    </row>
    <row r="71" spans="1:2" x14ac:dyDescent="0.3">
      <c r="A71" s="69" t="s">
        <v>373</v>
      </c>
      <c r="B71" s="181" t="s">
        <v>422</v>
      </c>
    </row>
    <row r="72" spans="1:2" x14ac:dyDescent="0.3">
      <c r="A72" s="69" t="s">
        <v>374</v>
      </c>
      <c r="B72" s="181" t="s">
        <v>424</v>
      </c>
    </row>
    <row r="73" spans="1:2" x14ac:dyDescent="0.3">
      <c r="B73" s="74"/>
    </row>
    <row r="74" spans="1:2" x14ac:dyDescent="0.3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4"/>
  <sheetViews>
    <sheetView zoomScaleNormal="100" workbookViewId="0">
      <pane xSplit="3" ySplit="7" topLeftCell="D11" activePane="bottomRight" state="frozenSplit"/>
      <selection activeCell="B47" sqref="B47"/>
      <selection pane="topRight" activeCell="B47" sqref="B47"/>
      <selection pane="bottomLeft" activeCell="B47" sqref="B47"/>
      <selection pane="bottomRight" activeCell="E14" sqref="E14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168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236</v>
      </c>
      <c r="E8" s="62">
        <f>IF(O8="K",VLOOKUP(M8,Table2[[#All],[UNIT]:[Column7]],10,FALSE),0)</f>
        <v>1000000</v>
      </c>
      <c r="F8" s="43">
        <f>D8*E8</f>
        <v>236000000</v>
      </c>
      <c r="G8" s="42">
        <v>7100</v>
      </c>
      <c r="H8" s="44">
        <f t="shared" ref="H8:H28" si="0">G8*$C$42</f>
        <v>81650000</v>
      </c>
      <c r="I8" s="42">
        <f t="shared" ref="I8:I39" si="1">IFERROR(G8/D8,0)</f>
        <v>30.084745762711865</v>
      </c>
      <c r="J8" s="45">
        <f>F8+H8</f>
        <v>317650000</v>
      </c>
      <c r="K8" s="36"/>
      <c r="L8" s="41" t="s">
        <v>295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243</v>
      </c>
      <c r="E9" s="62">
        <f>IF(O9="K",VLOOKUP(M9,Table2[[#All],[UNIT]:[Column7]],10,FALSE),0)</f>
        <v>1000000</v>
      </c>
      <c r="F9" s="43">
        <f t="shared" ref="F9:F27" si="2">D9*E9</f>
        <v>243000000</v>
      </c>
      <c r="G9" s="42">
        <v>6534</v>
      </c>
      <c r="H9" s="44">
        <f t="shared" si="0"/>
        <v>75141000</v>
      </c>
      <c r="I9" s="42">
        <f t="shared" ref="I9:I27" si="3">IFERROR(G9/D9,0)</f>
        <v>26.888888888888889</v>
      </c>
      <c r="J9" s="45">
        <f t="shared" ref="J9:J27" si="4">F9+H9</f>
        <v>318141000</v>
      </c>
      <c r="K9" s="36"/>
      <c r="L9" s="41" t="s">
        <v>295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233</v>
      </c>
      <c r="E10" s="62">
        <f>IF(O10="K",VLOOKUP(M10,Table2[[#All],[UNIT]:[Column7]],10,FALSE),0)</f>
        <v>1000000</v>
      </c>
      <c r="F10" s="43">
        <f t="shared" si="2"/>
        <v>233000000</v>
      </c>
      <c r="G10" s="42">
        <v>7410</v>
      </c>
      <c r="H10" s="44">
        <f t="shared" si="0"/>
        <v>85215000</v>
      </c>
      <c r="I10" s="42">
        <f t="shared" si="3"/>
        <v>31.802575107296136</v>
      </c>
      <c r="J10" s="45">
        <f t="shared" si="4"/>
        <v>318215000</v>
      </c>
      <c r="K10" s="36"/>
      <c r="L10" s="41" t="s">
        <v>295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3">
      <c r="B11" s="41">
        <v>4</v>
      </c>
      <c r="C11" s="41" t="s">
        <v>275</v>
      </c>
      <c r="D11" s="42">
        <v>237</v>
      </c>
      <c r="E11" s="62">
        <f>IF(O11="K",VLOOKUP(M11,Table2[[#All],[UNIT]:[Column7]],10,FALSE),0)</f>
        <v>1000000</v>
      </c>
      <c r="F11" s="43">
        <f t="shared" si="2"/>
        <v>237000000</v>
      </c>
      <c r="G11" s="42">
        <v>8023.0000000000009</v>
      </c>
      <c r="H11" s="44">
        <f t="shared" si="0"/>
        <v>92264500.000000015</v>
      </c>
      <c r="I11" s="42">
        <f t="shared" si="3"/>
        <v>33.852320675105489</v>
      </c>
      <c r="J11" s="45">
        <f t="shared" si="4"/>
        <v>329264500</v>
      </c>
      <c r="K11" s="36"/>
      <c r="L11" s="41" t="s">
        <v>295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3">
      <c r="B12" s="41">
        <v>5</v>
      </c>
      <c r="C12" s="41" t="s">
        <v>412</v>
      </c>
      <c r="D12" s="42">
        <v>22</v>
      </c>
      <c r="E12" s="62">
        <f>IF(O12="K",VLOOKUP(M12,Table2[[#All],[UNIT]:[Column7]],10,FALSE),0)</f>
        <v>950000</v>
      </c>
      <c r="F12" s="43">
        <f t="shared" si="2"/>
        <v>20900000</v>
      </c>
      <c r="G12" s="42">
        <v>681.06666666666661</v>
      </c>
      <c r="H12" s="44">
        <f t="shared" si="0"/>
        <v>7832266.666666666</v>
      </c>
      <c r="I12" s="42">
        <f t="shared" si="3"/>
        <v>30.957575757575754</v>
      </c>
      <c r="J12" s="45">
        <f t="shared" si="4"/>
        <v>28732266.666666664</v>
      </c>
      <c r="K12" s="36"/>
      <c r="L12" s="41" t="s">
        <v>295</v>
      </c>
      <c r="M12" s="41" t="str">
        <f>VLOOKUP(N12,'list rate unit'!O:P,2,FALSE)</f>
        <v>PC 400 LC SE-8</v>
      </c>
      <c r="N12" s="41" t="str">
        <f t="shared" si="5"/>
        <v>KOMATSU PC 400 - 02</v>
      </c>
      <c r="O12" s="15" t="s">
        <v>56</v>
      </c>
    </row>
    <row r="13" spans="2:15" x14ac:dyDescent="0.3">
      <c r="B13" s="41">
        <v>6</v>
      </c>
      <c r="C13" s="41" t="s">
        <v>276</v>
      </c>
      <c r="D13" s="42">
        <v>35</v>
      </c>
      <c r="E13" s="62">
        <f>IF(O13="K",VLOOKUP(M13,Table2[[#All],[UNIT]:[Column7]],10,FALSE),0)</f>
        <v>950000</v>
      </c>
      <c r="F13" s="43">
        <f t="shared" si="2"/>
        <v>33250000</v>
      </c>
      <c r="G13" s="42">
        <v>866.03015075376891</v>
      </c>
      <c r="H13" s="44">
        <f t="shared" si="0"/>
        <v>9959346.7336683422</v>
      </c>
      <c r="I13" s="42">
        <f t="shared" si="3"/>
        <v>24.743718592964825</v>
      </c>
      <c r="J13" s="45">
        <f t="shared" si="4"/>
        <v>43209346.733668342</v>
      </c>
      <c r="K13" s="36"/>
      <c r="L13" s="41" t="s">
        <v>295</v>
      </c>
      <c r="M13" s="41" t="str">
        <f>VLOOKUP(N13,'list rate unit'!O:P,2,FALSE)</f>
        <v>PC 400 LC SE-8</v>
      </c>
      <c r="N13" s="41" t="str">
        <f t="shared" si="5"/>
        <v>KOMATSU PC 400 - 04</v>
      </c>
      <c r="O13" s="15" t="s">
        <v>56</v>
      </c>
    </row>
    <row r="14" spans="2:15" x14ac:dyDescent="0.3">
      <c r="B14" s="41">
        <v>7</v>
      </c>
      <c r="C14" s="41" t="s">
        <v>207</v>
      </c>
      <c r="D14" s="42">
        <v>131</v>
      </c>
      <c r="E14" s="62">
        <f>IF(O14="K",VLOOKUP(M14,Table2[[#All],[UNIT]:[Column7]],10,FALSE),0)</f>
        <v>1424304.3667884208</v>
      </c>
      <c r="F14" s="43">
        <f t="shared" si="2"/>
        <v>186583872.04928312</v>
      </c>
      <c r="G14" s="42">
        <v>2413.8238636363635</v>
      </c>
      <c r="H14" s="44">
        <f t="shared" si="0"/>
        <v>27758974.43181818</v>
      </c>
      <c r="I14" s="42">
        <f t="shared" si="3"/>
        <v>18.426136363636363</v>
      </c>
      <c r="J14" s="45">
        <f t="shared" si="4"/>
        <v>214342846.4811013</v>
      </c>
      <c r="K14" s="36"/>
      <c r="L14" s="41" t="s">
        <v>295</v>
      </c>
      <c r="M14" s="41" t="str">
        <f>VLOOKUP(N14,'list rate unit'!O:P,2,FALSE)</f>
        <v>HM 400-3R</v>
      </c>
      <c r="N14" s="41" t="str">
        <f t="shared" si="5"/>
        <v>KOMATSU HM 400 - 11</v>
      </c>
      <c r="O14" s="15" t="s">
        <v>56</v>
      </c>
    </row>
    <row r="15" spans="2:15" x14ac:dyDescent="0.3">
      <c r="B15" s="41">
        <v>8</v>
      </c>
      <c r="C15" s="41" t="s">
        <v>208</v>
      </c>
      <c r="D15" s="42">
        <v>214</v>
      </c>
      <c r="E15" s="62">
        <f>IF(O15="K",VLOOKUP(M15,Table2[[#All],[UNIT]:[Column7]],10,FALSE),0)</f>
        <v>1424304.3667884208</v>
      </c>
      <c r="F15" s="43">
        <f t="shared" si="2"/>
        <v>304801134.49272203</v>
      </c>
      <c r="G15" s="42">
        <v>4849.1680672268903</v>
      </c>
      <c r="H15" s="44">
        <f t="shared" si="0"/>
        <v>55765432.773109242</v>
      </c>
      <c r="I15" s="42">
        <f t="shared" si="3"/>
        <v>22.659663865546218</v>
      </c>
      <c r="J15" s="45">
        <f t="shared" si="4"/>
        <v>360566567.26583129</v>
      </c>
      <c r="K15" s="36"/>
      <c r="L15" s="41" t="s">
        <v>295</v>
      </c>
      <c r="M15" s="41" t="str">
        <f>VLOOKUP(N15,'list rate unit'!O:P,2,FALSE)</f>
        <v>HM 400-3R</v>
      </c>
      <c r="N15" s="41" t="str">
        <f t="shared" si="5"/>
        <v>KOMATSU HM 400 - 12</v>
      </c>
      <c r="O15" s="15" t="s">
        <v>56</v>
      </c>
    </row>
    <row r="16" spans="2:15" x14ac:dyDescent="0.3">
      <c r="B16" s="41">
        <v>9</v>
      </c>
      <c r="C16" s="41" t="s">
        <v>209</v>
      </c>
      <c r="D16" s="42">
        <v>112</v>
      </c>
      <c r="E16" s="62">
        <f>IF(O16="K",VLOOKUP(M16,Table2[[#All],[UNIT]:[Column7]],10,FALSE),0)</f>
        <v>1424304.3667884208</v>
      </c>
      <c r="F16" s="43">
        <f t="shared" si="2"/>
        <v>159522089.08030313</v>
      </c>
      <c r="G16" s="42">
        <v>2152.1012658227846</v>
      </c>
      <c r="H16" s="44">
        <f t="shared" si="0"/>
        <v>24749164.556962024</v>
      </c>
      <c r="I16" s="42">
        <f t="shared" si="3"/>
        <v>19.215189873417721</v>
      </c>
      <c r="J16" s="45">
        <f t="shared" si="4"/>
        <v>184271253.63726515</v>
      </c>
      <c r="K16" s="36"/>
      <c r="L16" s="41" t="s">
        <v>295</v>
      </c>
      <c r="M16" s="41" t="str">
        <f>VLOOKUP(N16,'list rate unit'!O:P,2,FALSE)</f>
        <v>HM 400-3R</v>
      </c>
      <c r="N16" s="41" t="str">
        <f t="shared" si="5"/>
        <v>KOMATSU HM 400 - 13</v>
      </c>
      <c r="O16" s="15" t="s">
        <v>56</v>
      </c>
    </row>
    <row r="17" spans="2:15" x14ac:dyDescent="0.3">
      <c r="B17" s="41">
        <v>10</v>
      </c>
      <c r="C17" s="41" t="s">
        <v>210</v>
      </c>
      <c r="D17" s="42">
        <v>198</v>
      </c>
      <c r="E17" s="62">
        <f>IF(O17="K",VLOOKUP(M17,Table2[[#All],[UNIT]:[Column7]],10,FALSE),0)</f>
        <v>1424304.3667884208</v>
      </c>
      <c r="F17" s="43">
        <f t="shared" si="2"/>
        <v>282012264.6241073</v>
      </c>
      <c r="G17" s="42">
        <v>4013.1428571428573</v>
      </c>
      <c r="H17" s="44">
        <f t="shared" si="0"/>
        <v>46151142.857142858</v>
      </c>
      <c r="I17" s="42">
        <f t="shared" si="3"/>
        <v>20.268398268398268</v>
      </c>
      <c r="J17" s="45">
        <f t="shared" si="4"/>
        <v>328163407.48125017</v>
      </c>
      <c r="K17" s="36"/>
      <c r="L17" s="41" t="s">
        <v>295</v>
      </c>
      <c r="M17" s="41" t="str">
        <f>VLOOKUP(N17,'list rate unit'!O:P,2,FALSE)</f>
        <v>HM 400-3R</v>
      </c>
      <c r="N17" s="41" t="str">
        <f t="shared" si="5"/>
        <v>KOMATSU HM 400 - 14</v>
      </c>
      <c r="O17" s="15" t="s">
        <v>56</v>
      </c>
    </row>
    <row r="18" spans="2:15" x14ac:dyDescent="0.3">
      <c r="B18" s="41">
        <v>11</v>
      </c>
      <c r="C18" s="41" t="s">
        <v>211</v>
      </c>
      <c r="D18" s="42">
        <v>185</v>
      </c>
      <c r="E18" s="62">
        <f>IF(O18="K",VLOOKUP(M18,Table2[[#All],[UNIT]:[Column7]],10,FALSE),0)</f>
        <v>1424304.3667884208</v>
      </c>
      <c r="F18" s="43">
        <f t="shared" ref="F18:F19" si="6">D18*E18</f>
        <v>263496307.85585785</v>
      </c>
      <c r="G18" s="42">
        <v>3913.3862433862432</v>
      </c>
      <c r="H18" s="44">
        <f t="shared" si="0"/>
        <v>45003941.798941799</v>
      </c>
      <c r="I18" s="42">
        <f t="shared" ref="I18:I19" si="7">IFERROR(G18/D18,0)</f>
        <v>21.153439153439152</v>
      </c>
      <c r="J18" s="45">
        <f t="shared" ref="J18:J19" si="8">F18+H18</f>
        <v>308500249.65479964</v>
      </c>
      <c r="K18" s="36"/>
      <c r="L18" s="41" t="s">
        <v>295</v>
      </c>
      <c r="M18" s="41" t="str">
        <f>VLOOKUP(N18,'list rate unit'!O:P,2,FALSE)</f>
        <v>HM 400-3R</v>
      </c>
      <c r="N18" s="41" t="str">
        <f t="shared" ref="N18:N19" si="9">C18</f>
        <v>KOMATSU HM 400 - 15</v>
      </c>
      <c r="O18" s="15" t="s">
        <v>56</v>
      </c>
    </row>
    <row r="19" spans="2:15" x14ac:dyDescent="0.3">
      <c r="B19" s="41">
        <v>12</v>
      </c>
      <c r="C19" s="41" t="s">
        <v>212</v>
      </c>
      <c r="D19" s="42">
        <v>195</v>
      </c>
      <c r="E19" s="62">
        <f>IF(O19="K",VLOOKUP(M19,Table2[[#All],[UNIT]:[Column7]],10,FALSE),0)</f>
        <v>1424304.3667884208</v>
      </c>
      <c r="F19" s="43">
        <f t="shared" si="6"/>
        <v>277739351.52374208</v>
      </c>
      <c r="G19" s="42">
        <v>5706</v>
      </c>
      <c r="H19" s="44">
        <f t="shared" si="0"/>
        <v>65619000</v>
      </c>
      <c r="I19" s="42">
        <f t="shared" si="7"/>
        <v>29.261538461538461</v>
      </c>
      <c r="J19" s="45">
        <f t="shared" si="8"/>
        <v>343358351.52374208</v>
      </c>
      <c r="K19" s="36"/>
      <c r="L19" s="41" t="s">
        <v>295</v>
      </c>
      <c r="M19" s="41" t="str">
        <f>VLOOKUP(N19,'list rate unit'!O:P,2,FALSE)</f>
        <v>HM 400-3R</v>
      </c>
      <c r="N19" s="41" t="str">
        <f t="shared" si="9"/>
        <v>KOMATSU HM 400 - 16</v>
      </c>
      <c r="O19" s="15" t="s">
        <v>56</v>
      </c>
    </row>
    <row r="20" spans="2:15" x14ac:dyDescent="0.3">
      <c r="B20" s="41">
        <v>13</v>
      </c>
      <c r="C20" s="41" t="s">
        <v>213</v>
      </c>
      <c r="D20" s="42">
        <v>190</v>
      </c>
      <c r="E20" s="62">
        <f>IF(O20="K",VLOOKUP(M20,Table2[[#All],[UNIT]:[Column7]],10,FALSE),0)</f>
        <v>1424304.3667884208</v>
      </c>
      <c r="F20" s="43">
        <f t="shared" si="2"/>
        <v>270617829.68979996</v>
      </c>
      <c r="G20" s="42">
        <v>4275.4418604651164</v>
      </c>
      <c r="H20" s="44">
        <f t="shared" si="0"/>
        <v>49167581.395348839</v>
      </c>
      <c r="I20" s="42">
        <f t="shared" si="3"/>
        <v>22.50232558139535</v>
      </c>
      <c r="J20" s="45">
        <f t="shared" si="4"/>
        <v>319785411.08514881</v>
      </c>
      <c r="K20" s="36"/>
      <c r="L20" s="41" t="s">
        <v>295</v>
      </c>
      <c r="M20" s="41" t="str">
        <f>VLOOKUP(N20,'list rate unit'!O:P,2,FALSE)</f>
        <v>HM 400-3R</v>
      </c>
      <c r="N20" s="41" t="str">
        <f t="shared" si="5"/>
        <v>KOMATSU HM 400 - 17</v>
      </c>
      <c r="O20" s="15" t="s">
        <v>56</v>
      </c>
    </row>
    <row r="21" spans="2:15" x14ac:dyDescent="0.3">
      <c r="B21" s="41">
        <v>14</v>
      </c>
      <c r="C21" s="41" t="s">
        <v>214</v>
      </c>
      <c r="D21" s="42">
        <v>198</v>
      </c>
      <c r="E21" s="62">
        <f>IF(O21="K",VLOOKUP(M21,Table2[[#All],[UNIT]:[Column7]],10,FALSE),0)</f>
        <v>1424304.3667884208</v>
      </c>
      <c r="F21" s="43">
        <f t="shared" si="2"/>
        <v>282012264.6241073</v>
      </c>
      <c r="G21" s="42">
        <v>4661.9189189189192</v>
      </c>
      <c r="H21" s="44">
        <f t="shared" si="0"/>
        <v>53612067.567567572</v>
      </c>
      <c r="I21" s="42">
        <f t="shared" si="3"/>
        <v>23.545045045045047</v>
      </c>
      <c r="J21" s="45">
        <f t="shared" si="4"/>
        <v>335624332.19167489</v>
      </c>
      <c r="K21" s="36"/>
      <c r="L21" s="41" t="s">
        <v>295</v>
      </c>
      <c r="M21" s="41" t="str">
        <f>VLOOKUP(N21,'list rate unit'!O:P,2,FALSE)</f>
        <v>HM 400-3R</v>
      </c>
      <c r="N21" s="41" t="str">
        <f t="shared" si="5"/>
        <v>KOMATSU HM 400 - 18</v>
      </c>
      <c r="O21" s="15" t="s">
        <v>56</v>
      </c>
    </row>
    <row r="22" spans="2:15" x14ac:dyDescent="0.3">
      <c r="B22" s="41">
        <v>15</v>
      </c>
      <c r="C22" s="41" t="s">
        <v>215</v>
      </c>
      <c r="D22" s="42">
        <v>171</v>
      </c>
      <c r="E22" s="62">
        <f>IF(O22="K",VLOOKUP(M22,Table2[[#All],[UNIT]:[Column7]],10,FALSE),0)</f>
        <v>1424304.3667884208</v>
      </c>
      <c r="F22" s="43">
        <f t="shared" si="2"/>
        <v>243556046.72081995</v>
      </c>
      <c r="G22" s="42">
        <v>2965.14</v>
      </c>
      <c r="H22" s="44">
        <f t="shared" si="0"/>
        <v>34099110</v>
      </c>
      <c r="I22" s="42">
        <f t="shared" si="3"/>
        <v>17.34</v>
      </c>
      <c r="J22" s="45">
        <f t="shared" si="4"/>
        <v>277655156.72081995</v>
      </c>
      <c r="K22" s="36"/>
      <c r="L22" s="41" t="s">
        <v>295</v>
      </c>
      <c r="M22" s="41" t="str">
        <f>VLOOKUP(N22,'list rate unit'!O:P,2,FALSE)</f>
        <v>HM 400-3R</v>
      </c>
      <c r="N22" s="41" t="str">
        <f t="shared" si="5"/>
        <v>KOMATSU HM 400 - 19</v>
      </c>
      <c r="O22" s="15" t="s">
        <v>56</v>
      </c>
    </row>
    <row r="23" spans="2:15" x14ac:dyDescent="0.3">
      <c r="B23" s="41">
        <v>16</v>
      </c>
      <c r="C23" s="41" t="s">
        <v>216</v>
      </c>
      <c r="D23" s="42">
        <v>191</v>
      </c>
      <c r="E23" s="62">
        <f>IF(O23="K",VLOOKUP(M23,Table2[[#All],[UNIT]:[Column7]],10,FALSE),0)</f>
        <v>1424304.3667884208</v>
      </c>
      <c r="F23" s="43">
        <f t="shared" si="2"/>
        <v>272042134.05658835</v>
      </c>
      <c r="G23" s="42">
        <v>4002</v>
      </c>
      <c r="H23" s="44">
        <f t="shared" si="0"/>
        <v>46023000</v>
      </c>
      <c r="I23" s="42">
        <f t="shared" si="3"/>
        <v>20.952879581151834</v>
      </c>
      <c r="J23" s="45">
        <f t="shared" si="4"/>
        <v>318065134.05658835</v>
      </c>
      <c r="K23" s="36"/>
      <c r="L23" s="41" t="s">
        <v>295</v>
      </c>
      <c r="M23" s="41" t="str">
        <f>VLOOKUP(N23,'list rate unit'!O:P,2,FALSE)</f>
        <v>HM 400-3R</v>
      </c>
      <c r="N23" s="41" t="str">
        <f t="shared" si="5"/>
        <v>KOMATSU HM 400 - 20</v>
      </c>
      <c r="O23" s="15" t="s">
        <v>56</v>
      </c>
    </row>
    <row r="24" spans="2:15" x14ac:dyDescent="0.3">
      <c r="B24" s="41">
        <v>17</v>
      </c>
      <c r="C24" s="41" t="s">
        <v>217</v>
      </c>
      <c r="D24" s="42">
        <v>189</v>
      </c>
      <c r="E24" s="62">
        <f>IF(O24="K",VLOOKUP(M24,Table2[[#All],[UNIT]:[Column7]],10,FALSE),0)</f>
        <v>1424304.3667884208</v>
      </c>
      <c r="F24" s="43">
        <f t="shared" si="2"/>
        <v>269193525.32301152</v>
      </c>
      <c r="G24" s="42">
        <v>4124.8097560975611</v>
      </c>
      <c r="H24" s="44">
        <f t="shared" si="0"/>
        <v>47435312.195121951</v>
      </c>
      <c r="I24" s="42">
        <f t="shared" si="3"/>
        <v>21.824390243902439</v>
      </c>
      <c r="J24" s="45">
        <f t="shared" si="4"/>
        <v>316628837.51813346</v>
      </c>
      <c r="K24" s="36"/>
      <c r="L24" s="41" t="s">
        <v>295</v>
      </c>
      <c r="M24" s="41" t="str">
        <f>VLOOKUP(N24,'list rate unit'!O:P,2,FALSE)</f>
        <v>HM 400-3R</v>
      </c>
      <c r="N24" s="41" t="str">
        <f t="shared" si="5"/>
        <v>KOMATSU HM 400 - 21</v>
      </c>
      <c r="O24" s="15" t="s">
        <v>56</v>
      </c>
    </row>
    <row r="25" spans="2:15" x14ac:dyDescent="0.3">
      <c r="B25" s="41">
        <v>18</v>
      </c>
      <c r="C25" s="41" t="s">
        <v>218</v>
      </c>
      <c r="D25" s="42">
        <v>179</v>
      </c>
      <c r="E25" s="62">
        <f>IF(O25="K",VLOOKUP(M25,Table2[[#All],[UNIT]:[Column7]],10,FALSE),0)</f>
        <v>1424304.3667884208</v>
      </c>
      <c r="F25" s="43">
        <f t="shared" si="2"/>
        <v>254950481.65512732</v>
      </c>
      <c r="G25" s="42">
        <v>4436.0177777777781</v>
      </c>
      <c r="H25" s="44">
        <f t="shared" si="0"/>
        <v>51014204.444444448</v>
      </c>
      <c r="I25" s="42">
        <f t="shared" si="3"/>
        <v>24.782222222222224</v>
      </c>
      <c r="J25" s="45">
        <f t="shared" si="4"/>
        <v>305964686.09957176</v>
      </c>
      <c r="K25" s="36"/>
      <c r="L25" s="41" t="s">
        <v>295</v>
      </c>
      <c r="M25" s="41" t="str">
        <f>VLOOKUP(N25,'list rate unit'!O:P,2,FALSE)</f>
        <v>HM 400-3R</v>
      </c>
      <c r="N25" s="41" t="str">
        <f t="shared" si="5"/>
        <v>KOMATSU HM 400 - 22</v>
      </c>
      <c r="O25" s="15" t="s">
        <v>56</v>
      </c>
    </row>
    <row r="26" spans="2:15" x14ac:dyDescent="0.3">
      <c r="B26" s="41">
        <v>19</v>
      </c>
      <c r="C26" s="41" t="s">
        <v>277</v>
      </c>
      <c r="D26" s="42">
        <v>186</v>
      </c>
      <c r="E26" s="62">
        <f>IF(O26="K",VLOOKUP(M26,Table2[[#All],[UNIT]:[Column7]],10,FALSE),0)</f>
        <v>1424304.3667884208</v>
      </c>
      <c r="F26" s="43">
        <f t="shared" si="2"/>
        <v>264920612.22264627</v>
      </c>
      <c r="G26" s="42">
        <v>4191.4883720930229</v>
      </c>
      <c r="H26" s="44">
        <f t="shared" si="0"/>
        <v>48202116.279069766</v>
      </c>
      <c r="I26" s="42">
        <f t="shared" si="3"/>
        <v>22.534883720930232</v>
      </c>
      <c r="J26" s="45">
        <f t="shared" si="4"/>
        <v>313122728.50171602</v>
      </c>
      <c r="K26" s="36"/>
      <c r="L26" s="41" t="s">
        <v>295</v>
      </c>
      <c r="M26" s="41" t="str">
        <f>VLOOKUP(N26,'list rate unit'!O:P,2,FALSE)</f>
        <v>HM 400-3R</v>
      </c>
      <c r="N26" s="41" t="str">
        <f t="shared" si="5"/>
        <v>KOMATSU HM 400 - 23</v>
      </c>
      <c r="O26" s="15" t="s">
        <v>56</v>
      </c>
    </row>
    <row r="27" spans="2:15" x14ac:dyDescent="0.3">
      <c r="B27" s="41">
        <v>20</v>
      </c>
      <c r="C27" s="41" t="s">
        <v>278</v>
      </c>
      <c r="D27" s="42">
        <v>191</v>
      </c>
      <c r="E27" s="62">
        <f>IF(O27="K",VLOOKUP(M27,Table2[[#All],[UNIT]:[Column7]],10,FALSE),0)</f>
        <v>1424304.3667884208</v>
      </c>
      <c r="F27" s="43">
        <f t="shared" si="2"/>
        <v>272042134.05658835</v>
      </c>
      <c r="G27" s="42">
        <v>3871.766355140187</v>
      </c>
      <c r="H27" s="44">
        <f t="shared" si="0"/>
        <v>44525313.084112152</v>
      </c>
      <c r="I27" s="42">
        <f t="shared" si="3"/>
        <v>20.271028037383179</v>
      </c>
      <c r="J27" s="45">
        <f t="shared" si="4"/>
        <v>316567447.14070052</v>
      </c>
      <c r="K27" s="36"/>
      <c r="L27" s="41" t="s">
        <v>295</v>
      </c>
      <c r="M27" s="41" t="str">
        <f>VLOOKUP(N27,'list rate unit'!O:P,2,FALSE)</f>
        <v>HM 400-3R</v>
      </c>
      <c r="N27" s="41" t="str">
        <f t="shared" si="5"/>
        <v>KOMATSU HM 400 - 24</v>
      </c>
      <c r="O27" s="15" t="s">
        <v>56</v>
      </c>
    </row>
    <row r="28" spans="2:15" x14ac:dyDescent="0.3">
      <c r="B28" s="41">
        <v>21</v>
      </c>
      <c r="C28" s="41" t="s">
        <v>279</v>
      </c>
      <c r="D28" s="42">
        <v>206</v>
      </c>
      <c r="E28" s="62">
        <f>IF(O28="K",VLOOKUP(M28,Table2[[#All],[UNIT]:[Column7]],10,FALSE),0)</f>
        <v>1424304.3667884208</v>
      </c>
      <c r="F28" s="43">
        <f t="shared" ref="F28:F37" si="10">D28*E28</f>
        <v>293406699.5584147</v>
      </c>
      <c r="G28" s="42">
        <v>4056.4833333333331</v>
      </c>
      <c r="H28" s="44">
        <f t="shared" si="0"/>
        <v>46649558.333333328</v>
      </c>
      <c r="I28" s="42">
        <f t="shared" ref="I28:I37" si="11">IFERROR(G28/D28,0)</f>
        <v>19.691666666666666</v>
      </c>
      <c r="J28" s="45">
        <f t="shared" ref="J28:J37" si="12">F28+H28</f>
        <v>340056257.89174801</v>
      </c>
      <c r="K28" s="36"/>
      <c r="L28" s="41" t="s">
        <v>295</v>
      </c>
      <c r="M28" s="41" t="str">
        <f>VLOOKUP(N28,'list rate unit'!O:P,2,FALSE)</f>
        <v>HM 400-3R</v>
      </c>
      <c r="N28" s="41" t="str">
        <f t="shared" ref="N28:N37" si="13">C28</f>
        <v>KOMATSU HM 400 - 25</v>
      </c>
      <c r="O28" s="15" t="s">
        <v>56</v>
      </c>
    </row>
    <row r="29" spans="2:15" x14ac:dyDescent="0.3">
      <c r="B29" s="41">
        <v>22</v>
      </c>
      <c r="C29" s="41" t="s">
        <v>291</v>
      </c>
      <c r="D29" s="42">
        <v>215</v>
      </c>
      <c r="E29" s="62">
        <f>IF(O29="K",VLOOKUP(M29,Table2[[#All],[UNIT]:[Column7]],10,FALSE),0)</f>
        <v>425000</v>
      </c>
      <c r="F29" s="43">
        <f t="shared" ref="F29:F33" si="14">D29*E29</f>
        <v>91375000</v>
      </c>
      <c r="G29" s="42">
        <v>5590</v>
      </c>
      <c r="H29" s="44">
        <f t="shared" ref="H29:H33" si="15">G29*$C$42</f>
        <v>64285000</v>
      </c>
      <c r="I29" s="42">
        <f t="shared" ref="I29:I33" si="16">IFERROR(G29/D29,0)</f>
        <v>26</v>
      </c>
      <c r="J29" s="45">
        <f t="shared" ref="J29:J33" si="17">F29+H29</f>
        <v>155660000</v>
      </c>
      <c r="K29" s="36"/>
      <c r="L29" s="41" t="s">
        <v>295</v>
      </c>
      <c r="M29" s="41" t="str">
        <f>VLOOKUP(N29,'list rate unit'!O:P,2,FALSE)</f>
        <v>D 65 P-12</v>
      </c>
      <c r="N29" s="41" t="str">
        <f t="shared" ref="N29:N33" si="18">C29</f>
        <v>KOMATSU DOZER D65 - 10</v>
      </c>
      <c r="O29" s="15" t="s">
        <v>56</v>
      </c>
    </row>
    <row r="30" spans="2:15" x14ac:dyDescent="0.3">
      <c r="B30" s="41">
        <v>23</v>
      </c>
      <c r="C30" s="41" t="s">
        <v>220</v>
      </c>
      <c r="D30" s="42">
        <v>166</v>
      </c>
      <c r="E30" s="62">
        <f>IF(O30="K",VLOOKUP(M30,Table2[[#All],[UNIT]:[Column7]],10,FALSE),0)</f>
        <v>425000</v>
      </c>
      <c r="F30" s="43">
        <f t="shared" si="14"/>
        <v>70550000</v>
      </c>
      <c r="G30" s="42">
        <v>3976</v>
      </c>
      <c r="H30" s="44">
        <f t="shared" si="15"/>
        <v>45724000</v>
      </c>
      <c r="I30" s="42">
        <f t="shared" si="16"/>
        <v>23.951807228915662</v>
      </c>
      <c r="J30" s="45">
        <f t="shared" si="17"/>
        <v>116274000</v>
      </c>
      <c r="K30" s="36"/>
      <c r="L30" s="41" t="s">
        <v>295</v>
      </c>
      <c r="M30" s="41" t="str">
        <f>VLOOKUP(N30,'list rate unit'!O:P,2,FALSE)</f>
        <v>D 65 P-12</v>
      </c>
      <c r="N30" s="41" t="str">
        <f t="shared" si="18"/>
        <v>KOMATSU DOZER D65 - 13</v>
      </c>
      <c r="O30" s="15" t="s">
        <v>56</v>
      </c>
    </row>
    <row r="31" spans="2:15" x14ac:dyDescent="0.3">
      <c r="B31" s="41">
        <v>24</v>
      </c>
      <c r="C31" s="41" t="s">
        <v>221</v>
      </c>
      <c r="D31" s="42">
        <v>289</v>
      </c>
      <c r="E31" s="62">
        <f>IF(O31="K",VLOOKUP(M31,Table2[[#All],[UNIT]:[Column7]],10,FALSE),0)</f>
        <v>425000</v>
      </c>
      <c r="F31" s="43">
        <f t="shared" si="14"/>
        <v>122825000</v>
      </c>
      <c r="G31" s="42">
        <v>6362.9999999999991</v>
      </c>
      <c r="H31" s="44">
        <f t="shared" si="15"/>
        <v>73174499.999999985</v>
      </c>
      <c r="I31" s="42">
        <f t="shared" si="16"/>
        <v>22.017301038062282</v>
      </c>
      <c r="J31" s="45">
        <f t="shared" si="17"/>
        <v>195999500</v>
      </c>
      <c r="K31" s="36"/>
      <c r="L31" s="41" t="s">
        <v>295</v>
      </c>
      <c r="M31" s="41" t="str">
        <f>VLOOKUP(N31,'list rate unit'!O:P,2,FALSE)</f>
        <v>D 65 P-12</v>
      </c>
      <c r="N31" s="41" t="str">
        <f t="shared" si="18"/>
        <v>KOMATSU DOZER D65 - 15</v>
      </c>
      <c r="O31" s="15" t="s">
        <v>56</v>
      </c>
    </row>
    <row r="32" spans="2:15" x14ac:dyDescent="0.3">
      <c r="B32" s="41">
        <v>25</v>
      </c>
      <c r="C32" s="41" t="s">
        <v>222</v>
      </c>
      <c r="D32" s="42">
        <v>281</v>
      </c>
      <c r="E32" s="62">
        <f>IF(O32="K",VLOOKUP(M32,Table2[[#All],[UNIT]:[Column7]],10,FALSE),0)</f>
        <v>425000</v>
      </c>
      <c r="F32" s="43">
        <f t="shared" si="14"/>
        <v>119425000</v>
      </c>
      <c r="G32" s="42">
        <v>6926</v>
      </c>
      <c r="H32" s="44">
        <f t="shared" si="15"/>
        <v>79649000</v>
      </c>
      <c r="I32" s="42">
        <f t="shared" si="16"/>
        <v>24.647686832740213</v>
      </c>
      <c r="J32" s="45">
        <f t="shared" si="17"/>
        <v>199074000</v>
      </c>
      <c r="K32" s="36"/>
      <c r="L32" s="41" t="s">
        <v>295</v>
      </c>
      <c r="M32" s="41" t="str">
        <f>VLOOKUP(N32,'list rate unit'!O:P,2,FALSE)</f>
        <v>D 65 P-12</v>
      </c>
      <c r="N32" s="41" t="str">
        <f t="shared" si="18"/>
        <v>KOMATSU DOZER D65 - 16</v>
      </c>
      <c r="O32" s="15" t="s">
        <v>56</v>
      </c>
    </row>
    <row r="33" spans="2:15" x14ac:dyDescent="0.3">
      <c r="B33" s="41">
        <v>26</v>
      </c>
      <c r="C33" s="41" t="s">
        <v>280</v>
      </c>
      <c r="D33" s="42">
        <v>230</v>
      </c>
      <c r="E33" s="62">
        <f>IF(O33="K",VLOOKUP(M33,Table2[[#All],[UNIT]:[Column7]],10,FALSE),0)</f>
        <v>425000</v>
      </c>
      <c r="F33" s="43">
        <f t="shared" si="14"/>
        <v>97750000</v>
      </c>
      <c r="G33" s="42">
        <v>5473</v>
      </c>
      <c r="H33" s="44">
        <f t="shared" si="15"/>
        <v>62939500</v>
      </c>
      <c r="I33" s="42">
        <f t="shared" si="16"/>
        <v>23.795652173913044</v>
      </c>
      <c r="J33" s="45">
        <f t="shared" si="17"/>
        <v>160689500</v>
      </c>
      <c r="K33" s="36"/>
      <c r="L33" s="41" t="s">
        <v>295</v>
      </c>
      <c r="M33" s="41" t="str">
        <f>VLOOKUP(N33,'list rate unit'!O:P,2,FALSE)</f>
        <v>D 65 P-12</v>
      </c>
      <c r="N33" s="41" t="str">
        <f t="shared" si="18"/>
        <v>KOMATSU DOZER D65 - 18</v>
      </c>
      <c r="O33" s="15" t="s">
        <v>56</v>
      </c>
    </row>
    <row r="34" spans="2:15" x14ac:dyDescent="0.3">
      <c r="B34" s="41">
        <v>27</v>
      </c>
      <c r="C34" s="41" t="s">
        <v>223</v>
      </c>
      <c r="D34" s="42">
        <v>31</v>
      </c>
      <c r="E34" s="62">
        <f>IF(O34="K",VLOOKUP(M34,Table2[[#All],[UNIT]:[Column7]],10,FALSE),0)</f>
        <v>425000</v>
      </c>
      <c r="F34" s="43">
        <f t="shared" si="10"/>
        <v>13175000</v>
      </c>
      <c r="G34" s="42">
        <v>652.83181818181822</v>
      </c>
      <c r="H34" s="44">
        <f>G34*$C$42</f>
        <v>7507565.9090909092</v>
      </c>
      <c r="I34" s="42">
        <f t="shared" si="11"/>
        <v>21.059090909090909</v>
      </c>
      <c r="J34" s="45">
        <f t="shared" si="12"/>
        <v>20682565.90909091</v>
      </c>
      <c r="K34" s="36"/>
      <c r="L34" s="41" t="s">
        <v>295</v>
      </c>
      <c r="M34" s="41" t="str">
        <f>VLOOKUP(N34,'list rate unit'!O:P,2,FALSE)</f>
        <v>D 85 ESS-2</v>
      </c>
      <c r="N34" s="41" t="str">
        <f t="shared" si="13"/>
        <v>KOMATSU DOZER D85SS - 14</v>
      </c>
      <c r="O34" s="15" t="s">
        <v>56</v>
      </c>
    </row>
    <row r="35" spans="2:15" x14ac:dyDescent="0.3">
      <c r="B35" s="41">
        <v>28</v>
      </c>
      <c r="C35" s="41" t="s">
        <v>293</v>
      </c>
      <c r="D35" s="42">
        <v>81</v>
      </c>
      <c r="E35" s="62">
        <f>IF(O35="K",VLOOKUP(M35,Table2[[#All],[UNIT]:[Column7]],10,FALSE),0)</f>
        <v>425000</v>
      </c>
      <c r="F35" s="43">
        <f t="shared" si="10"/>
        <v>34425000</v>
      </c>
      <c r="G35" s="42">
        <v>1563.7389162561576</v>
      </c>
      <c r="H35" s="44">
        <f>G35*$C$42</f>
        <v>17982997.536945812</v>
      </c>
      <c r="I35" s="42">
        <f t="shared" si="11"/>
        <v>19.305418719211822</v>
      </c>
      <c r="J35" s="45">
        <f t="shared" si="12"/>
        <v>52407997.536945812</v>
      </c>
      <c r="K35" s="36"/>
      <c r="L35" s="41" t="s">
        <v>295</v>
      </c>
      <c r="M35" s="41" t="str">
        <f>VLOOKUP(N35,'list rate unit'!O:P,2,FALSE)</f>
        <v>D 85 ESS-2</v>
      </c>
      <c r="N35" s="41" t="str">
        <f t="shared" si="13"/>
        <v>KOMATSU DOZER D85SS - 17</v>
      </c>
      <c r="O35" s="15" t="s">
        <v>56</v>
      </c>
    </row>
    <row r="36" spans="2:15" x14ac:dyDescent="0.3">
      <c r="B36" s="41">
        <v>29</v>
      </c>
      <c r="C36" s="41" t="s">
        <v>224</v>
      </c>
      <c r="D36" s="42">
        <v>79</v>
      </c>
      <c r="E36" s="62">
        <f>IF(O36="K",VLOOKUP(M36,Table2[[#All],[UNIT]:[Column7]],10,FALSE),0)</f>
        <v>425000</v>
      </c>
      <c r="F36" s="43">
        <f t="shared" si="10"/>
        <v>33575000</v>
      </c>
      <c r="G36" s="42">
        <v>1294.8818181818181</v>
      </c>
      <c r="H36" s="44">
        <f>G36*$C$42</f>
        <v>14891140.909090908</v>
      </c>
      <c r="I36" s="42">
        <f t="shared" si="11"/>
        <v>16.390909090909091</v>
      </c>
      <c r="J36" s="45">
        <f t="shared" si="12"/>
        <v>48466140.909090906</v>
      </c>
      <c r="K36" s="36"/>
      <c r="L36" s="41" t="s">
        <v>295</v>
      </c>
      <c r="M36" s="41" t="str">
        <f>VLOOKUP(N36,'list rate unit'!O:P,2,FALSE)</f>
        <v>D 85 ESS-2</v>
      </c>
      <c r="N36" s="41" t="str">
        <f t="shared" si="13"/>
        <v>KOMATSU DOZER D85SS - 18</v>
      </c>
      <c r="O36" s="15" t="s">
        <v>56</v>
      </c>
    </row>
    <row r="37" spans="2:15" x14ac:dyDescent="0.3">
      <c r="B37" s="41">
        <v>30</v>
      </c>
      <c r="C37" s="41" t="s">
        <v>281</v>
      </c>
      <c r="D37" s="42">
        <v>36</v>
      </c>
      <c r="E37" s="62">
        <f>IF(O37="K",VLOOKUP(M37,Table2[[#All],[UNIT]:[Column7]],10,FALSE),0)</f>
        <v>425000</v>
      </c>
      <c r="F37" s="43">
        <f t="shared" si="10"/>
        <v>15300000</v>
      </c>
      <c r="G37" s="42">
        <v>676.90140845070425</v>
      </c>
      <c r="H37" s="44">
        <f>G37*$C$42</f>
        <v>7784366.1971830986</v>
      </c>
      <c r="I37" s="42">
        <f t="shared" si="11"/>
        <v>18.802816901408452</v>
      </c>
      <c r="J37" s="45">
        <f t="shared" si="12"/>
        <v>23084366.197183099</v>
      </c>
      <c r="K37" s="36"/>
      <c r="L37" s="41" t="s">
        <v>295</v>
      </c>
      <c r="M37" s="41" t="str">
        <f>VLOOKUP(N37,'list rate unit'!O:P,2,FALSE)</f>
        <v>D 85 ESS-2</v>
      </c>
      <c r="N37" s="41" t="str">
        <f t="shared" si="13"/>
        <v>KOMATSU DOZER D85SS - 20</v>
      </c>
      <c r="O37" s="15" t="s">
        <v>56</v>
      </c>
    </row>
    <row r="38" spans="2:15" x14ac:dyDescent="0.3">
      <c r="D38" s="18"/>
      <c r="F38" s="32"/>
      <c r="G38" s="18"/>
      <c r="H38" s="30"/>
      <c r="I38" s="18"/>
      <c r="J38" s="33"/>
      <c r="K38" s="18"/>
    </row>
    <row r="39" spans="2:15" s="1" customFormat="1" ht="15.75" customHeight="1" x14ac:dyDescent="0.3">
      <c r="B39" s="203" t="s">
        <v>21</v>
      </c>
      <c r="C39" s="203"/>
      <c r="D39" s="46">
        <f>SUM(D8:D38)</f>
        <v>5150</v>
      </c>
      <c r="E39" s="63">
        <f>AVERAGE(E8:E38)</f>
        <v>1036318.850060877</v>
      </c>
      <c r="F39" s="47">
        <f>SUM(F8:F38)</f>
        <v>5498446747.5331192</v>
      </c>
      <c r="G39" s="46">
        <f>SUM(G8:G38)</f>
        <v>122763.139449532</v>
      </c>
      <c r="H39" s="47">
        <f>SUM(H8:H38)</f>
        <v>1411776103.6696181</v>
      </c>
      <c r="I39" s="46">
        <f t="shared" si="1"/>
        <v>23.837502805734367</v>
      </c>
      <c r="J39" s="48">
        <f>SUM(J8:J38)</f>
        <v>6910222851.2027359</v>
      </c>
      <c r="K39" s="37"/>
    </row>
    <row r="41" spans="2:15" x14ac:dyDescent="0.3">
      <c r="B41" s="35" t="s">
        <v>34</v>
      </c>
      <c r="C41" s="29">
        <f>'SUMMARY 2'!I28</f>
        <v>14848</v>
      </c>
    </row>
    <row r="42" spans="2:15" x14ac:dyDescent="0.3">
      <c r="B42" s="35" t="s">
        <v>35</v>
      </c>
      <c r="C42" s="29">
        <f>SUMMARY!J13</f>
        <v>11500</v>
      </c>
      <c r="F42" s="30"/>
      <c r="G42" s="18"/>
    </row>
    <row r="44" spans="2:15" x14ac:dyDescent="0.3">
      <c r="F44" s="18"/>
    </row>
  </sheetData>
  <autoFilter ref="B7:O39" xr:uid="{00000000-0009-0000-0000-000003000000}"/>
  <mergeCells count="13">
    <mergeCell ref="B39:C39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1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5" sqref="H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169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412</v>
      </c>
      <c r="D8" s="42">
        <v>143</v>
      </c>
      <c r="E8" s="62">
        <f>IF(O8="K",VLOOKUP(M8,Table2[[#All],[UNIT]:[Column7]],10,FALSE),0)</f>
        <v>1000000</v>
      </c>
      <c r="F8" s="43">
        <f>D8*E8</f>
        <v>143000000</v>
      </c>
      <c r="G8" s="42">
        <v>4426.9333333333334</v>
      </c>
      <c r="H8" s="44">
        <f t="shared" ref="H8:H24" si="0">G8*$C$29</f>
        <v>50909733.333333336</v>
      </c>
      <c r="I8" s="42">
        <f t="shared" ref="I8:I24" si="1">IFERROR(G8/D8,0)</f>
        <v>30.957575757575757</v>
      </c>
      <c r="J8" s="45">
        <f>F8+H8</f>
        <v>193909733.33333334</v>
      </c>
      <c r="K8" s="36"/>
      <c r="L8" s="41" t="s">
        <v>295</v>
      </c>
      <c r="M8" s="41" t="s">
        <v>150</v>
      </c>
      <c r="N8" s="41" t="str">
        <f>C8</f>
        <v>KOMATSU PC 400 - 02</v>
      </c>
      <c r="O8" s="15" t="s">
        <v>56</v>
      </c>
    </row>
    <row r="9" spans="2:15" x14ac:dyDescent="0.3">
      <c r="B9" s="41">
        <v>2</v>
      </c>
      <c r="C9" s="41" t="s">
        <v>276</v>
      </c>
      <c r="D9" s="42">
        <v>164</v>
      </c>
      <c r="E9" s="62">
        <f>IF(O9="K",VLOOKUP(M9,Table2[[#All],[UNIT]:[Column7]],10,FALSE),0)</f>
        <v>1000000</v>
      </c>
      <c r="F9" s="43">
        <f t="shared" ref="F9:F24" si="2">D9*E9</f>
        <v>164000000</v>
      </c>
      <c r="G9" s="42">
        <v>4057.9698492462312</v>
      </c>
      <c r="H9" s="44">
        <f t="shared" si="0"/>
        <v>46666653.266331658</v>
      </c>
      <c r="I9" s="42">
        <f t="shared" si="1"/>
        <v>24.743718592964825</v>
      </c>
      <c r="J9" s="45">
        <f t="shared" ref="J9:J24" si="3">F9+H9</f>
        <v>210666653.26633167</v>
      </c>
      <c r="K9" s="36"/>
      <c r="L9" s="41" t="s">
        <v>295</v>
      </c>
      <c r="M9" s="41" t="s">
        <v>150</v>
      </c>
      <c r="N9" s="41" t="str">
        <f t="shared" ref="N9:N24" si="4">C9</f>
        <v>KOMATSU PC 400 - 04</v>
      </c>
      <c r="O9" s="15" t="s">
        <v>56</v>
      </c>
    </row>
    <row r="10" spans="2:15" x14ac:dyDescent="0.3">
      <c r="B10" s="41">
        <v>3</v>
      </c>
      <c r="C10" s="41" t="s">
        <v>189</v>
      </c>
      <c r="D10" s="42">
        <v>14</v>
      </c>
      <c r="E10" s="62">
        <f>IF(O10="K",VLOOKUP(M10,Table2[[#All],[UNIT]:[Column7]],10,FALSE),0)</f>
        <v>1000000</v>
      </c>
      <c r="F10" s="43">
        <f t="shared" ref="F10:F23" si="5">D10*E10</f>
        <v>14000000</v>
      </c>
      <c r="G10" s="42">
        <v>334</v>
      </c>
      <c r="H10" s="44">
        <f t="shared" si="0"/>
        <v>3841000</v>
      </c>
      <c r="I10" s="42">
        <f t="shared" ref="I10:I23" si="6">IFERROR(G10/D10,0)</f>
        <v>23.857142857142858</v>
      </c>
      <c r="J10" s="45">
        <f t="shared" ref="J10:J23" si="7">F10+H10</f>
        <v>17841000</v>
      </c>
      <c r="K10" s="36"/>
      <c r="L10" s="41" t="s">
        <v>295</v>
      </c>
      <c r="M10" s="41" t="s">
        <v>150</v>
      </c>
      <c r="N10" s="41" t="str">
        <f t="shared" ref="N10:N23" si="8">C10</f>
        <v>KOMATSU PC 400 - 05</v>
      </c>
      <c r="O10" s="15" t="s">
        <v>56</v>
      </c>
    </row>
    <row r="11" spans="2:15" x14ac:dyDescent="0.3">
      <c r="B11" s="41">
        <v>4</v>
      </c>
      <c r="C11" s="41" t="s">
        <v>192</v>
      </c>
      <c r="D11" s="42">
        <v>7</v>
      </c>
      <c r="E11" s="62">
        <f>IF(O11="K",VLOOKUP(M11,Table2[[#All],[UNIT]:[Column7]],10,FALSE),0)</f>
        <v>1000000</v>
      </c>
      <c r="F11" s="43">
        <f t="shared" si="5"/>
        <v>7000000</v>
      </c>
      <c r="G11" s="42">
        <v>112.86153846153846</v>
      </c>
      <c r="H11" s="44">
        <f t="shared" si="0"/>
        <v>1297907.6923076923</v>
      </c>
      <c r="I11" s="42">
        <f t="shared" si="6"/>
        <v>16.123076923076923</v>
      </c>
      <c r="J11" s="45">
        <f t="shared" si="7"/>
        <v>8297907.692307692</v>
      </c>
      <c r="K11" s="36"/>
      <c r="L11" s="41" t="s">
        <v>295</v>
      </c>
      <c r="M11" s="41" t="s">
        <v>150</v>
      </c>
      <c r="N11" s="41" t="str">
        <f t="shared" si="8"/>
        <v>KOBELCO SK 330 - 11</v>
      </c>
      <c r="O11" s="15" t="s">
        <v>56</v>
      </c>
    </row>
    <row r="12" spans="2:15" x14ac:dyDescent="0.3">
      <c r="B12" s="41">
        <v>5</v>
      </c>
      <c r="C12" s="41" t="s">
        <v>207</v>
      </c>
      <c r="D12" s="42">
        <v>45</v>
      </c>
      <c r="E12" s="62">
        <f>IF(O12="K",VLOOKUP(M12,Table2[[#All],[UNIT]:[Column7]],10,FALSE),0)</f>
        <v>1000000</v>
      </c>
      <c r="F12" s="43">
        <f t="shared" si="5"/>
        <v>45000000</v>
      </c>
      <c r="G12" s="42">
        <v>829.17613636363637</v>
      </c>
      <c r="H12" s="44">
        <f t="shared" si="0"/>
        <v>9535525.5681818184</v>
      </c>
      <c r="I12" s="42">
        <f t="shared" si="6"/>
        <v>18.426136363636363</v>
      </c>
      <c r="J12" s="45">
        <f t="shared" si="7"/>
        <v>54535525.56818182</v>
      </c>
      <c r="K12" s="36"/>
      <c r="L12" s="41" t="s">
        <v>295</v>
      </c>
      <c r="M12" s="41" t="s">
        <v>150</v>
      </c>
      <c r="N12" s="41" t="str">
        <f t="shared" si="8"/>
        <v>KOMATSU HM 400 - 11</v>
      </c>
      <c r="O12" s="15" t="s">
        <v>56</v>
      </c>
    </row>
    <row r="13" spans="2:15" x14ac:dyDescent="0.3">
      <c r="B13" s="41">
        <v>6</v>
      </c>
      <c r="C13" s="41" t="s">
        <v>208</v>
      </c>
      <c r="D13" s="42">
        <v>24</v>
      </c>
      <c r="E13" s="62">
        <f>IF(O13="K",VLOOKUP(M13,Table2[[#All],[UNIT]:[Column7]],10,FALSE),0)</f>
        <v>1000000</v>
      </c>
      <c r="F13" s="43">
        <f t="shared" si="5"/>
        <v>24000000</v>
      </c>
      <c r="G13" s="42">
        <v>543.8319327731092</v>
      </c>
      <c r="H13" s="44">
        <f t="shared" si="0"/>
        <v>6254067.2268907558</v>
      </c>
      <c r="I13" s="42">
        <f t="shared" si="6"/>
        <v>22.659663865546218</v>
      </c>
      <c r="J13" s="45">
        <f t="shared" si="7"/>
        <v>30254067.226890758</v>
      </c>
      <c r="K13" s="36"/>
      <c r="L13" s="41" t="s">
        <v>295</v>
      </c>
      <c r="M13" s="41" t="s">
        <v>150</v>
      </c>
      <c r="N13" s="41" t="str">
        <f t="shared" si="8"/>
        <v>KOMATSU HM 400 - 12</v>
      </c>
      <c r="O13" s="15" t="s">
        <v>56</v>
      </c>
    </row>
    <row r="14" spans="2:15" x14ac:dyDescent="0.3">
      <c r="B14" s="41">
        <v>7</v>
      </c>
      <c r="C14" s="41" t="s">
        <v>209</v>
      </c>
      <c r="D14" s="42">
        <v>46</v>
      </c>
      <c r="E14" s="62">
        <f>IF(O14="K",VLOOKUP(M14,Table2[[#All],[UNIT]:[Column7]],10,FALSE),0)</f>
        <v>1000000</v>
      </c>
      <c r="F14" s="43">
        <f t="shared" si="5"/>
        <v>46000000</v>
      </c>
      <c r="G14" s="42">
        <v>883.89873417721515</v>
      </c>
      <c r="H14" s="44">
        <f t="shared" si="0"/>
        <v>10164835.443037974</v>
      </c>
      <c r="I14" s="42">
        <f t="shared" si="6"/>
        <v>19.215189873417721</v>
      </c>
      <c r="J14" s="45">
        <f t="shared" si="7"/>
        <v>56164835.443037972</v>
      </c>
      <c r="K14" s="36"/>
      <c r="L14" s="41" t="s">
        <v>295</v>
      </c>
      <c r="M14" s="41" t="s">
        <v>150</v>
      </c>
      <c r="N14" s="41" t="str">
        <f t="shared" si="8"/>
        <v>KOMATSU HM 400 - 13</v>
      </c>
      <c r="O14" s="15" t="s">
        <v>56</v>
      </c>
    </row>
    <row r="15" spans="2:15" x14ac:dyDescent="0.3">
      <c r="B15" s="41">
        <v>8</v>
      </c>
      <c r="C15" s="41" t="s">
        <v>210</v>
      </c>
      <c r="D15" s="42">
        <v>33</v>
      </c>
      <c r="E15" s="62">
        <f>IF(O15="K",VLOOKUP(M15,Table2[[#All],[UNIT]:[Column7]],10,FALSE),0)</f>
        <v>1000000</v>
      </c>
      <c r="F15" s="43">
        <f t="shared" si="5"/>
        <v>33000000</v>
      </c>
      <c r="G15" s="42">
        <v>668.85714285714289</v>
      </c>
      <c r="H15" s="44">
        <f t="shared" si="0"/>
        <v>7691857.1428571437</v>
      </c>
      <c r="I15" s="42">
        <f t="shared" si="6"/>
        <v>20.268398268398268</v>
      </c>
      <c r="J15" s="45">
        <f t="shared" si="7"/>
        <v>40691857.142857142</v>
      </c>
      <c r="K15" s="36"/>
      <c r="L15" s="41" t="s">
        <v>295</v>
      </c>
      <c r="M15" s="41" t="s">
        <v>150</v>
      </c>
      <c r="N15" s="41" t="str">
        <f t="shared" si="8"/>
        <v>KOMATSU HM 400 - 14</v>
      </c>
      <c r="O15" s="15" t="s">
        <v>56</v>
      </c>
    </row>
    <row r="16" spans="2:15" x14ac:dyDescent="0.3">
      <c r="B16" s="41">
        <v>9</v>
      </c>
      <c r="C16" s="41" t="s">
        <v>211</v>
      </c>
      <c r="D16" s="42">
        <v>4</v>
      </c>
      <c r="E16" s="62">
        <f>IF(O16="K",VLOOKUP(M16,Table2[[#All],[UNIT]:[Column7]],10,FALSE),0)</f>
        <v>1000000</v>
      </c>
      <c r="F16" s="43">
        <f t="shared" si="5"/>
        <v>4000000</v>
      </c>
      <c r="G16" s="42">
        <v>84.613756613756607</v>
      </c>
      <c r="H16" s="44">
        <f t="shared" si="0"/>
        <v>973058.20105820103</v>
      </c>
      <c r="I16" s="42">
        <f t="shared" si="6"/>
        <v>21.153439153439152</v>
      </c>
      <c r="J16" s="45">
        <f t="shared" si="7"/>
        <v>4973058.2010582015</v>
      </c>
      <c r="K16" s="36"/>
      <c r="L16" s="41" t="s">
        <v>295</v>
      </c>
      <c r="M16" s="41" t="s">
        <v>150</v>
      </c>
      <c r="N16" s="41" t="str">
        <f t="shared" si="8"/>
        <v>KOMATSU HM 400 - 15</v>
      </c>
      <c r="O16" s="15" t="s">
        <v>56</v>
      </c>
    </row>
    <row r="17" spans="2:15" x14ac:dyDescent="0.3">
      <c r="B17" s="41">
        <v>10</v>
      </c>
      <c r="C17" s="41" t="s">
        <v>213</v>
      </c>
      <c r="D17" s="42">
        <v>25</v>
      </c>
      <c r="E17" s="62">
        <f>IF(O17="K",VLOOKUP(M17,Table2[[#All],[UNIT]:[Column7]],10,FALSE),0)</f>
        <v>1000000</v>
      </c>
      <c r="F17" s="43">
        <f t="shared" si="5"/>
        <v>25000000</v>
      </c>
      <c r="G17" s="42">
        <v>562.55813953488371</v>
      </c>
      <c r="H17" s="44">
        <f t="shared" si="0"/>
        <v>6469418.6046511624</v>
      </c>
      <c r="I17" s="42">
        <f t="shared" si="6"/>
        <v>22.502325581395347</v>
      </c>
      <c r="J17" s="45">
        <f t="shared" si="7"/>
        <v>31469418.604651161</v>
      </c>
      <c r="K17" s="36"/>
      <c r="L17" s="41" t="s">
        <v>295</v>
      </c>
      <c r="M17" s="41" t="s">
        <v>150</v>
      </c>
      <c r="N17" s="41" t="str">
        <f t="shared" si="8"/>
        <v>KOMATSU HM 400 - 17</v>
      </c>
      <c r="O17" s="15" t="s">
        <v>56</v>
      </c>
    </row>
    <row r="18" spans="2:15" x14ac:dyDescent="0.3">
      <c r="B18" s="41">
        <v>11</v>
      </c>
      <c r="C18" s="41" t="s">
        <v>214</v>
      </c>
      <c r="D18" s="42">
        <v>24</v>
      </c>
      <c r="E18" s="62">
        <f>IF(O18="K",VLOOKUP(M18,Table2[[#All],[UNIT]:[Column7]],10,FALSE),0)</f>
        <v>1000000</v>
      </c>
      <c r="F18" s="43">
        <f t="shared" si="5"/>
        <v>24000000</v>
      </c>
      <c r="G18" s="42">
        <v>565.08108108108115</v>
      </c>
      <c r="H18" s="44">
        <f t="shared" si="0"/>
        <v>6498432.4324324336</v>
      </c>
      <c r="I18" s="42">
        <f t="shared" si="6"/>
        <v>23.545045045045047</v>
      </c>
      <c r="J18" s="45">
        <f t="shared" si="7"/>
        <v>30498432.432432435</v>
      </c>
      <c r="K18" s="36"/>
      <c r="L18" s="41" t="s">
        <v>295</v>
      </c>
      <c r="M18" s="41" t="s">
        <v>150</v>
      </c>
      <c r="N18" s="41" t="str">
        <f t="shared" si="8"/>
        <v>KOMATSU HM 400 - 18</v>
      </c>
      <c r="O18" s="15" t="s">
        <v>56</v>
      </c>
    </row>
    <row r="19" spans="2:15" x14ac:dyDescent="0.3">
      <c r="B19" s="41">
        <v>12</v>
      </c>
      <c r="C19" s="41" t="s">
        <v>215</v>
      </c>
      <c r="D19" s="42">
        <v>29</v>
      </c>
      <c r="E19" s="62">
        <f>IF(O19="K",VLOOKUP(M19,Table2[[#All],[UNIT]:[Column7]],10,FALSE),0)</f>
        <v>1000000</v>
      </c>
      <c r="F19" s="43">
        <f t="shared" si="5"/>
        <v>29000000</v>
      </c>
      <c r="G19" s="42">
        <v>502.86</v>
      </c>
      <c r="H19" s="44">
        <f t="shared" si="0"/>
        <v>5782890</v>
      </c>
      <c r="I19" s="42">
        <f t="shared" si="6"/>
        <v>17.34</v>
      </c>
      <c r="J19" s="45">
        <f t="shared" si="7"/>
        <v>34782890</v>
      </c>
      <c r="K19" s="36"/>
      <c r="L19" s="41" t="s">
        <v>295</v>
      </c>
      <c r="M19" s="41" t="s">
        <v>150</v>
      </c>
      <c r="N19" s="41" t="str">
        <f t="shared" si="8"/>
        <v>KOMATSU HM 400 - 19</v>
      </c>
      <c r="O19" s="15" t="s">
        <v>56</v>
      </c>
    </row>
    <row r="20" spans="2:15" x14ac:dyDescent="0.3">
      <c r="B20" s="41">
        <v>13</v>
      </c>
      <c r="C20" s="41" t="s">
        <v>217</v>
      </c>
      <c r="D20" s="42">
        <v>16</v>
      </c>
      <c r="E20" s="62">
        <f>IF(O20="K",VLOOKUP(M20,Table2[[#All],[UNIT]:[Column7]],10,FALSE),0)</f>
        <v>1000000</v>
      </c>
      <c r="F20" s="43">
        <f t="shared" si="5"/>
        <v>16000000</v>
      </c>
      <c r="G20" s="42">
        <v>349.19024390243902</v>
      </c>
      <c r="H20" s="44">
        <f t="shared" si="0"/>
        <v>4015687.8048780486</v>
      </c>
      <c r="I20" s="42">
        <f t="shared" si="6"/>
        <v>21.824390243902439</v>
      </c>
      <c r="J20" s="45">
        <f t="shared" si="7"/>
        <v>20015687.804878049</v>
      </c>
      <c r="K20" s="36"/>
      <c r="L20" s="41" t="s">
        <v>295</v>
      </c>
      <c r="M20" s="41" t="s">
        <v>150</v>
      </c>
      <c r="N20" s="41" t="str">
        <f t="shared" si="8"/>
        <v>KOMATSU HM 400 - 21</v>
      </c>
      <c r="O20" s="15" t="s">
        <v>56</v>
      </c>
    </row>
    <row r="21" spans="2:15" x14ac:dyDescent="0.3">
      <c r="B21" s="41">
        <v>14</v>
      </c>
      <c r="C21" s="41" t="s">
        <v>218</v>
      </c>
      <c r="D21" s="42">
        <v>46</v>
      </c>
      <c r="E21" s="62">
        <f>IF(O21="K",VLOOKUP(M21,Table2[[#All],[UNIT]:[Column7]],10,FALSE),0)</f>
        <v>1000000</v>
      </c>
      <c r="F21" s="43">
        <f t="shared" si="5"/>
        <v>46000000</v>
      </c>
      <c r="G21" s="42">
        <v>1139.9822222222224</v>
      </c>
      <c r="H21" s="44">
        <f t="shared" si="0"/>
        <v>13109795.555555558</v>
      </c>
      <c r="I21" s="42">
        <f t="shared" si="6"/>
        <v>24.782222222222227</v>
      </c>
      <c r="J21" s="45">
        <f t="shared" si="7"/>
        <v>59109795.55555556</v>
      </c>
      <c r="K21" s="36"/>
      <c r="L21" s="41" t="s">
        <v>295</v>
      </c>
      <c r="M21" s="41" t="s">
        <v>150</v>
      </c>
      <c r="N21" s="41" t="str">
        <f t="shared" si="8"/>
        <v>KOMATSU HM 400 - 22</v>
      </c>
      <c r="O21" s="15" t="s">
        <v>56</v>
      </c>
    </row>
    <row r="22" spans="2:15" x14ac:dyDescent="0.3">
      <c r="B22" s="41">
        <v>15</v>
      </c>
      <c r="C22" s="41" t="s">
        <v>277</v>
      </c>
      <c r="D22" s="42">
        <v>29</v>
      </c>
      <c r="E22" s="62">
        <f>IF(O22="K",VLOOKUP(M22,Table2[[#All],[UNIT]:[Column7]],10,FALSE),0)</f>
        <v>1000000</v>
      </c>
      <c r="F22" s="43">
        <f t="shared" si="5"/>
        <v>29000000</v>
      </c>
      <c r="G22" s="42">
        <v>653.51162790697674</v>
      </c>
      <c r="H22" s="44">
        <f t="shared" si="0"/>
        <v>7515383.7209302327</v>
      </c>
      <c r="I22" s="42">
        <f t="shared" si="6"/>
        <v>22.534883720930232</v>
      </c>
      <c r="J22" s="45">
        <f t="shared" si="7"/>
        <v>36515383.720930234</v>
      </c>
      <c r="K22" s="36"/>
      <c r="L22" s="41" t="s">
        <v>295</v>
      </c>
      <c r="M22" s="41" t="s">
        <v>150</v>
      </c>
      <c r="N22" s="41" t="str">
        <f t="shared" si="8"/>
        <v>KOMATSU HM 400 - 23</v>
      </c>
      <c r="O22" s="15" t="s">
        <v>56</v>
      </c>
    </row>
    <row r="23" spans="2:15" x14ac:dyDescent="0.3">
      <c r="B23" s="41">
        <v>16</v>
      </c>
      <c r="C23" s="41" t="s">
        <v>278</v>
      </c>
      <c r="D23" s="42">
        <v>23</v>
      </c>
      <c r="E23" s="62">
        <f>IF(O23="K",VLOOKUP(M23,Table2[[#All],[UNIT]:[Column7]],10,FALSE),0)</f>
        <v>1000000</v>
      </c>
      <c r="F23" s="43">
        <f t="shared" si="5"/>
        <v>23000000</v>
      </c>
      <c r="G23" s="42">
        <v>466.23364485981313</v>
      </c>
      <c r="H23" s="44">
        <f t="shared" si="0"/>
        <v>5361686.9158878513</v>
      </c>
      <c r="I23" s="42">
        <f t="shared" si="6"/>
        <v>20.271028037383179</v>
      </c>
      <c r="J23" s="45">
        <f t="shared" si="7"/>
        <v>28361686.915887851</v>
      </c>
      <c r="K23" s="36"/>
      <c r="L23" s="41" t="s">
        <v>295</v>
      </c>
      <c r="M23" s="41" t="s">
        <v>150</v>
      </c>
      <c r="N23" s="41" t="str">
        <f t="shared" si="8"/>
        <v>KOMATSU HM 400 - 24</v>
      </c>
      <c r="O23" s="15" t="s">
        <v>56</v>
      </c>
    </row>
    <row r="24" spans="2:15" x14ac:dyDescent="0.3">
      <c r="B24" s="41">
        <v>17</v>
      </c>
      <c r="C24" s="41" t="s">
        <v>279</v>
      </c>
      <c r="D24" s="42">
        <v>34</v>
      </c>
      <c r="E24" s="62">
        <f>IF(O24="K",VLOOKUP(M24,Table2[[#All],[UNIT]:[Column7]],10,FALSE),0)</f>
        <v>1000000</v>
      </c>
      <c r="F24" s="43">
        <f t="shared" si="2"/>
        <v>34000000</v>
      </c>
      <c r="G24" s="42">
        <v>669.51666666666665</v>
      </c>
      <c r="H24" s="44">
        <f t="shared" si="0"/>
        <v>7699441.666666666</v>
      </c>
      <c r="I24" s="42">
        <f t="shared" si="1"/>
        <v>19.691666666666666</v>
      </c>
      <c r="J24" s="45">
        <f t="shared" si="3"/>
        <v>41699441.666666664</v>
      </c>
      <c r="K24" s="36"/>
      <c r="L24" s="41" t="s">
        <v>295</v>
      </c>
      <c r="M24" s="41" t="s">
        <v>150</v>
      </c>
      <c r="N24" s="41" t="str">
        <f t="shared" si="4"/>
        <v>KOMATSU HM 400 - 25</v>
      </c>
      <c r="O24" s="15" t="s">
        <v>56</v>
      </c>
    </row>
    <row r="25" spans="2:15" x14ac:dyDescent="0.3">
      <c r="D25" s="18"/>
      <c r="F25" s="32"/>
      <c r="G25" s="18"/>
      <c r="H25" s="30"/>
      <c r="I25" s="18"/>
      <c r="J25" s="33"/>
      <c r="K25" s="18"/>
    </row>
    <row r="26" spans="2:15" s="1" customFormat="1" ht="15.75" customHeight="1" x14ac:dyDescent="0.3">
      <c r="B26" s="203" t="s">
        <v>21</v>
      </c>
      <c r="C26" s="203"/>
      <c r="D26" s="46">
        <f>SUM(D8:D25)</f>
        <v>706</v>
      </c>
      <c r="E26" s="63">
        <f>AVERAGE(E8:E25)</f>
        <v>1000000</v>
      </c>
      <c r="F26" s="47">
        <f>SUM(F8:F25)</f>
        <v>706000000</v>
      </c>
      <c r="G26" s="46">
        <f>SUM(G8:G25)</f>
        <v>16851.076050000051</v>
      </c>
      <c r="H26" s="47">
        <f>SUM(H8:H25)</f>
        <v>193787374.57500052</v>
      </c>
      <c r="I26" s="46">
        <f t="shared" ref="I26" si="9">IFERROR(G26/D26,0)</f>
        <v>23.868379674221035</v>
      </c>
      <c r="J26" s="48">
        <f>SUM(J8:J25)</f>
        <v>899787374.57500052</v>
      </c>
      <c r="K26" s="37"/>
    </row>
    <row r="28" spans="2:15" x14ac:dyDescent="0.3">
      <c r="B28" s="35" t="s">
        <v>34</v>
      </c>
      <c r="C28" s="29">
        <f>'SUMMARY 2'!I28</f>
        <v>14848</v>
      </c>
    </row>
    <row r="29" spans="2:15" x14ac:dyDescent="0.3">
      <c r="B29" s="35" t="s">
        <v>35</v>
      </c>
      <c r="C29" s="29">
        <f>'SUMMARY 2'!I13</f>
        <v>11500</v>
      </c>
      <c r="F29" s="30"/>
      <c r="G29" s="18"/>
    </row>
    <row r="31" spans="2:15" x14ac:dyDescent="0.3">
      <c r="F31" s="18"/>
    </row>
  </sheetData>
  <autoFilter ref="B7:O24" xr:uid="{00000000-0009-0000-0000-000003000000}"/>
  <mergeCells count="13">
    <mergeCell ref="B26:C26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8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J21" sqref="J2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326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225</v>
      </c>
      <c r="D8" s="42">
        <v>164</v>
      </c>
      <c r="E8" s="62">
        <f>IF(O8="K",VLOOKUP(M8,Table2[[#All],[UNIT]:[Column7]],10,FALSE),0)</f>
        <v>350000</v>
      </c>
      <c r="F8" s="43">
        <f>D8*E8</f>
        <v>57400000</v>
      </c>
      <c r="G8" s="42">
        <v>952</v>
      </c>
      <c r="H8" s="44">
        <f>G8*$C$16</f>
        <v>10948000</v>
      </c>
      <c r="I8" s="42">
        <f t="shared" ref="I8:I11" si="0">IFERROR(G8/D8,0)</f>
        <v>5.8048780487804876</v>
      </c>
      <c r="J8" s="45">
        <f>F8+H8</f>
        <v>68348000</v>
      </c>
      <c r="K8" s="36"/>
      <c r="L8" s="41" t="s">
        <v>295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313</v>
      </c>
      <c r="D9" s="42">
        <v>127</v>
      </c>
      <c r="E9" s="62">
        <f>IF(O9="K",VLOOKUP(M9,Table2[[#All],[UNIT]:[Column7]],10,FALSE),0)</f>
        <v>220000</v>
      </c>
      <c r="F9" s="43">
        <f>D9*E9</f>
        <v>27940000</v>
      </c>
      <c r="G9" s="42">
        <v>647</v>
      </c>
      <c r="H9" s="44">
        <f>G9*$C$16</f>
        <v>7440500</v>
      </c>
      <c r="I9" s="42">
        <f t="shared" ref="I9" si="1">IFERROR(G9/D9,0)</f>
        <v>5.0944881889763778</v>
      </c>
      <c r="J9" s="45">
        <f>F9+H9</f>
        <v>35380500</v>
      </c>
      <c r="K9" s="36"/>
      <c r="L9" s="41" t="s">
        <v>295</v>
      </c>
      <c r="M9" s="41" t="str">
        <f>VLOOKUP(N9,'list rate unit'!O:P,2,FALSE)</f>
        <v>SV 525 D</v>
      </c>
      <c r="N9" s="41" t="str">
        <f>C9</f>
        <v>SAKAI - 02</v>
      </c>
      <c r="O9" s="15" t="s">
        <v>56</v>
      </c>
    </row>
    <row r="10" spans="2:15" x14ac:dyDescent="0.3">
      <c r="B10" s="41">
        <v>3</v>
      </c>
      <c r="C10" s="41" t="s">
        <v>323</v>
      </c>
      <c r="D10" s="42">
        <v>37</v>
      </c>
      <c r="E10" s="62">
        <f>IF(O10="K",VLOOKUP(M10,Table2[[#All],[UNIT]:[Column7]],10,FALSE),0)</f>
        <v>220000</v>
      </c>
      <c r="F10" s="43">
        <f>D10*E10</f>
        <v>8140000</v>
      </c>
      <c r="G10" s="42">
        <v>245.99999999999997</v>
      </c>
      <c r="H10" s="44">
        <f>G10*$C$16</f>
        <v>2828999.9999999995</v>
      </c>
      <c r="I10" s="42">
        <f t="shared" ref="I10" si="2">IFERROR(G10/D10,0)</f>
        <v>6.6486486486486482</v>
      </c>
      <c r="J10" s="45">
        <f>F10+H10</f>
        <v>10969000</v>
      </c>
      <c r="K10" s="36"/>
      <c r="L10" s="41" t="s">
        <v>295</v>
      </c>
      <c r="M10" s="41" t="str">
        <f>VLOOKUP(N10,'list rate unit'!O:P,2,FALSE)</f>
        <v>SV 525 D</v>
      </c>
      <c r="N10" s="41" t="str">
        <f>C10</f>
        <v>SAKAI - 03</v>
      </c>
      <c r="O10" s="15" t="s">
        <v>56</v>
      </c>
    </row>
    <row r="11" spans="2:15" x14ac:dyDescent="0.3">
      <c r="B11" s="41">
        <v>4</v>
      </c>
      <c r="C11" s="41" t="s">
        <v>226</v>
      </c>
      <c r="D11" s="42">
        <v>176</v>
      </c>
      <c r="E11" s="62">
        <f>IF(O11="K",VLOOKUP(M11,Table2[[#All],[UNIT]:[Column7]],10,FALSE),0)</f>
        <v>220000</v>
      </c>
      <c r="F11" s="43">
        <f t="shared" ref="F11" si="3">D11*E11</f>
        <v>38720000</v>
      </c>
      <c r="G11" s="42">
        <v>812</v>
      </c>
      <c r="H11" s="44">
        <f>G11*$C$16</f>
        <v>9338000</v>
      </c>
      <c r="I11" s="42">
        <f t="shared" si="0"/>
        <v>4.6136363636363633</v>
      </c>
      <c r="J11" s="45">
        <f t="shared" ref="J11" si="4">F11+H11</f>
        <v>48058000</v>
      </c>
      <c r="K11" s="36"/>
      <c r="L11" s="41" t="s">
        <v>295</v>
      </c>
      <c r="M11" s="41" t="str">
        <f>VLOOKUP(N11,'list rate unit'!O:P,2,FALSE)</f>
        <v>SV 525 D</v>
      </c>
      <c r="N11" s="41" t="str">
        <f t="shared" ref="N11" si="5">C11</f>
        <v>SAKAI - 07</v>
      </c>
      <c r="O11" s="15" t="s">
        <v>56</v>
      </c>
    </row>
    <row r="12" spans="2:15" x14ac:dyDescent="0.3">
      <c r="D12" s="18"/>
      <c r="F12" s="32"/>
      <c r="G12" s="18"/>
      <c r="H12" s="30"/>
      <c r="I12" s="18"/>
      <c r="J12" s="33"/>
      <c r="K12" s="18"/>
    </row>
    <row r="13" spans="2:15" s="1" customFormat="1" ht="15.75" customHeight="1" x14ac:dyDescent="0.3">
      <c r="B13" s="203" t="s">
        <v>21</v>
      </c>
      <c r="C13" s="203"/>
      <c r="D13" s="46">
        <f>SUM(D8:D11)</f>
        <v>504</v>
      </c>
      <c r="E13" s="63">
        <f>AVERAGE(E8:E11)</f>
        <v>252500</v>
      </c>
      <c r="F13" s="47">
        <f>SUM(F8:F11)</f>
        <v>132200000</v>
      </c>
      <c r="G13" s="46">
        <f>SUM(G8:G11)</f>
        <v>2657</v>
      </c>
      <c r="H13" s="47">
        <f>SUM(H8:H11)</f>
        <v>30555500</v>
      </c>
      <c r="I13" s="46">
        <f t="shared" ref="I13" si="6">IFERROR(G13/D13,0)</f>
        <v>5.2718253968253972</v>
      </c>
      <c r="J13" s="48">
        <f>SUM(J8:J11)</f>
        <v>162755500</v>
      </c>
      <c r="K13" s="37"/>
    </row>
    <row r="15" spans="2:15" x14ac:dyDescent="0.3">
      <c r="B15" s="35" t="s">
        <v>34</v>
      </c>
      <c r="C15" s="29">
        <f>'SUMMARY 2'!I28</f>
        <v>14848</v>
      </c>
    </row>
    <row r="16" spans="2:15" x14ac:dyDescent="0.3">
      <c r="B16" s="35" t="s">
        <v>35</v>
      </c>
      <c r="C16" s="29">
        <f>'SUMMARY 2'!I13</f>
        <v>11500</v>
      </c>
      <c r="F16" s="30"/>
      <c r="G16" s="18"/>
    </row>
    <row r="18" spans="6:6" x14ac:dyDescent="0.3">
      <c r="F18" s="18"/>
    </row>
  </sheetData>
  <autoFilter ref="B7:O11" xr:uid="{00000000-0009-0000-0000-000003000000}"/>
  <mergeCells count="13">
    <mergeCell ref="B13:C13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40"/>
  <sheetViews>
    <sheetView zoomScaleNormal="100" workbookViewId="0">
      <pane xSplit="3" ySplit="7" topLeftCell="D14" activePane="bottomRight" state="frozenSplit"/>
      <selection activeCell="B47" sqref="B47"/>
      <selection pane="topRight" activeCell="B47" sqref="B47"/>
      <selection pane="bottomLeft" activeCell="B47" sqref="B47"/>
      <selection pane="bottomRight" activeCell="H23" sqref="H2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170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419</v>
      </c>
      <c r="D8" s="42">
        <v>20</v>
      </c>
      <c r="E8" s="62">
        <f>IF(O8="K",VLOOKUP(M8,Table2[[#All],[UNIT]:[Column7]],10,FALSE),0)</f>
        <v>400000</v>
      </c>
      <c r="F8" s="43">
        <f>D8*E8</f>
        <v>8000000</v>
      </c>
      <c r="G8" s="42">
        <v>561</v>
      </c>
      <c r="H8" s="44">
        <f t="shared" ref="H8:H33" si="0">G8*$C$38</f>
        <v>6451500</v>
      </c>
      <c r="I8" s="42">
        <f t="shared" ref="I8:I28" si="1">IFERROR(G8/D8,0)</f>
        <v>28.05</v>
      </c>
      <c r="J8" s="45">
        <f>F8+H8</f>
        <v>14451500</v>
      </c>
      <c r="K8" s="36"/>
      <c r="L8" s="41" t="s">
        <v>295</v>
      </c>
      <c r="M8" s="41" t="str">
        <f>VLOOKUP(N8,'list rate unit'!O:P,2,FALSE)</f>
        <v>PC 300 SE-8</v>
      </c>
      <c r="N8" s="41" t="str">
        <f>C8</f>
        <v>KOMATSU PC 300 - 02</v>
      </c>
      <c r="O8" s="15" t="s">
        <v>56</v>
      </c>
    </row>
    <row r="9" spans="2:15" x14ac:dyDescent="0.3">
      <c r="B9" s="41">
        <v>2</v>
      </c>
      <c r="C9" s="41" t="s">
        <v>393</v>
      </c>
      <c r="D9" s="42">
        <v>222</v>
      </c>
      <c r="E9" s="62">
        <f>IF(O9="K",VLOOKUP(M9,Table2[[#All],[UNIT]:[Column7]],10,FALSE),0)</f>
        <v>400000</v>
      </c>
      <c r="F9" s="43">
        <f t="shared" ref="F9:F28" si="2">D9*E9</f>
        <v>88800000</v>
      </c>
      <c r="G9" s="42">
        <v>3998.9999999999995</v>
      </c>
      <c r="H9" s="44">
        <f t="shared" si="0"/>
        <v>45988499.999999993</v>
      </c>
      <c r="I9" s="42">
        <f t="shared" si="1"/>
        <v>18.013513513513512</v>
      </c>
      <c r="J9" s="45">
        <f t="shared" ref="J9:J28" si="3">F9+H9</f>
        <v>134788500</v>
      </c>
      <c r="K9" s="36"/>
      <c r="L9" s="41" t="s">
        <v>295</v>
      </c>
      <c r="M9" s="41" t="str">
        <f>VLOOKUP(N9,'list rate unit'!O:P,2,FALSE)</f>
        <v>PC 300 SE-8</v>
      </c>
      <c r="N9" s="41" t="str">
        <f t="shared" ref="N9:N28" si="4">C9</f>
        <v>KOMATSU PC 300 - 07</v>
      </c>
      <c r="O9" s="15" t="s">
        <v>56</v>
      </c>
    </row>
    <row r="10" spans="2:15" x14ac:dyDescent="0.3">
      <c r="B10" s="41">
        <v>3</v>
      </c>
      <c r="C10" s="41" t="s">
        <v>190</v>
      </c>
      <c r="D10" s="42">
        <v>237</v>
      </c>
      <c r="E10" s="62">
        <f>IF(O10="K",VLOOKUP(M10,Table2[[#All],[UNIT]:[Column7]],10,FALSE),0)</f>
        <v>400000</v>
      </c>
      <c r="F10" s="43">
        <f t="shared" si="2"/>
        <v>94800000</v>
      </c>
      <c r="G10" s="42">
        <v>4990</v>
      </c>
      <c r="H10" s="44">
        <f t="shared" si="0"/>
        <v>57385000</v>
      </c>
      <c r="I10" s="42">
        <f t="shared" si="1"/>
        <v>21.054852320675106</v>
      </c>
      <c r="J10" s="45">
        <f t="shared" si="3"/>
        <v>152185000</v>
      </c>
      <c r="K10" s="36"/>
      <c r="L10" s="41" t="s">
        <v>295</v>
      </c>
      <c r="M10" s="41" t="str">
        <f>VLOOKUP(N10,'list rate unit'!O:P,2,FALSE)</f>
        <v>PC 300 SE-8</v>
      </c>
      <c r="N10" s="41" t="str">
        <f t="shared" si="4"/>
        <v>KOMATSU PC 300 - 10</v>
      </c>
      <c r="O10" s="15" t="s">
        <v>56</v>
      </c>
    </row>
    <row r="11" spans="2:15" x14ac:dyDescent="0.3">
      <c r="B11" s="41">
        <v>4</v>
      </c>
      <c r="C11" s="41" t="s">
        <v>339</v>
      </c>
      <c r="D11" s="42">
        <v>203</v>
      </c>
      <c r="E11" s="62">
        <f>IF(O11="K",VLOOKUP(M11,Table2[[#All],[UNIT]:[Column7]],10,FALSE),0)</f>
        <v>400000</v>
      </c>
      <c r="F11" s="43">
        <f t="shared" si="2"/>
        <v>81200000</v>
      </c>
      <c r="G11" s="42">
        <v>5843</v>
      </c>
      <c r="H11" s="44">
        <f t="shared" si="0"/>
        <v>67194500</v>
      </c>
      <c r="I11" s="42">
        <f t="shared" si="1"/>
        <v>28.783251231527093</v>
      </c>
      <c r="J11" s="45">
        <f t="shared" si="3"/>
        <v>148394500</v>
      </c>
      <c r="K11" s="36"/>
      <c r="L11" s="41" t="s">
        <v>295</v>
      </c>
      <c r="M11" s="41" t="str">
        <f>VLOOKUP(N11,'list rate unit'!O:P,2,FALSE)</f>
        <v>PC 300 SE-8</v>
      </c>
      <c r="N11" s="41" t="str">
        <f t="shared" si="4"/>
        <v>KOMATSU PC 300 - 11</v>
      </c>
      <c r="O11" s="15" t="s">
        <v>56</v>
      </c>
    </row>
    <row r="12" spans="2:15" x14ac:dyDescent="0.3">
      <c r="B12" s="41">
        <v>5</v>
      </c>
      <c r="C12" s="41" t="s">
        <v>285</v>
      </c>
      <c r="D12" s="42">
        <v>250</v>
      </c>
      <c r="E12" s="62">
        <f>IF(O12="K",VLOOKUP(M12,Table2[[#All],[UNIT]:[Column7]],10,FALSE),0)</f>
        <v>400000</v>
      </c>
      <c r="F12" s="43">
        <f t="shared" si="2"/>
        <v>100000000</v>
      </c>
      <c r="G12" s="42">
        <v>7367</v>
      </c>
      <c r="H12" s="44">
        <f t="shared" si="0"/>
        <v>84720500</v>
      </c>
      <c r="I12" s="42">
        <f t="shared" si="1"/>
        <v>29.468</v>
      </c>
      <c r="J12" s="45">
        <f t="shared" si="3"/>
        <v>184720500</v>
      </c>
      <c r="K12" s="36"/>
      <c r="L12" s="41" t="s">
        <v>295</v>
      </c>
      <c r="M12" s="41" t="str">
        <f>VLOOKUP(N12,'list rate unit'!O:P,2,FALSE)</f>
        <v>PC 300 SE-8</v>
      </c>
      <c r="N12" s="41" t="str">
        <f t="shared" si="4"/>
        <v>KOMATSU PC 300 - 14</v>
      </c>
      <c r="O12" s="15" t="s">
        <v>56</v>
      </c>
    </row>
    <row r="13" spans="2:15" x14ac:dyDescent="0.3">
      <c r="B13" s="41">
        <v>6</v>
      </c>
      <c r="C13" s="41" t="s">
        <v>299</v>
      </c>
      <c r="D13" s="42">
        <v>238</v>
      </c>
      <c r="E13" s="62">
        <f>IF(O13="K",VLOOKUP(M13,Table2[[#All],[UNIT]:[Column7]],10,FALSE),0)</f>
        <v>400000</v>
      </c>
      <c r="F13" s="43">
        <f t="shared" si="2"/>
        <v>95200000</v>
      </c>
      <c r="G13" s="42">
        <v>6867</v>
      </c>
      <c r="H13" s="44">
        <f t="shared" si="0"/>
        <v>78970500</v>
      </c>
      <c r="I13" s="42">
        <f t="shared" si="1"/>
        <v>28.852941176470587</v>
      </c>
      <c r="J13" s="45">
        <f t="shared" si="3"/>
        <v>174170500</v>
      </c>
      <c r="K13" s="36"/>
      <c r="L13" s="41" t="s">
        <v>295</v>
      </c>
      <c r="M13" s="41" t="str">
        <f>VLOOKUP(N13,'list rate unit'!O:P,2,FALSE)</f>
        <v>PC 300 SE-8</v>
      </c>
      <c r="N13" s="41" t="str">
        <f t="shared" si="4"/>
        <v>KOMATSU PC 300 - 15</v>
      </c>
      <c r="O13" s="15" t="s">
        <v>56</v>
      </c>
    </row>
    <row r="14" spans="2:15" x14ac:dyDescent="0.3">
      <c r="B14" s="41">
        <v>7</v>
      </c>
      <c r="C14" s="41" t="s">
        <v>191</v>
      </c>
      <c r="D14" s="42">
        <v>234</v>
      </c>
      <c r="E14" s="62">
        <f>IF(O14="K",VLOOKUP(M14,Table2[[#All],[UNIT]:[Column7]],10,FALSE),0)</f>
        <v>400000</v>
      </c>
      <c r="F14" s="43">
        <f t="shared" si="2"/>
        <v>93600000</v>
      </c>
      <c r="G14" s="42">
        <v>4065</v>
      </c>
      <c r="H14" s="44">
        <f t="shared" si="0"/>
        <v>46747500</v>
      </c>
      <c r="I14" s="42">
        <f t="shared" si="1"/>
        <v>17.371794871794872</v>
      </c>
      <c r="J14" s="45">
        <f t="shared" si="3"/>
        <v>140347500</v>
      </c>
      <c r="K14" s="36"/>
      <c r="L14" s="41" t="s">
        <v>295</v>
      </c>
      <c r="M14" s="41" t="str">
        <f>VLOOKUP(N14,'list rate unit'!O:P,2,FALSE)</f>
        <v>SK 330-8</v>
      </c>
      <c r="N14" s="41" t="str">
        <f t="shared" si="4"/>
        <v>KOBELCO SK 330 - 10</v>
      </c>
      <c r="O14" s="15" t="s">
        <v>56</v>
      </c>
    </row>
    <row r="15" spans="2:15" x14ac:dyDescent="0.3">
      <c r="B15" s="41">
        <v>8</v>
      </c>
      <c r="C15" s="41" t="s">
        <v>192</v>
      </c>
      <c r="D15" s="42">
        <v>188</v>
      </c>
      <c r="E15" s="62">
        <f>IF(O15="K",VLOOKUP(M15,Table2[[#All],[UNIT]:[Column7]],10,FALSE),0)</f>
        <v>400000</v>
      </c>
      <c r="F15" s="43">
        <f t="shared" si="2"/>
        <v>75200000</v>
      </c>
      <c r="G15" s="42">
        <v>3031.1384615384613</v>
      </c>
      <c r="H15" s="44">
        <f t="shared" si="0"/>
        <v>34858092.307692304</v>
      </c>
      <c r="I15" s="42">
        <f t="shared" si="1"/>
        <v>16.123076923076923</v>
      </c>
      <c r="J15" s="45">
        <f t="shared" si="3"/>
        <v>110058092.3076923</v>
      </c>
      <c r="K15" s="36"/>
      <c r="L15" s="41" t="s">
        <v>295</v>
      </c>
      <c r="M15" s="41" t="str">
        <f>VLOOKUP(N15,'list rate unit'!O:P,2,FALSE)</f>
        <v>SK 330-8</v>
      </c>
      <c r="N15" s="41" t="str">
        <f t="shared" si="4"/>
        <v>KOBELCO SK 330 - 11</v>
      </c>
      <c r="O15" s="15" t="s">
        <v>56</v>
      </c>
    </row>
    <row r="16" spans="2:15" x14ac:dyDescent="0.3">
      <c r="B16" s="41">
        <v>9</v>
      </c>
      <c r="C16" s="41" t="s">
        <v>394</v>
      </c>
      <c r="D16" s="42">
        <v>257</v>
      </c>
      <c r="E16" s="62">
        <f>IF(O16="K",VLOOKUP(M16,Table2[[#All],[UNIT]:[Column7]],10,FALSE),0)</f>
        <v>400000</v>
      </c>
      <c r="F16" s="43">
        <f t="shared" si="2"/>
        <v>102800000</v>
      </c>
      <c r="G16" s="42">
        <v>5399</v>
      </c>
      <c r="H16" s="44">
        <f t="shared" si="0"/>
        <v>62088500</v>
      </c>
      <c r="I16" s="42">
        <f t="shared" si="1"/>
        <v>21.007782101167315</v>
      </c>
      <c r="J16" s="45">
        <f t="shared" si="3"/>
        <v>164888500</v>
      </c>
      <c r="K16" s="36"/>
      <c r="L16" s="41" t="s">
        <v>295</v>
      </c>
      <c r="M16" s="41" t="str">
        <f>VLOOKUP(N16,'list rate unit'!O:P,2,FALSE)</f>
        <v>SK 330-8</v>
      </c>
      <c r="N16" s="41" t="str">
        <f t="shared" si="4"/>
        <v>KOBELCO SK 330 - 12</v>
      </c>
      <c r="O16" s="15" t="s">
        <v>56</v>
      </c>
    </row>
    <row r="17" spans="2:15" x14ac:dyDescent="0.3">
      <c r="B17" s="41">
        <v>10</v>
      </c>
      <c r="C17" s="41" t="s">
        <v>302</v>
      </c>
      <c r="D17" s="42">
        <v>253</v>
      </c>
      <c r="E17" s="62">
        <f>IF(O17="K",VLOOKUP(M17,Table2[[#All],[UNIT]:[Column7]],10,FALSE),0)</f>
        <v>275000</v>
      </c>
      <c r="F17" s="43">
        <f t="shared" si="2"/>
        <v>69575000</v>
      </c>
      <c r="G17" s="42">
        <v>4408</v>
      </c>
      <c r="H17" s="44">
        <f t="shared" si="0"/>
        <v>50692000</v>
      </c>
      <c r="I17" s="42">
        <f t="shared" si="1"/>
        <v>17.42292490118577</v>
      </c>
      <c r="J17" s="45">
        <f t="shared" si="3"/>
        <v>120267000</v>
      </c>
      <c r="K17" s="36"/>
      <c r="L17" s="41" t="s">
        <v>295</v>
      </c>
      <c r="M17" s="41" t="str">
        <f>VLOOKUP(N17,'list rate unit'!O:P,2,FALSE)</f>
        <v>PC 200-8 MO</v>
      </c>
      <c r="N17" s="41" t="str">
        <f t="shared" si="4"/>
        <v>KOMATSU PC 200 - 12</v>
      </c>
      <c r="O17" s="15" t="s">
        <v>56</v>
      </c>
    </row>
    <row r="18" spans="2:15" x14ac:dyDescent="0.3">
      <c r="B18" s="41">
        <v>11</v>
      </c>
      <c r="C18" s="41" t="s">
        <v>303</v>
      </c>
      <c r="D18" s="42">
        <v>208</v>
      </c>
      <c r="E18" s="62">
        <f>IF(O18="K",VLOOKUP(M18,Table2[[#All],[UNIT]:[Column7]],10,FALSE),0)</f>
        <v>275000</v>
      </c>
      <c r="F18" s="43">
        <f t="shared" si="2"/>
        <v>57200000</v>
      </c>
      <c r="G18" s="42">
        <v>3828</v>
      </c>
      <c r="H18" s="44">
        <f t="shared" si="0"/>
        <v>44022000</v>
      </c>
      <c r="I18" s="42">
        <f t="shared" si="1"/>
        <v>18.403846153846153</v>
      </c>
      <c r="J18" s="45">
        <f t="shared" si="3"/>
        <v>101222000</v>
      </c>
      <c r="K18" s="36"/>
      <c r="L18" s="41" t="s">
        <v>295</v>
      </c>
      <c r="M18" s="41" t="str">
        <f>VLOOKUP(N18,'list rate unit'!O:P,2,FALSE)</f>
        <v>PC 200-8 MO</v>
      </c>
      <c r="N18" s="41" t="str">
        <f t="shared" si="4"/>
        <v>KOMATSU PC 200 - 14</v>
      </c>
      <c r="O18" s="15" t="s">
        <v>56</v>
      </c>
    </row>
    <row r="19" spans="2:15" x14ac:dyDescent="0.3">
      <c r="B19" s="41">
        <v>12</v>
      </c>
      <c r="C19" s="41" t="s">
        <v>305</v>
      </c>
      <c r="D19" s="42">
        <v>289</v>
      </c>
      <c r="E19" s="62">
        <f>IF(O19="K",VLOOKUP(M19,Table2[[#All],[UNIT]:[Column7]],10,FALSE),0)</f>
        <v>275000</v>
      </c>
      <c r="F19" s="43">
        <f t="shared" si="2"/>
        <v>79475000</v>
      </c>
      <c r="G19" s="42">
        <v>4675</v>
      </c>
      <c r="H19" s="44">
        <f t="shared" si="0"/>
        <v>53762500</v>
      </c>
      <c r="I19" s="42">
        <f t="shared" si="1"/>
        <v>16.176470588235293</v>
      </c>
      <c r="J19" s="45">
        <f t="shared" si="3"/>
        <v>133237500</v>
      </c>
      <c r="K19" s="36"/>
      <c r="L19" s="41" t="s">
        <v>295</v>
      </c>
      <c r="M19" s="41" t="str">
        <f>VLOOKUP(N19,'list rate unit'!O:P,2,FALSE)</f>
        <v>PC 200-8 MO</v>
      </c>
      <c r="N19" s="41" t="str">
        <f t="shared" si="4"/>
        <v>KOMATSU PC 200 - 16</v>
      </c>
      <c r="O19" s="15" t="s">
        <v>56</v>
      </c>
    </row>
    <row r="20" spans="2:15" x14ac:dyDescent="0.3">
      <c r="B20" s="41">
        <v>13</v>
      </c>
      <c r="C20" s="41" t="s">
        <v>398</v>
      </c>
      <c r="D20" s="42">
        <v>271</v>
      </c>
      <c r="E20" s="62">
        <f>IF(O20="K",VLOOKUP(M20,Table2[[#All],[UNIT]:[Column7]],10,FALSE),0)</f>
        <v>275000</v>
      </c>
      <c r="F20" s="43">
        <f t="shared" si="2"/>
        <v>74525000</v>
      </c>
      <c r="G20" s="42">
        <v>3322</v>
      </c>
      <c r="H20" s="44">
        <f t="shared" si="0"/>
        <v>38203000</v>
      </c>
      <c r="I20" s="42">
        <f t="shared" si="1"/>
        <v>12.258302583025831</v>
      </c>
      <c r="J20" s="45">
        <f t="shared" si="3"/>
        <v>112728000</v>
      </c>
      <c r="K20" s="36"/>
      <c r="L20" s="41" t="s">
        <v>295</v>
      </c>
      <c r="M20" s="41" t="str">
        <f>VLOOKUP(N20,'list rate unit'!O:P,2,FALSE)</f>
        <v>PC 200-8 MO</v>
      </c>
      <c r="N20" s="41" t="str">
        <f t="shared" si="4"/>
        <v>KOMATSU PC 200 - 21</v>
      </c>
      <c r="O20" s="15" t="s">
        <v>56</v>
      </c>
    </row>
    <row r="21" spans="2:15" x14ac:dyDescent="0.3">
      <c r="B21" s="41">
        <v>14</v>
      </c>
      <c r="C21" s="41" t="s">
        <v>193</v>
      </c>
      <c r="D21" s="42">
        <v>271</v>
      </c>
      <c r="E21" s="62">
        <f>IF(O21="K",VLOOKUP(M21,Table2[[#All],[UNIT]:[Column7]],10,FALSE),0)</f>
        <v>275000</v>
      </c>
      <c r="F21" s="43">
        <f t="shared" ref="F21:F25" si="5">D21*E21</f>
        <v>74525000</v>
      </c>
      <c r="G21" s="42">
        <v>4525</v>
      </c>
      <c r="H21" s="44">
        <f t="shared" si="0"/>
        <v>52037500</v>
      </c>
      <c r="I21" s="42">
        <f t="shared" ref="I21:I25" si="6">IFERROR(G21/D21,0)</f>
        <v>16.697416974169741</v>
      </c>
      <c r="J21" s="45">
        <f t="shared" ref="J21:J25" si="7">F21+H21</f>
        <v>126562500</v>
      </c>
      <c r="K21" s="36"/>
      <c r="L21" s="41" t="s">
        <v>295</v>
      </c>
      <c r="M21" s="41" t="str">
        <f>VLOOKUP(N21,'list rate unit'!O:P,2,FALSE)</f>
        <v>PC 200-8 MO</v>
      </c>
      <c r="N21" s="41" t="str">
        <f t="shared" ref="N21:N25" si="8">C21</f>
        <v>KOMATSU PC 200 - 22</v>
      </c>
      <c r="O21" s="15" t="s">
        <v>56</v>
      </c>
    </row>
    <row r="22" spans="2:15" x14ac:dyDescent="0.3">
      <c r="B22" s="41">
        <v>15</v>
      </c>
      <c r="C22" s="41" t="s">
        <v>197</v>
      </c>
      <c r="D22" s="42">
        <v>83</v>
      </c>
      <c r="E22" s="62">
        <f>IF(O22="K",VLOOKUP(M22,Table2[[#All],[UNIT]:[Column7]],10,FALSE),0)</f>
        <v>275000</v>
      </c>
      <c r="F22" s="43">
        <f t="shared" si="5"/>
        <v>22825000</v>
      </c>
      <c r="G22" s="42">
        <v>956</v>
      </c>
      <c r="H22" s="44">
        <f t="shared" si="0"/>
        <v>10994000</v>
      </c>
      <c r="I22" s="42">
        <f t="shared" si="6"/>
        <v>11.518072289156626</v>
      </c>
      <c r="J22" s="45">
        <f t="shared" si="7"/>
        <v>33819000</v>
      </c>
      <c r="K22" s="36"/>
      <c r="L22" s="41" t="s">
        <v>295</v>
      </c>
      <c r="M22" s="41" t="str">
        <f>VLOOKUP(N22,'list rate unit'!O:P,2,FALSE)</f>
        <v>SK 200-8 SX</v>
      </c>
      <c r="N22" s="41" t="str">
        <f t="shared" si="8"/>
        <v>KOBELCO SK 200 - 10</v>
      </c>
      <c r="O22" s="15" t="s">
        <v>56</v>
      </c>
    </row>
    <row r="23" spans="2:15" x14ac:dyDescent="0.3">
      <c r="B23" s="41">
        <v>16</v>
      </c>
      <c r="C23" s="41" t="s">
        <v>198</v>
      </c>
      <c r="D23" s="42">
        <v>237</v>
      </c>
      <c r="E23" s="62">
        <f>IF(O23="K",VLOOKUP(M23,Table2[[#All],[UNIT]:[Column7]],10,FALSE),0)</f>
        <v>275000</v>
      </c>
      <c r="F23" s="43">
        <f t="shared" si="5"/>
        <v>65175000</v>
      </c>
      <c r="G23" s="42">
        <v>3745</v>
      </c>
      <c r="H23" s="44">
        <f t="shared" si="0"/>
        <v>43067500</v>
      </c>
      <c r="I23" s="42">
        <f t="shared" si="6"/>
        <v>15.80168776371308</v>
      </c>
      <c r="J23" s="45">
        <f t="shared" si="7"/>
        <v>108242500</v>
      </c>
      <c r="K23" s="36"/>
      <c r="L23" s="41" t="s">
        <v>295</v>
      </c>
      <c r="M23" s="41" t="str">
        <f>VLOOKUP(N23,'list rate unit'!O:P,2,FALSE)</f>
        <v>SK 200-8 SX</v>
      </c>
      <c r="N23" s="41" t="str">
        <f t="shared" si="8"/>
        <v>KOBELCO SK 200 - 11</v>
      </c>
      <c r="O23" s="15" t="s">
        <v>56</v>
      </c>
    </row>
    <row r="24" spans="2:15" x14ac:dyDescent="0.3">
      <c r="B24" s="41">
        <v>17</v>
      </c>
      <c r="C24" s="41" t="s">
        <v>199</v>
      </c>
      <c r="D24" s="42">
        <v>251</v>
      </c>
      <c r="E24" s="62">
        <f>IF(O24="K",VLOOKUP(M24,Table2[[#All],[UNIT]:[Column7]],10,FALSE),0)</f>
        <v>275000</v>
      </c>
      <c r="F24" s="43">
        <f t="shared" si="5"/>
        <v>69025000</v>
      </c>
      <c r="G24" s="42">
        <v>2987</v>
      </c>
      <c r="H24" s="44">
        <f t="shared" si="0"/>
        <v>34350500</v>
      </c>
      <c r="I24" s="42">
        <f t="shared" si="6"/>
        <v>11.900398406374501</v>
      </c>
      <c r="J24" s="45">
        <f t="shared" si="7"/>
        <v>103375500</v>
      </c>
      <c r="K24" s="36"/>
      <c r="L24" s="41" t="s">
        <v>295</v>
      </c>
      <c r="M24" s="41" t="str">
        <f>VLOOKUP(N24,'list rate unit'!O:P,2,FALSE)</f>
        <v>SK 200-8 SX</v>
      </c>
      <c r="N24" s="41" t="str">
        <f t="shared" si="8"/>
        <v>KOBELCO SK 200 - 13</v>
      </c>
      <c r="O24" s="15" t="s">
        <v>56</v>
      </c>
    </row>
    <row r="25" spans="2:15" x14ac:dyDescent="0.3">
      <c r="B25" s="41">
        <v>18</v>
      </c>
      <c r="C25" s="41" t="s">
        <v>200</v>
      </c>
      <c r="D25" s="42">
        <v>92</v>
      </c>
      <c r="E25" s="62">
        <f>IF(O25="K",VLOOKUP(M25,Table2[[#All],[UNIT]:[Column7]],10,FALSE),0)</f>
        <v>275000</v>
      </c>
      <c r="F25" s="43">
        <f t="shared" si="5"/>
        <v>25300000</v>
      </c>
      <c r="G25" s="42">
        <v>814</v>
      </c>
      <c r="H25" s="44">
        <f t="shared" si="0"/>
        <v>9361000</v>
      </c>
      <c r="I25" s="42">
        <f t="shared" si="6"/>
        <v>8.8478260869565215</v>
      </c>
      <c r="J25" s="45">
        <f t="shared" si="7"/>
        <v>34661000</v>
      </c>
      <c r="K25" s="36"/>
      <c r="L25" s="41" t="s">
        <v>295</v>
      </c>
      <c r="M25" s="41" t="str">
        <f>VLOOKUP(N25,'list rate unit'!O:P,2,FALSE)</f>
        <v>SK 200-8 SX</v>
      </c>
      <c r="N25" s="41" t="str">
        <f t="shared" si="8"/>
        <v>KOBELCO SK 200 - 15</v>
      </c>
      <c r="O25" s="15" t="s">
        <v>56</v>
      </c>
    </row>
    <row r="26" spans="2:15" x14ac:dyDescent="0.3">
      <c r="B26" s="41">
        <v>19</v>
      </c>
      <c r="C26" s="41" t="s">
        <v>201</v>
      </c>
      <c r="D26" s="42">
        <v>10</v>
      </c>
      <c r="E26" s="62">
        <f>IF(O26="K",VLOOKUP(M26,Table2[[#All],[UNIT]:[Column7]],10,FALSE),0)</f>
        <v>275000</v>
      </c>
      <c r="F26" s="43">
        <f t="shared" si="2"/>
        <v>2750000</v>
      </c>
      <c r="G26" s="42">
        <v>106</v>
      </c>
      <c r="H26" s="44">
        <f t="shared" si="0"/>
        <v>1219000</v>
      </c>
      <c r="I26" s="42">
        <f t="shared" si="1"/>
        <v>10.6</v>
      </c>
      <c r="J26" s="45">
        <f t="shared" si="3"/>
        <v>3969000</v>
      </c>
      <c r="K26" s="36"/>
      <c r="L26" s="41" t="s">
        <v>295</v>
      </c>
      <c r="M26" s="41" t="str">
        <f>VLOOKUP(N26,'list rate unit'!O:P,2,FALSE)</f>
        <v>SK 200-8 SX</v>
      </c>
      <c r="N26" s="41" t="str">
        <f t="shared" si="4"/>
        <v>KOBELCO SK 200 - 16</v>
      </c>
      <c r="O26" s="15" t="s">
        <v>56</v>
      </c>
    </row>
    <row r="27" spans="2:15" x14ac:dyDescent="0.3">
      <c r="B27" s="41">
        <v>20</v>
      </c>
      <c r="C27" s="41" t="s">
        <v>202</v>
      </c>
      <c r="D27" s="42">
        <v>212</v>
      </c>
      <c r="E27" s="62">
        <f>IF(O27="K",VLOOKUP(M27,Table2[[#All],[UNIT]:[Column7]],10,FALSE),0)</f>
        <v>275000</v>
      </c>
      <c r="F27" s="43">
        <f t="shared" si="2"/>
        <v>58300000</v>
      </c>
      <c r="G27" s="42">
        <v>2848</v>
      </c>
      <c r="H27" s="44">
        <f t="shared" si="0"/>
        <v>32752000</v>
      </c>
      <c r="I27" s="42">
        <f t="shared" si="1"/>
        <v>13.433962264150944</v>
      </c>
      <c r="J27" s="45">
        <f t="shared" si="3"/>
        <v>91052000</v>
      </c>
      <c r="K27" s="36"/>
      <c r="L27" s="41" t="s">
        <v>295</v>
      </c>
      <c r="M27" s="41" t="str">
        <f>VLOOKUP(N27,'list rate unit'!O:P,2,FALSE)</f>
        <v>SK 200-8 SX</v>
      </c>
      <c r="N27" s="41" t="str">
        <f t="shared" si="4"/>
        <v>KOBELCO SK 200 - 18</v>
      </c>
      <c r="O27" s="15" t="s">
        <v>56</v>
      </c>
    </row>
    <row r="28" spans="2:15" x14ac:dyDescent="0.3">
      <c r="B28" s="41">
        <v>21</v>
      </c>
      <c r="C28" s="41" t="s">
        <v>204</v>
      </c>
      <c r="D28" s="42">
        <v>85</v>
      </c>
      <c r="E28" s="62">
        <f>IF(O28="K",VLOOKUP(M28,Table2[[#All],[UNIT]:[Column7]],10,FALSE),0)</f>
        <v>275000</v>
      </c>
      <c r="F28" s="43">
        <f t="shared" si="2"/>
        <v>23375000</v>
      </c>
      <c r="G28" s="42">
        <v>907</v>
      </c>
      <c r="H28" s="44">
        <f t="shared" si="0"/>
        <v>10430500</v>
      </c>
      <c r="I28" s="42">
        <f t="shared" si="1"/>
        <v>10.670588235294117</v>
      </c>
      <c r="J28" s="45">
        <f t="shared" si="3"/>
        <v>33805500</v>
      </c>
      <c r="K28" s="36"/>
      <c r="L28" s="41" t="s">
        <v>295</v>
      </c>
      <c r="M28" s="41" t="str">
        <f>VLOOKUP(N28,'list rate unit'!O:P,2,FALSE)</f>
        <v>SK 200-8 SX</v>
      </c>
      <c r="N28" s="41" t="str">
        <f t="shared" si="4"/>
        <v>KOBELCO SK 200 - 20</v>
      </c>
      <c r="O28" s="15" t="s">
        <v>56</v>
      </c>
    </row>
    <row r="29" spans="2:15" x14ac:dyDescent="0.3">
      <c r="B29" s="41">
        <v>22</v>
      </c>
      <c r="C29" s="41" t="s">
        <v>223</v>
      </c>
      <c r="D29" s="42">
        <v>189</v>
      </c>
      <c r="E29" s="62">
        <f>IF(O29="K",VLOOKUP(M29,Table2[[#All],[UNIT]:[Column7]],10,FALSE),0)</f>
        <v>425000</v>
      </c>
      <c r="F29" s="43">
        <f t="shared" ref="F29:F33" si="9">D29*E29</f>
        <v>80325000</v>
      </c>
      <c r="G29" s="42">
        <v>3980.1681818181819</v>
      </c>
      <c r="H29" s="44">
        <f t="shared" si="0"/>
        <v>45771934.090909094</v>
      </c>
      <c r="I29" s="42">
        <f t="shared" ref="I29:I33" si="10">IFERROR(G29/D29,0)</f>
        <v>21.059090909090909</v>
      </c>
      <c r="J29" s="45">
        <f t="shared" ref="J29:J33" si="11">F29+H29</f>
        <v>126096934.09090909</v>
      </c>
      <c r="K29" s="36"/>
      <c r="L29" s="41" t="s">
        <v>295</v>
      </c>
      <c r="M29" s="41" t="str">
        <f>VLOOKUP(N29,'list rate unit'!O:P,2,FALSE)</f>
        <v>D 85 ESS-2</v>
      </c>
      <c r="N29" s="41" t="str">
        <f t="shared" ref="N29:N33" si="12">C29</f>
        <v>KOMATSU DOZER D85SS - 14</v>
      </c>
      <c r="O29" s="15" t="s">
        <v>56</v>
      </c>
    </row>
    <row r="30" spans="2:15" x14ac:dyDescent="0.3">
      <c r="B30" s="41">
        <v>23</v>
      </c>
      <c r="C30" s="41" t="s">
        <v>293</v>
      </c>
      <c r="D30" s="42">
        <v>122</v>
      </c>
      <c r="E30" s="62">
        <f>IF(O30="K",VLOOKUP(M30,Table2[[#All],[UNIT]:[Column7]],10,FALSE),0)</f>
        <v>425000</v>
      </c>
      <c r="F30" s="43">
        <f t="shared" si="9"/>
        <v>51850000</v>
      </c>
      <c r="G30" s="42">
        <v>2355.2610837438424</v>
      </c>
      <c r="H30" s="44">
        <f t="shared" si="0"/>
        <v>27085502.463054188</v>
      </c>
      <c r="I30" s="42">
        <f t="shared" si="10"/>
        <v>19.305418719211822</v>
      </c>
      <c r="J30" s="45">
        <f t="shared" si="11"/>
        <v>78935502.46305418</v>
      </c>
      <c r="K30" s="36"/>
      <c r="L30" s="41" t="s">
        <v>295</v>
      </c>
      <c r="M30" s="41" t="str">
        <f>VLOOKUP(N30,'list rate unit'!O:P,2,FALSE)</f>
        <v>D 85 ESS-2</v>
      </c>
      <c r="N30" s="41" t="str">
        <f t="shared" si="12"/>
        <v>KOMATSU DOZER D85SS - 17</v>
      </c>
      <c r="O30" s="15" t="s">
        <v>56</v>
      </c>
    </row>
    <row r="31" spans="2:15" x14ac:dyDescent="0.3">
      <c r="B31" s="41">
        <v>24</v>
      </c>
      <c r="C31" s="41" t="s">
        <v>224</v>
      </c>
      <c r="D31" s="42">
        <v>141</v>
      </c>
      <c r="E31" s="62">
        <f>IF(O31="K",VLOOKUP(M31,Table2[[#All],[UNIT]:[Column7]],10,FALSE),0)</f>
        <v>425000</v>
      </c>
      <c r="F31" s="43">
        <f t="shared" si="9"/>
        <v>59925000</v>
      </c>
      <c r="G31" s="42">
        <v>2311.1181818181817</v>
      </c>
      <c r="H31" s="44">
        <f t="shared" si="0"/>
        <v>26577859.09090909</v>
      </c>
      <c r="I31" s="42">
        <f t="shared" si="10"/>
        <v>16.390909090909091</v>
      </c>
      <c r="J31" s="45">
        <f t="shared" si="11"/>
        <v>86502859.090909094</v>
      </c>
      <c r="K31" s="36"/>
      <c r="L31" s="41" t="s">
        <v>295</v>
      </c>
      <c r="M31" s="41" t="str">
        <f>VLOOKUP(N31,'list rate unit'!O:P,2,FALSE)</f>
        <v>D 85 ESS-2</v>
      </c>
      <c r="N31" s="41" t="str">
        <f t="shared" si="12"/>
        <v>KOMATSU DOZER D85SS - 18</v>
      </c>
      <c r="O31" s="15" t="s">
        <v>56</v>
      </c>
    </row>
    <row r="32" spans="2:15" x14ac:dyDescent="0.3">
      <c r="B32" s="41">
        <v>25</v>
      </c>
      <c r="C32" s="41" t="s">
        <v>281</v>
      </c>
      <c r="D32" s="42">
        <v>177</v>
      </c>
      <c r="E32" s="62">
        <f>IF(O32="K",VLOOKUP(M32,Table2[[#All],[UNIT]:[Column7]],10,FALSE),0)</f>
        <v>425000</v>
      </c>
      <c r="F32" s="43">
        <f t="shared" si="9"/>
        <v>75225000</v>
      </c>
      <c r="G32" s="42">
        <v>3328.0985915492961</v>
      </c>
      <c r="H32" s="44">
        <f t="shared" si="0"/>
        <v>38273133.802816905</v>
      </c>
      <c r="I32" s="42">
        <f t="shared" si="10"/>
        <v>18.802816901408452</v>
      </c>
      <c r="J32" s="45">
        <f t="shared" si="11"/>
        <v>113498133.8028169</v>
      </c>
      <c r="K32" s="36"/>
      <c r="L32" s="41" t="s">
        <v>295</v>
      </c>
      <c r="M32" s="41" t="str">
        <f>VLOOKUP(N32,'list rate unit'!O:P,2,FALSE)</f>
        <v>D 85 ESS-2</v>
      </c>
      <c r="N32" s="41" t="str">
        <f t="shared" si="12"/>
        <v>KOMATSU DOZER D85SS - 20</v>
      </c>
      <c r="O32" s="15" t="s">
        <v>56</v>
      </c>
    </row>
    <row r="33" spans="2:15" x14ac:dyDescent="0.3">
      <c r="B33" s="41">
        <v>26</v>
      </c>
      <c r="C33" s="41" t="s">
        <v>312</v>
      </c>
      <c r="D33" s="42">
        <v>196</v>
      </c>
      <c r="E33" s="62">
        <f>IF(O33="K",VLOOKUP(M33,Table2[[#All],[UNIT]:[Column7]],10,FALSE),0)</f>
        <v>0</v>
      </c>
      <c r="F33" s="43">
        <f t="shared" si="9"/>
        <v>0</v>
      </c>
      <c r="G33" s="42">
        <v>1857.9999999999998</v>
      </c>
      <c r="H33" s="44">
        <f t="shared" si="0"/>
        <v>21366999.999999996</v>
      </c>
      <c r="I33" s="42">
        <f t="shared" si="10"/>
        <v>9.4795918367346932</v>
      </c>
      <c r="J33" s="45">
        <f t="shared" si="11"/>
        <v>21366999.999999996</v>
      </c>
      <c r="K33" s="36"/>
      <c r="L33" s="41" t="s">
        <v>295</v>
      </c>
      <c r="M33" s="41" t="str">
        <f>VLOOKUP(N33,'list rate unit'!O:P,2,FALSE)</f>
        <v>WA 380-3</v>
      </c>
      <c r="N33" s="41" t="str">
        <f t="shared" si="12"/>
        <v>LOADER WA380 - 02</v>
      </c>
      <c r="O33" s="15" t="s">
        <v>56</v>
      </c>
    </row>
    <row r="34" spans="2:15" x14ac:dyDescent="0.3">
      <c r="D34" s="18"/>
      <c r="F34" s="32"/>
      <c r="G34" s="18"/>
      <c r="H34" s="30"/>
      <c r="I34" s="18"/>
      <c r="J34" s="33"/>
      <c r="K34" s="18"/>
    </row>
    <row r="35" spans="2:15" s="1" customFormat="1" ht="15.75" customHeight="1" x14ac:dyDescent="0.3">
      <c r="B35" s="203" t="s">
        <v>21</v>
      </c>
      <c r="C35" s="203"/>
      <c r="D35" s="46">
        <f>SUM(D8:D34)</f>
        <v>4936</v>
      </c>
      <c r="E35" s="63">
        <f>AVERAGE(E8:E34)</f>
        <v>330769.23076923075</v>
      </c>
      <c r="F35" s="47">
        <f>SUM(F8:F34)</f>
        <v>1628975000</v>
      </c>
      <c r="G35" s="46">
        <f>SUM(G8:G34)</f>
        <v>89075.784500467955</v>
      </c>
      <c r="H35" s="47">
        <f>SUM(H8:H34)</f>
        <v>1024371521.7553816</v>
      </c>
      <c r="I35" s="46">
        <f t="shared" ref="I35" si="13">IFERROR(G35/D35,0)</f>
        <v>18.046147589235808</v>
      </c>
      <c r="J35" s="48">
        <f>SUM(J8:J34)</f>
        <v>2653346521.7553816</v>
      </c>
      <c r="K35" s="37"/>
    </row>
    <row r="37" spans="2:15" x14ac:dyDescent="0.3">
      <c r="B37" s="35" t="s">
        <v>34</v>
      </c>
      <c r="C37" s="29">
        <f>'SUMMARY 2'!I28</f>
        <v>14848</v>
      </c>
      <c r="G37" s="18"/>
    </row>
    <row r="38" spans="2:15" x14ac:dyDescent="0.3">
      <c r="B38" s="35" t="s">
        <v>35</v>
      </c>
      <c r="C38" s="29">
        <f>'SUMMARY 2'!I13</f>
        <v>11500</v>
      </c>
      <c r="F38" s="30"/>
      <c r="G38" s="18"/>
    </row>
    <row r="40" spans="2:15" x14ac:dyDescent="0.3">
      <c r="F40" s="18"/>
    </row>
  </sheetData>
  <autoFilter ref="B7:O28" xr:uid="{00000000-0009-0000-0000-000003000000}"/>
  <mergeCells count="13">
    <mergeCell ref="B35:C35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75"/>
  <sheetViews>
    <sheetView workbookViewId="0">
      <pane xSplit="3" ySplit="7" topLeftCell="D68" activePane="bottomRight" state="frozenSplit"/>
      <selection pane="topRight" activeCell="C1" sqref="C1"/>
      <selection pane="bottomLeft" activeCell="A8" sqref="A8"/>
      <selection pane="bottomRight" activeCell="L59" sqref="L5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200" t="s">
        <v>84</v>
      </c>
      <c r="C2" s="200"/>
    </row>
    <row r="3" spans="2:17" x14ac:dyDescent="0.3">
      <c r="B3" s="200"/>
      <c r="C3" s="200"/>
    </row>
    <row r="4" spans="2:17" x14ac:dyDescent="0.3">
      <c r="D4" s="30"/>
      <c r="E4" s="30"/>
    </row>
    <row r="5" spans="2:17" ht="15" customHeight="1" x14ac:dyDescent="0.3">
      <c r="B5" s="201" t="s">
        <v>1</v>
      </c>
      <c r="C5" s="201" t="s">
        <v>88</v>
      </c>
      <c r="D5" s="204" t="s">
        <v>39</v>
      </c>
      <c r="E5" s="204"/>
      <c r="F5" s="205" t="s">
        <v>52</v>
      </c>
      <c r="G5" s="205"/>
      <c r="H5" s="205" t="s">
        <v>37</v>
      </c>
      <c r="I5" s="205"/>
      <c r="J5" s="201" t="s">
        <v>90</v>
      </c>
      <c r="K5" s="201"/>
      <c r="L5" s="201"/>
      <c r="M5" s="202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3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2"/>
      <c r="N6" s="31"/>
      <c r="O6" s="201"/>
      <c r="P6" s="201"/>
      <c r="Q6" s="201"/>
    </row>
    <row r="7" spans="2:17" ht="15" customHeight="1" x14ac:dyDescent="0.3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2"/>
      <c r="N7" s="31"/>
      <c r="O7" s="201"/>
      <c r="P7" s="201"/>
      <c r="Q7" s="201"/>
    </row>
    <row r="8" spans="2:17" x14ac:dyDescent="0.3">
      <c r="B8" s="41">
        <v>1</v>
      </c>
      <c r="C8" s="41" t="s">
        <v>227</v>
      </c>
      <c r="D8" s="42">
        <v>515.54999999999995</v>
      </c>
      <c r="E8" s="42">
        <v>11</v>
      </c>
      <c r="F8" s="49">
        <f>VLOOKUP(P8,'list rate unit'!$B$3:$K$40,10,FALSE)</f>
        <v>500000</v>
      </c>
      <c r="G8" s="44">
        <f t="shared" ref="G8:G55" si="0">IF(D8=0,0,F8*$C$88)</f>
        <v>105000000</v>
      </c>
      <c r="H8" s="42">
        <v>263</v>
      </c>
      <c r="I8" s="44">
        <f t="shared" ref="I8:I55" si="1">H8*$C$87</f>
        <v>3024500</v>
      </c>
      <c r="J8" s="42">
        <f>IFERROR(H8/D8,0)</f>
        <v>0.51013480748714968</v>
      </c>
      <c r="K8" s="42">
        <f t="shared" ref="K8:K12" si="2">IFERROR(D8/E8,0)</f>
        <v>46.868181818181817</v>
      </c>
      <c r="L8" s="42">
        <f>H8/E8</f>
        <v>23.90909090909091</v>
      </c>
      <c r="M8" s="45">
        <f>G8+I8</f>
        <v>108024500</v>
      </c>
      <c r="N8" s="18">
        <f>D8*'SUMMARY 2'!$I$29*'SUMMARY 2'!$I$28</f>
        <v>80376307.199999988</v>
      </c>
      <c r="O8" s="41" t="s">
        <v>307</v>
      </c>
      <c r="P8" s="41" t="s">
        <v>151</v>
      </c>
      <c r="Q8" s="41" t="str">
        <f t="shared" ref="Q8:Q22" si="3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6934.8099999999995</v>
      </c>
      <c r="E9" s="42">
        <v>152</v>
      </c>
      <c r="F9" s="49">
        <f>VLOOKUP(P9,'list rate unit'!$B$3:$K$40,10,FALSE)</f>
        <v>500000</v>
      </c>
      <c r="G9" s="44">
        <f t="shared" si="0"/>
        <v>105000000</v>
      </c>
      <c r="H9" s="42">
        <v>3691</v>
      </c>
      <c r="I9" s="44">
        <f t="shared" si="1"/>
        <v>42446500</v>
      </c>
      <c r="J9" s="42">
        <f t="shared" ref="J9:J12" si="4">IFERROR(H9/D9,0)</f>
        <v>0.53224241183248</v>
      </c>
      <c r="K9" s="42">
        <f t="shared" si="2"/>
        <v>45.623749999999994</v>
      </c>
      <c r="L9" s="42">
        <f t="shared" ref="L9:L12" si="5">H9/E9</f>
        <v>24.282894736842106</v>
      </c>
      <c r="M9" s="45">
        <f t="shared" ref="M9:M12" si="6">G9+I9</f>
        <v>147446500</v>
      </c>
      <c r="N9" s="18">
        <f>D9*'SUMMARY 2'!$I$29*'SUMMARY 2'!$I$28</f>
        <v>1081164618.2399998</v>
      </c>
      <c r="O9" s="41" t="s">
        <v>307</v>
      </c>
      <c r="P9" s="41" t="s">
        <v>151</v>
      </c>
      <c r="Q9" s="41" t="str">
        <f t="shared" si="3"/>
        <v xml:space="preserve"> DT HINO G 311</v>
      </c>
    </row>
    <row r="10" spans="2:17" x14ac:dyDescent="0.3">
      <c r="B10" s="41">
        <v>3</v>
      </c>
      <c r="C10" s="41" t="s">
        <v>406</v>
      </c>
      <c r="D10" s="42">
        <v>6229.8899999999994</v>
      </c>
      <c r="E10" s="42">
        <v>136</v>
      </c>
      <c r="F10" s="49">
        <f>VLOOKUP(P10,'list rate unit'!$B$3:$K$40,10,FALSE)</f>
        <v>500000</v>
      </c>
      <c r="G10" s="44">
        <f t="shared" si="0"/>
        <v>105000000</v>
      </c>
      <c r="H10" s="42">
        <v>3342</v>
      </c>
      <c r="I10" s="44">
        <f t="shared" si="1"/>
        <v>38433000</v>
      </c>
      <c r="J10" s="42">
        <f t="shared" si="4"/>
        <v>0.53644606887120005</v>
      </c>
      <c r="K10" s="42">
        <f t="shared" si="2"/>
        <v>45.80801470588235</v>
      </c>
      <c r="L10" s="42">
        <f t="shared" si="5"/>
        <v>24.573529411764707</v>
      </c>
      <c r="M10" s="45">
        <f t="shared" si="6"/>
        <v>143433000</v>
      </c>
      <c r="N10" s="18">
        <f>D10*'SUMMARY 2'!$I$29*'SUMMARY 2'!$I$28</f>
        <v>971264770.55999994</v>
      </c>
      <c r="O10" s="41" t="s">
        <v>307</v>
      </c>
      <c r="P10" s="41" t="s">
        <v>151</v>
      </c>
      <c r="Q10" s="41" t="str">
        <f t="shared" si="3"/>
        <v xml:space="preserve"> DT HINO G 312</v>
      </c>
    </row>
    <row r="11" spans="2:17" x14ac:dyDescent="0.3">
      <c r="B11" s="41">
        <v>4</v>
      </c>
      <c r="C11" s="41" t="s">
        <v>229</v>
      </c>
      <c r="D11" s="42">
        <v>5377.7</v>
      </c>
      <c r="E11" s="42">
        <v>117</v>
      </c>
      <c r="F11" s="49">
        <f>VLOOKUP(P11,'list rate unit'!$B$3:$K$40,10,FALSE)</f>
        <v>500000</v>
      </c>
      <c r="G11" s="44">
        <f t="shared" si="0"/>
        <v>105000000</v>
      </c>
      <c r="H11" s="42">
        <v>2752</v>
      </c>
      <c r="I11" s="44">
        <f t="shared" si="1"/>
        <v>31648000</v>
      </c>
      <c r="J11" s="42">
        <f t="shared" si="4"/>
        <v>0.51174293843092777</v>
      </c>
      <c r="K11" s="42">
        <f t="shared" si="2"/>
        <v>45.963247863247865</v>
      </c>
      <c r="L11" s="42">
        <f t="shared" si="5"/>
        <v>23.521367521367523</v>
      </c>
      <c r="M11" s="45">
        <f t="shared" si="6"/>
        <v>136648000</v>
      </c>
      <c r="N11" s="18">
        <f>D11*'SUMMARY 2'!$I$29*'SUMMARY 2'!$I$28</f>
        <v>838404940.79999995</v>
      </c>
      <c r="O11" s="41" t="s">
        <v>307</v>
      </c>
      <c r="P11" s="41" t="s">
        <v>151</v>
      </c>
      <c r="Q11" s="41" t="str">
        <f t="shared" si="3"/>
        <v xml:space="preserve"> DT HINO G 314</v>
      </c>
    </row>
    <row r="12" spans="2:17" x14ac:dyDescent="0.3">
      <c r="B12" s="41">
        <v>5</v>
      </c>
      <c r="C12" s="41" t="s">
        <v>230</v>
      </c>
      <c r="D12" s="42">
        <v>5725.04</v>
      </c>
      <c r="E12" s="42">
        <v>125</v>
      </c>
      <c r="F12" s="49">
        <f>VLOOKUP(P12,'list rate unit'!$B$3:$K$40,10,FALSE)</f>
        <v>500000</v>
      </c>
      <c r="G12" s="44">
        <f t="shared" si="0"/>
        <v>105000000</v>
      </c>
      <c r="H12" s="42">
        <v>3391</v>
      </c>
      <c r="I12" s="44">
        <f t="shared" si="1"/>
        <v>38996500</v>
      </c>
      <c r="J12" s="42">
        <f t="shared" si="4"/>
        <v>0.59231027206796805</v>
      </c>
      <c r="K12" s="42">
        <f t="shared" si="2"/>
        <v>45.800319999999999</v>
      </c>
      <c r="L12" s="42">
        <f t="shared" si="5"/>
        <v>27.128</v>
      </c>
      <c r="M12" s="45">
        <f t="shared" si="6"/>
        <v>143996500</v>
      </c>
      <c r="N12" s="18">
        <f>D12*'SUMMARY 2'!$I$29*'SUMMARY 2'!$I$28</f>
        <v>892556636.15999997</v>
      </c>
      <c r="O12" s="41" t="s">
        <v>307</v>
      </c>
      <c r="P12" s="41" t="s">
        <v>151</v>
      </c>
      <c r="Q12" s="41" t="str">
        <f t="shared" si="3"/>
        <v xml:space="preserve"> DT HINO G 315</v>
      </c>
    </row>
    <row r="13" spans="2:17" x14ac:dyDescent="0.3">
      <c r="B13" s="41">
        <v>6</v>
      </c>
      <c r="C13" s="41" t="s">
        <v>399</v>
      </c>
      <c r="D13" s="42">
        <v>6335.83</v>
      </c>
      <c r="E13" s="42">
        <v>138</v>
      </c>
      <c r="F13" s="49">
        <f>VLOOKUP(P13,'list rate unit'!$B$3:$K$40,10,FALSE)</f>
        <v>500000</v>
      </c>
      <c r="G13" s="44">
        <f t="shared" si="0"/>
        <v>105000000</v>
      </c>
      <c r="H13" s="42">
        <v>3404</v>
      </c>
      <c r="I13" s="44">
        <f t="shared" si="1"/>
        <v>39146000</v>
      </c>
      <c r="J13" s="42">
        <f t="shared" ref="J13:J22" si="7">IFERROR(H13/D13,0)</f>
        <v>0.53726188991813228</v>
      </c>
      <c r="K13" s="42">
        <f t="shared" ref="K13:K22" si="8">IFERROR(D13/E13,0)</f>
        <v>45.911811594202895</v>
      </c>
      <c r="L13" s="42">
        <f t="shared" ref="L13:L22" si="9">H13/E13</f>
        <v>24.666666666666668</v>
      </c>
      <c r="M13" s="45">
        <f t="shared" ref="M13:M22" si="10">G13+I13</f>
        <v>144146000</v>
      </c>
      <c r="N13" s="18">
        <f>D13*'SUMMARY 2'!$I$29*'SUMMARY 2'!$I$28</f>
        <v>987781240.31999993</v>
      </c>
      <c r="O13" s="41" t="s">
        <v>307</v>
      </c>
      <c r="P13" s="41" t="s">
        <v>151</v>
      </c>
      <c r="Q13" s="41" t="str">
        <f t="shared" si="3"/>
        <v xml:space="preserve"> DT HINO G 316</v>
      </c>
    </row>
    <row r="14" spans="2:17" x14ac:dyDescent="0.3">
      <c r="B14" s="41">
        <v>7</v>
      </c>
      <c r="C14" s="41" t="s">
        <v>231</v>
      </c>
      <c r="D14" s="42">
        <v>762.20999999999981</v>
      </c>
      <c r="E14" s="42">
        <v>16</v>
      </c>
      <c r="F14" s="49">
        <f>VLOOKUP(P14,'list rate unit'!$B$3:$K$40,10,FALSE)</f>
        <v>500000</v>
      </c>
      <c r="G14" s="44">
        <f t="shared" si="0"/>
        <v>105000000</v>
      </c>
      <c r="H14" s="42">
        <v>586</v>
      </c>
      <c r="I14" s="44">
        <f t="shared" si="1"/>
        <v>6739000</v>
      </c>
      <c r="J14" s="42">
        <f t="shared" si="7"/>
        <v>0.76881699269230286</v>
      </c>
      <c r="K14" s="42">
        <f t="shared" si="8"/>
        <v>47.638124999999988</v>
      </c>
      <c r="L14" s="42">
        <f t="shared" si="9"/>
        <v>36.625</v>
      </c>
      <c r="M14" s="45">
        <f t="shared" si="10"/>
        <v>111739000</v>
      </c>
      <c r="N14" s="18">
        <f>D14*'SUMMARY 2'!$I$29*'SUMMARY 2'!$I$28</f>
        <v>118831587.83999997</v>
      </c>
      <c r="O14" s="41" t="s">
        <v>307</v>
      </c>
      <c r="P14" s="41" t="s">
        <v>151</v>
      </c>
      <c r="Q14" s="41" t="str">
        <f t="shared" si="3"/>
        <v xml:space="preserve"> DT HINO G 317</v>
      </c>
    </row>
    <row r="15" spans="2:17" x14ac:dyDescent="0.3">
      <c r="B15" s="41">
        <v>8</v>
      </c>
      <c r="C15" s="41" t="s">
        <v>232</v>
      </c>
      <c r="D15" s="42">
        <v>4203.3599999999997</v>
      </c>
      <c r="E15" s="42">
        <v>90</v>
      </c>
      <c r="F15" s="49">
        <f>VLOOKUP(P15,'list rate unit'!$B$3:$K$40,10,FALSE)</f>
        <v>500000</v>
      </c>
      <c r="G15" s="44">
        <f t="shared" si="0"/>
        <v>105000000</v>
      </c>
      <c r="H15" s="42">
        <v>2379</v>
      </c>
      <c r="I15" s="44">
        <f t="shared" si="1"/>
        <v>27358500</v>
      </c>
      <c r="J15" s="42">
        <f t="shared" si="7"/>
        <v>0.56597579079593474</v>
      </c>
      <c r="K15" s="42">
        <f t="shared" si="8"/>
        <v>46.703999999999994</v>
      </c>
      <c r="L15" s="42">
        <f t="shared" si="9"/>
        <v>26.433333333333334</v>
      </c>
      <c r="M15" s="45">
        <f t="shared" si="10"/>
        <v>132358500</v>
      </c>
      <c r="N15" s="18">
        <f>D15*'SUMMARY 2'!$I$29*'SUMMARY 2'!$I$28</f>
        <v>655320637.43999994</v>
      </c>
      <c r="O15" s="41" t="s">
        <v>307</v>
      </c>
      <c r="P15" s="41" t="s">
        <v>151</v>
      </c>
      <c r="Q15" s="41" t="str">
        <f t="shared" si="3"/>
        <v xml:space="preserve"> DT HINO G 318</v>
      </c>
    </row>
    <row r="16" spans="2:17" x14ac:dyDescent="0.3">
      <c r="B16" s="41">
        <v>9</v>
      </c>
      <c r="C16" s="41" t="s">
        <v>402</v>
      </c>
      <c r="D16" s="42">
        <v>4636.8500000000004</v>
      </c>
      <c r="E16" s="42">
        <v>103</v>
      </c>
      <c r="F16" s="49">
        <f>VLOOKUP(P16,'list rate unit'!$B$3:$K$40,10,FALSE)</f>
        <v>500000</v>
      </c>
      <c r="G16" s="44">
        <f t="shared" si="0"/>
        <v>105000000</v>
      </c>
      <c r="H16" s="42">
        <v>2550</v>
      </c>
      <c r="I16" s="44">
        <f t="shared" si="1"/>
        <v>29325000</v>
      </c>
      <c r="J16" s="42">
        <f t="shared" si="7"/>
        <v>0.54994230997336546</v>
      </c>
      <c r="K16" s="42">
        <f t="shared" si="8"/>
        <v>45.017961165048547</v>
      </c>
      <c r="L16" s="42">
        <f t="shared" si="9"/>
        <v>24.757281553398059</v>
      </c>
      <c r="M16" s="45">
        <f t="shared" si="10"/>
        <v>134325000</v>
      </c>
      <c r="N16" s="18">
        <f>D16*'SUMMARY 2'!$I$29*'SUMMARY 2'!$I$28</f>
        <v>722903462.4000001</v>
      </c>
      <c r="O16" s="41" t="s">
        <v>307</v>
      </c>
      <c r="P16" s="41" t="s">
        <v>151</v>
      </c>
      <c r="Q16" s="41" t="str">
        <f t="shared" si="3"/>
        <v xml:space="preserve"> DT HINO G 319</v>
      </c>
    </row>
    <row r="17" spans="2:17" x14ac:dyDescent="0.3">
      <c r="B17" s="41">
        <v>10</v>
      </c>
      <c r="C17" s="41" t="s">
        <v>413</v>
      </c>
      <c r="D17" s="42">
        <v>288.72000000000003</v>
      </c>
      <c r="E17" s="42">
        <v>6</v>
      </c>
      <c r="F17" s="49">
        <f>VLOOKUP(P17,'list rate unit'!$B$3:$K$40,10,FALSE)</f>
        <v>500000</v>
      </c>
      <c r="G17" s="44">
        <f t="shared" si="0"/>
        <v>105000000</v>
      </c>
      <c r="H17" s="42">
        <v>263</v>
      </c>
      <c r="I17" s="44">
        <f t="shared" si="1"/>
        <v>3024500</v>
      </c>
      <c r="J17" s="42">
        <f t="shared" si="7"/>
        <v>0.91091715156553055</v>
      </c>
      <c r="K17" s="42">
        <f t="shared" si="8"/>
        <v>48.120000000000005</v>
      </c>
      <c r="L17" s="42">
        <f t="shared" si="9"/>
        <v>43.833333333333336</v>
      </c>
      <c r="M17" s="45">
        <f t="shared" si="10"/>
        <v>108024500</v>
      </c>
      <c r="N17" s="18">
        <f>D17*'SUMMARY 2'!$I$29*'SUMMARY 2'!$I$28</f>
        <v>45012602.880000003</v>
      </c>
      <c r="O17" s="41" t="s">
        <v>307</v>
      </c>
      <c r="P17" s="41" t="s">
        <v>151</v>
      </c>
      <c r="Q17" s="41" t="str">
        <f t="shared" si="3"/>
        <v xml:space="preserve"> DT HINO G 320</v>
      </c>
    </row>
    <row r="18" spans="2:17" x14ac:dyDescent="0.3">
      <c r="B18" s="41">
        <v>11</v>
      </c>
      <c r="C18" s="41" t="s">
        <v>233</v>
      </c>
      <c r="D18" s="42">
        <v>3175.5300000000007</v>
      </c>
      <c r="E18" s="42">
        <v>69</v>
      </c>
      <c r="F18" s="49">
        <f>VLOOKUP(P18,'list rate unit'!$B$3:$K$40,10,FALSE)</f>
        <v>500000</v>
      </c>
      <c r="G18" s="44">
        <f t="shared" si="0"/>
        <v>105000000</v>
      </c>
      <c r="H18" s="42">
        <v>1598</v>
      </c>
      <c r="I18" s="44">
        <f t="shared" si="1"/>
        <v>18377000</v>
      </c>
      <c r="J18" s="42">
        <f t="shared" si="7"/>
        <v>0.5032230840206201</v>
      </c>
      <c r="K18" s="42">
        <f t="shared" si="8"/>
        <v>46.022173913043488</v>
      </c>
      <c r="L18" s="42">
        <f t="shared" si="9"/>
        <v>23.159420289855074</v>
      </c>
      <c r="M18" s="45">
        <f t="shared" si="10"/>
        <v>123377000</v>
      </c>
      <c r="N18" s="18">
        <f>D18*'SUMMARY 2'!$I$29*'SUMMARY 2'!$I$28</f>
        <v>495077829.12000012</v>
      </c>
      <c r="O18" s="41" t="s">
        <v>307</v>
      </c>
      <c r="P18" s="41" t="s">
        <v>151</v>
      </c>
      <c r="Q18" s="41" t="str">
        <f t="shared" si="3"/>
        <v xml:space="preserve"> DT HINO G 321</v>
      </c>
    </row>
    <row r="19" spans="2:17" x14ac:dyDescent="0.3">
      <c r="B19" s="41">
        <v>12</v>
      </c>
      <c r="C19" s="41" t="s">
        <v>414</v>
      </c>
      <c r="D19" s="42">
        <v>1501.27</v>
      </c>
      <c r="E19" s="42">
        <v>32</v>
      </c>
      <c r="F19" s="49">
        <f>VLOOKUP(P19,'list rate unit'!$B$3:$K$40,10,FALSE)</f>
        <v>500000</v>
      </c>
      <c r="G19" s="44">
        <f t="shared" si="0"/>
        <v>105000000</v>
      </c>
      <c r="H19" s="42">
        <v>956</v>
      </c>
      <c r="I19" s="44">
        <f t="shared" si="1"/>
        <v>10994000</v>
      </c>
      <c r="J19" s="42">
        <f t="shared" si="7"/>
        <v>0.63679418092681528</v>
      </c>
      <c r="K19" s="42">
        <f t="shared" si="8"/>
        <v>46.914687499999999</v>
      </c>
      <c r="L19" s="42">
        <f t="shared" si="9"/>
        <v>29.875</v>
      </c>
      <c r="M19" s="45">
        <f t="shared" si="10"/>
        <v>115994000</v>
      </c>
      <c r="N19" s="18">
        <f>D19*'SUMMARY 2'!$I$29*'SUMMARY 2'!$I$28</f>
        <v>234053998.07999998</v>
      </c>
      <c r="O19" s="41" t="s">
        <v>307</v>
      </c>
      <c r="P19" s="41" t="s">
        <v>151</v>
      </c>
      <c r="Q19" s="41" t="str">
        <f t="shared" si="3"/>
        <v xml:space="preserve"> DT HINO G 322</v>
      </c>
    </row>
    <row r="20" spans="2:17" x14ac:dyDescent="0.3">
      <c r="B20" s="41">
        <v>13</v>
      </c>
      <c r="C20" s="41" t="s">
        <v>234</v>
      </c>
      <c r="D20" s="42">
        <v>4966.3099999999995</v>
      </c>
      <c r="E20" s="42">
        <v>109</v>
      </c>
      <c r="F20" s="49">
        <f>VLOOKUP(P20,'list rate unit'!$B$3:$K$40,10,FALSE)</f>
        <v>500000</v>
      </c>
      <c r="G20" s="44">
        <f t="shared" si="0"/>
        <v>105000000</v>
      </c>
      <c r="H20" s="42">
        <v>3057</v>
      </c>
      <c r="I20" s="44">
        <f t="shared" si="1"/>
        <v>35155500</v>
      </c>
      <c r="J20" s="42">
        <f t="shared" si="7"/>
        <v>0.61554755945561201</v>
      </c>
      <c r="K20" s="42">
        <f t="shared" si="8"/>
        <v>45.562477064220175</v>
      </c>
      <c r="L20" s="42">
        <f t="shared" si="9"/>
        <v>28.045871559633028</v>
      </c>
      <c r="M20" s="45">
        <f t="shared" si="10"/>
        <v>140155500</v>
      </c>
      <c r="N20" s="18">
        <f>D20*'SUMMARY 2'!$I$29*'SUMMARY 2'!$I$28</f>
        <v>774267594.24000001</v>
      </c>
      <c r="O20" s="41" t="s">
        <v>307</v>
      </c>
      <c r="P20" s="41" t="s">
        <v>151</v>
      </c>
      <c r="Q20" s="41" t="str">
        <f t="shared" si="3"/>
        <v xml:space="preserve"> DT HINO G 323</v>
      </c>
    </row>
    <row r="21" spans="2:17" x14ac:dyDescent="0.3">
      <c r="B21" s="41">
        <v>14</v>
      </c>
      <c r="C21" s="41" t="s">
        <v>235</v>
      </c>
      <c r="D21" s="42">
        <v>4139.2299999999996</v>
      </c>
      <c r="E21" s="42">
        <v>91</v>
      </c>
      <c r="F21" s="49">
        <f>VLOOKUP(P21,'list rate unit'!$B$3:$K$40,10,FALSE)</f>
        <v>500000</v>
      </c>
      <c r="G21" s="44">
        <f t="shared" si="0"/>
        <v>105000000</v>
      </c>
      <c r="H21" s="42">
        <v>2661</v>
      </c>
      <c r="I21" s="44">
        <f t="shared" si="1"/>
        <v>30601500</v>
      </c>
      <c r="J21" s="42">
        <f t="shared" si="7"/>
        <v>0.64287319139066934</v>
      </c>
      <c r="K21" s="42">
        <f t="shared" si="8"/>
        <v>45.48604395604395</v>
      </c>
      <c r="L21" s="42">
        <f t="shared" si="9"/>
        <v>29.241758241758241</v>
      </c>
      <c r="M21" s="45">
        <f t="shared" si="10"/>
        <v>135601500</v>
      </c>
      <c r="N21" s="18">
        <f>D21*'SUMMARY 2'!$I$29*'SUMMARY 2'!$I$28</f>
        <v>645322513.91999996</v>
      </c>
      <c r="O21" s="41" t="s">
        <v>307</v>
      </c>
      <c r="P21" s="41" t="s">
        <v>151</v>
      </c>
      <c r="Q21" s="41" t="str">
        <f t="shared" si="3"/>
        <v xml:space="preserve"> DT HINO G 324</v>
      </c>
    </row>
    <row r="22" spans="2:17" x14ac:dyDescent="0.3">
      <c r="B22" s="41">
        <v>15</v>
      </c>
      <c r="C22" s="41" t="s">
        <v>236</v>
      </c>
      <c r="D22" s="42">
        <v>4424.4999999999991</v>
      </c>
      <c r="E22" s="42">
        <v>97</v>
      </c>
      <c r="F22" s="49">
        <f>VLOOKUP(P22,'list rate unit'!$B$3:$K$40,10,FALSE)</f>
        <v>500000</v>
      </c>
      <c r="G22" s="44">
        <f t="shared" si="0"/>
        <v>105000000</v>
      </c>
      <c r="H22" s="42">
        <v>2551</v>
      </c>
      <c r="I22" s="44">
        <f t="shared" si="1"/>
        <v>29336500</v>
      </c>
      <c r="J22" s="42">
        <f t="shared" si="7"/>
        <v>0.57656232342637603</v>
      </c>
      <c r="K22" s="42">
        <f t="shared" si="8"/>
        <v>45.613402061855659</v>
      </c>
      <c r="L22" s="42">
        <f t="shared" si="9"/>
        <v>26.298969072164947</v>
      </c>
      <c r="M22" s="45">
        <f t="shared" si="10"/>
        <v>134336500</v>
      </c>
      <c r="N22" s="18">
        <f>D22*'SUMMARY 2'!$I$29*'SUMMARY 2'!$I$28</f>
        <v>689797247.99999988</v>
      </c>
      <c r="O22" s="41" t="s">
        <v>307</v>
      </c>
      <c r="P22" s="41" t="s">
        <v>151</v>
      </c>
      <c r="Q22" s="41" t="str">
        <f t="shared" si="3"/>
        <v xml:space="preserve"> DT HINO G 325</v>
      </c>
    </row>
    <row r="23" spans="2:17" x14ac:dyDescent="0.3">
      <c r="B23" s="41">
        <v>16</v>
      </c>
      <c r="C23" s="41" t="s">
        <v>237</v>
      </c>
      <c r="D23" s="42">
        <v>4407.4900000000007</v>
      </c>
      <c r="E23" s="42">
        <v>96</v>
      </c>
      <c r="F23" s="49">
        <f>VLOOKUP(P23,'list rate unit'!$B$3:$K$40,10,FALSE)</f>
        <v>500000</v>
      </c>
      <c r="G23" s="44">
        <f t="shared" si="0"/>
        <v>105000000</v>
      </c>
      <c r="H23" s="42">
        <v>2685</v>
      </c>
      <c r="I23" s="44">
        <f t="shared" si="1"/>
        <v>30877500</v>
      </c>
      <c r="J23" s="42">
        <f t="shared" ref="J23:J43" si="11">IFERROR(H23/D23,0)</f>
        <v>0.60919026475386207</v>
      </c>
      <c r="K23" s="42">
        <f t="shared" ref="K23:K43" si="12">IFERROR(D23/E23,0)</f>
        <v>45.911354166666676</v>
      </c>
      <c r="L23" s="42">
        <f t="shared" ref="L23:L43" si="13">H23/E23</f>
        <v>27.96875</v>
      </c>
      <c r="M23" s="45">
        <f t="shared" ref="M23:M43" si="14">G23+I23</f>
        <v>135877500</v>
      </c>
      <c r="N23" s="18">
        <f>D23*'SUMMARY 2'!$I$29*'SUMMARY 2'!$I$28</f>
        <v>687145320.96000004</v>
      </c>
      <c r="O23" s="41" t="s">
        <v>307</v>
      </c>
      <c r="P23" s="41" t="s">
        <v>151</v>
      </c>
      <c r="Q23" s="41" t="str">
        <f t="shared" ref="Q23:Q43" si="15">C23</f>
        <v xml:space="preserve"> DT HINO G 326</v>
      </c>
    </row>
    <row r="24" spans="2:17" x14ac:dyDescent="0.3">
      <c r="B24" s="41">
        <v>17</v>
      </c>
      <c r="C24" s="41" t="s">
        <v>238</v>
      </c>
      <c r="D24" s="42">
        <v>3431.88</v>
      </c>
      <c r="E24" s="42">
        <v>75</v>
      </c>
      <c r="F24" s="49">
        <f>VLOOKUP(P24,'list rate unit'!$B$3:$K$40,10,FALSE)</f>
        <v>500000</v>
      </c>
      <c r="G24" s="44">
        <f t="shared" si="0"/>
        <v>105000000</v>
      </c>
      <c r="H24" s="42">
        <v>1896</v>
      </c>
      <c r="I24" s="44">
        <f t="shared" si="1"/>
        <v>21804000</v>
      </c>
      <c r="J24" s="42">
        <f t="shared" si="11"/>
        <v>0.55246686947096046</v>
      </c>
      <c r="K24" s="42">
        <f t="shared" si="12"/>
        <v>45.758400000000002</v>
      </c>
      <c r="L24" s="42">
        <f t="shared" si="13"/>
        <v>25.28</v>
      </c>
      <c r="M24" s="45">
        <f t="shared" si="14"/>
        <v>126804000</v>
      </c>
      <c r="N24" s="18">
        <f>D24*'SUMMARY 2'!$I$29*'SUMMARY 2'!$I$28</f>
        <v>535043819.51999998</v>
      </c>
      <c r="O24" s="41" t="s">
        <v>307</v>
      </c>
      <c r="P24" s="41" t="s">
        <v>151</v>
      </c>
      <c r="Q24" s="41" t="str">
        <f t="shared" si="15"/>
        <v xml:space="preserve"> DT HINO G 329</v>
      </c>
    </row>
    <row r="25" spans="2:17" x14ac:dyDescent="0.3">
      <c r="B25" s="41">
        <v>18</v>
      </c>
      <c r="C25" s="41" t="s">
        <v>239</v>
      </c>
      <c r="D25" s="42">
        <v>3941.7799999999997</v>
      </c>
      <c r="E25" s="42">
        <v>87</v>
      </c>
      <c r="F25" s="49">
        <f>VLOOKUP(P25,'list rate unit'!$B$3:$K$40,10,FALSE)</f>
        <v>500000</v>
      </c>
      <c r="G25" s="44">
        <f t="shared" si="0"/>
        <v>105000000</v>
      </c>
      <c r="H25" s="42">
        <v>2404</v>
      </c>
      <c r="I25" s="44">
        <f t="shared" si="1"/>
        <v>27646000</v>
      </c>
      <c r="J25" s="42">
        <f t="shared" si="11"/>
        <v>0.60987675618629156</v>
      </c>
      <c r="K25" s="42">
        <f t="shared" si="12"/>
        <v>45.307816091954017</v>
      </c>
      <c r="L25" s="42">
        <f t="shared" si="13"/>
        <v>27.632183908045977</v>
      </c>
      <c r="M25" s="45">
        <f t="shared" si="14"/>
        <v>132646000</v>
      </c>
      <c r="N25" s="18">
        <f>D25*'SUMMARY 2'!$I$29*'SUMMARY 2'!$I$28</f>
        <v>614539269.11999989</v>
      </c>
      <c r="O25" s="41" t="s">
        <v>307</v>
      </c>
      <c r="P25" s="41" t="s">
        <v>151</v>
      </c>
      <c r="Q25" s="41" t="str">
        <f t="shared" si="15"/>
        <v xml:space="preserve"> DT HINO G 332</v>
      </c>
    </row>
    <row r="26" spans="2:17" x14ac:dyDescent="0.3">
      <c r="B26" s="41">
        <v>19</v>
      </c>
      <c r="C26" s="41" t="s">
        <v>240</v>
      </c>
      <c r="D26" s="42">
        <v>3398.91</v>
      </c>
      <c r="E26" s="42">
        <v>75</v>
      </c>
      <c r="F26" s="49">
        <f>VLOOKUP(P26,'list rate unit'!$B$3:$K$40,10,FALSE)</f>
        <v>500000</v>
      </c>
      <c r="G26" s="44">
        <f t="shared" si="0"/>
        <v>105000000</v>
      </c>
      <c r="H26" s="42">
        <v>1907</v>
      </c>
      <c r="I26" s="44">
        <f t="shared" si="1"/>
        <v>21930500</v>
      </c>
      <c r="J26" s="42">
        <f t="shared" si="11"/>
        <v>0.56106222288910268</v>
      </c>
      <c r="K26" s="42">
        <f t="shared" si="12"/>
        <v>45.318799999999996</v>
      </c>
      <c r="L26" s="42">
        <f t="shared" si="13"/>
        <v>25.426666666666666</v>
      </c>
      <c r="M26" s="45">
        <f t="shared" si="14"/>
        <v>126930500</v>
      </c>
      <c r="N26" s="18">
        <f>D26*'SUMMARY 2'!$I$29*'SUMMARY 2'!$I$28</f>
        <v>529903664.63999999</v>
      </c>
      <c r="O26" s="41" t="s">
        <v>307</v>
      </c>
      <c r="P26" s="41" t="s">
        <v>151</v>
      </c>
      <c r="Q26" s="41" t="str">
        <f t="shared" si="15"/>
        <v xml:space="preserve"> DT HINO G 333</v>
      </c>
    </row>
    <row r="27" spans="2:17" x14ac:dyDescent="0.3">
      <c r="B27" s="41">
        <v>20</v>
      </c>
      <c r="C27" s="41" t="s">
        <v>241</v>
      </c>
      <c r="D27" s="42">
        <v>3658.3</v>
      </c>
      <c r="E27" s="42">
        <v>79</v>
      </c>
      <c r="F27" s="49">
        <f>VLOOKUP(P27,'list rate unit'!$B$3:$K$40,10,FALSE)</f>
        <v>500000</v>
      </c>
      <c r="G27" s="44">
        <f t="shared" si="0"/>
        <v>105000000</v>
      </c>
      <c r="H27" s="42">
        <v>1985</v>
      </c>
      <c r="I27" s="44">
        <f t="shared" si="1"/>
        <v>22827500</v>
      </c>
      <c r="J27" s="42">
        <f t="shared" si="11"/>
        <v>0.54260175491348439</v>
      </c>
      <c r="K27" s="42">
        <f t="shared" si="12"/>
        <v>46.30759493670886</v>
      </c>
      <c r="L27" s="42">
        <f t="shared" si="13"/>
        <v>25.126582278481013</v>
      </c>
      <c r="M27" s="45">
        <f t="shared" si="14"/>
        <v>127827500</v>
      </c>
      <c r="N27" s="18">
        <f>D27*'SUMMARY 2'!$I$29*'SUMMARY 2'!$I$28</f>
        <v>570343603.20000005</v>
      </c>
      <c r="O27" s="41" t="s">
        <v>307</v>
      </c>
      <c r="P27" s="41" t="s">
        <v>151</v>
      </c>
      <c r="Q27" s="41" t="str">
        <f t="shared" si="15"/>
        <v xml:space="preserve"> DT HINO G 334</v>
      </c>
    </row>
    <row r="28" spans="2:17" x14ac:dyDescent="0.3">
      <c r="B28" s="41">
        <v>21</v>
      </c>
      <c r="C28" s="41" t="s">
        <v>242</v>
      </c>
      <c r="D28" s="42">
        <v>3531.0399999999991</v>
      </c>
      <c r="E28" s="42">
        <v>77</v>
      </c>
      <c r="F28" s="49">
        <f>VLOOKUP(P28,'list rate unit'!$B$3:$K$40,10,FALSE)</f>
        <v>500000</v>
      </c>
      <c r="G28" s="44">
        <f t="shared" si="0"/>
        <v>105000000</v>
      </c>
      <c r="H28" s="42">
        <v>2037</v>
      </c>
      <c r="I28" s="44">
        <f t="shared" si="1"/>
        <v>23425500</v>
      </c>
      <c r="J28" s="42">
        <f t="shared" si="11"/>
        <v>0.57688386424396232</v>
      </c>
      <c r="K28" s="42">
        <f t="shared" si="12"/>
        <v>45.857662337662326</v>
      </c>
      <c r="L28" s="42">
        <f t="shared" si="13"/>
        <v>26.454545454545453</v>
      </c>
      <c r="M28" s="45">
        <f t="shared" si="14"/>
        <v>128425500</v>
      </c>
      <c r="N28" s="18">
        <f>D28*'SUMMARY 2'!$I$29*'SUMMARY 2'!$I$28</f>
        <v>550503260.15999985</v>
      </c>
      <c r="O28" s="41" t="s">
        <v>307</v>
      </c>
      <c r="P28" s="41" t="s">
        <v>151</v>
      </c>
      <c r="Q28" s="41" t="str">
        <f t="shared" si="15"/>
        <v xml:space="preserve"> DT HINO G 336</v>
      </c>
    </row>
    <row r="29" spans="2:17" x14ac:dyDescent="0.3">
      <c r="B29" s="41">
        <v>22</v>
      </c>
      <c r="C29" s="41" t="s">
        <v>243</v>
      </c>
      <c r="D29" s="42">
        <v>1507.3600000000001</v>
      </c>
      <c r="E29" s="42">
        <v>33</v>
      </c>
      <c r="F29" s="49">
        <f>VLOOKUP(P29,'list rate unit'!$B$3:$K$40,10,FALSE)</f>
        <v>500000</v>
      </c>
      <c r="G29" s="44">
        <f t="shared" si="0"/>
        <v>105000000</v>
      </c>
      <c r="H29" s="42">
        <v>917</v>
      </c>
      <c r="I29" s="44">
        <f t="shared" si="1"/>
        <v>10545500</v>
      </c>
      <c r="J29" s="42">
        <f t="shared" si="11"/>
        <v>0.60834837066128855</v>
      </c>
      <c r="K29" s="42">
        <f t="shared" si="12"/>
        <v>45.677575757575759</v>
      </c>
      <c r="L29" s="42">
        <f t="shared" si="13"/>
        <v>27.787878787878789</v>
      </c>
      <c r="M29" s="45">
        <f t="shared" si="14"/>
        <v>115545500</v>
      </c>
      <c r="N29" s="18">
        <f>D29*'SUMMARY 2'!$I$29*'SUMMARY 2'!$I$28</f>
        <v>235003453.44</v>
      </c>
      <c r="O29" s="41" t="s">
        <v>307</v>
      </c>
      <c r="P29" s="41" t="s">
        <v>151</v>
      </c>
      <c r="Q29" s="41" t="str">
        <f t="shared" si="15"/>
        <v xml:space="preserve"> DT HINO G 337</v>
      </c>
    </row>
    <row r="30" spans="2:17" x14ac:dyDescent="0.3">
      <c r="B30" s="41">
        <v>23</v>
      </c>
      <c r="C30" s="41" t="s">
        <v>415</v>
      </c>
      <c r="D30" s="42">
        <v>4807.4799999999996</v>
      </c>
      <c r="E30" s="42">
        <v>106</v>
      </c>
      <c r="F30" s="49">
        <f>VLOOKUP(P30,'list rate unit'!$B$3:$K$40,10,FALSE)</f>
        <v>500000</v>
      </c>
      <c r="G30" s="44">
        <f t="shared" si="0"/>
        <v>105000000</v>
      </c>
      <c r="H30" s="42">
        <v>3001</v>
      </c>
      <c r="I30" s="44">
        <f t="shared" si="1"/>
        <v>34511500</v>
      </c>
      <c r="J30" s="42">
        <f t="shared" si="11"/>
        <v>0.62423556624260534</v>
      </c>
      <c r="K30" s="42">
        <f t="shared" si="12"/>
        <v>45.353584905660377</v>
      </c>
      <c r="L30" s="42">
        <f t="shared" si="13"/>
        <v>28.311320754716981</v>
      </c>
      <c r="M30" s="45">
        <f t="shared" si="14"/>
        <v>139511500</v>
      </c>
      <c r="N30" s="18">
        <f>D30*'SUMMARY 2'!$I$29*'SUMMARY 2'!$I$28</f>
        <v>749505361.91999996</v>
      </c>
      <c r="O30" s="41" t="s">
        <v>307</v>
      </c>
      <c r="P30" s="41" t="s">
        <v>151</v>
      </c>
      <c r="Q30" s="41" t="str">
        <f t="shared" si="15"/>
        <v xml:space="preserve"> DT HINO G 338</v>
      </c>
    </row>
    <row r="31" spans="2:17" x14ac:dyDescent="0.3">
      <c r="B31" s="41">
        <v>24</v>
      </c>
      <c r="C31" s="41" t="s">
        <v>244</v>
      </c>
      <c r="D31" s="42">
        <v>1398.12</v>
      </c>
      <c r="E31" s="42">
        <v>29</v>
      </c>
      <c r="F31" s="49">
        <f>VLOOKUP(P31,'list rate unit'!$B$3:$K$40,10,FALSE)</f>
        <v>500000</v>
      </c>
      <c r="G31" s="44">
        <f t="shared" si="0"/>
        <v>105000000</v>
      </c>
      <c r="H31" s="42">
        <v>732</v>
      </c>
      <c r="I31" s="44">
        <f t="shared" si="1"/>
        <v>8418000</v>
      </c>
      <c r="J31" s="42">
        <f t="shared" si="11"/>
        <v>0.52356020942408377</v>
      </c>
      <c r="K31" s="42">
        <f t="shared" si="12"/>
        <v>48.21103448275862</v>
      </c>
      <c r="L31" s="42">
        <f t="shared" si="13"/>
        <v>25.241379310344829</v>
      </c>
      <c r="M31" s="45">
        <f t="shared" si="14"/>
        <v>113418000</v>
      </c>
      <c r="N31" s="18">
        <f>D31*'SUMMARY 2'!$I$29*'SUMMARY 2'!$I$28</f>
        <v>217972500.47999999</v>
      </c>
      <c r="O31" s="41" t="s">
        <v>307</v>
      </c>
      <c r="P31" s="41" t="s">
        <v>151</v>
      </c>
      <c r="Q31" s="41" t="str">
        <f t="shared" si="15"/>
        <v xml:space="preserve"> DT HINO G 339</v>
      </c>
    </row>
    <row r="32" spans="2:17" x14ac:dyDescent="0.3">
      <c r="B32" s="41">
        <v>25</v>
      </c>
      <c r="C32" s="41" t="s">
        <v>416</v>
      </c>
      <c r="D32" s="42">
        <v>4657.3100000000004</v>
      </c>
      <c r="E32" s="42">
        <v>103</v>
      </c>
      <c r="F32" s="49">
        <f>VLOOKUP(P32,'list rate unit'!$B$3:$K$40,10,FALSE)</f>
        <v>500000</v>
      </c>
      <c r="G32" s="44">
        <f t="shared" si="0"/>
        <v>105000000</v>
      </c>
      <c r="H32" s="42">
        <v>2564</v>
      </c>
      <c r="I32" s="44">
        <f t="shared" si="1"/>
        <v>29486000</v>
      </c>
      <c r="J32" s="42">
        <f t="shared" si="11"/>
        <v>0.55053238886825218</v>
      </c>
      <c r="K32" s="42">
        <f t="shared" si="12"/>
        <v>45.216601941747577</v>
      </c>
      <c r="L32" s="42">
        <f t="shared" si="13"/>
        <v>24.893203883495147</v>
      </c>
      <c r="M32" s="45">
        <f t="shared" si="14"/>
        <v>134486000</v>
      </c>
      <c r="N32" s="18">
        <f>D32*'SUMMARY 2'!$I$29*'SUMMARY 2'!$I$28</f>
        <v>726093258.24000001</v>
      </c>
      <c r="O32" s="41" t="s">
        <v>307</v>
      </c>
      <c r="P32" s="41" t="s">
        <v>151</v>
      </c>
      <c r="Q32" s="41" t="str">
        <f t="shared" si="15"/>
        <v xml:space="preserve"> DT HINO G 340</v>
      </c>
    </row>
    <row r="33" spans="2:17" x14ac:dyDescent="0.3">
      <c r="B33" s="41">
        <v>26</v>
      </c>
      <c r="C33" s="41" t="s">
        <v>245</v>
      </c>
      <c r="D33" s="42">
        <v>3079.2700000000004</v>
      </c>
      <c r="E33" s="42">
        <v>68</v>
      </c>
      <c r="F33" s="49">
        <f>VLOOKUP(P33,'list rate unit'!$B$3:$K$40,10,FALSE)</f>
        <v>500000</v>
      </c>
      <c r="G33" s="44">
        <f t="shared" si="0"/>
        <v>105000000</v>
      </c>
      <c r="H33" s="42">
        <v>1474</v>
      </c>
      <c r="I33" s="44">
        <f t="shared" si="1"/>
        <v>16951000</v>
      </c>
      <c r="J33" s="42">
        <f t="shared" si="11"/>
        <v>0.4786848831054113</v>
      </c>
      <c r="K33" s="42">
        <f t="shared" si="12"/>
        <v>45.283382352941182</v>
      </c>
      <c r="L33" s="42">
        <f t="shared" si="13"/>
        <v>21.676470588235293</v>
      </c>
      <c r="M33" s="45">
        <f t="shared" si="14"/>
        <v>121951000</v>
      </c>
      <c r="N33" s="18">
        <f>D33*'SUMMARY 2'!$I$29*'SUMMARY 2'!$I$28</f>
        <v>480070510.0800001</v>
      </c>
      <c r="O33" s="41" t="s">
        <v>307</v>
      </c>
      <c r="P33" s="41" t="s">
        <v>151</v>
      </c>
      <c r="Q33" s="41" t="str">
        <f t="shared" si="15"/>
        <v xml:space="preserve"> DT HINO G 341</v>
      </c>
    </row>
    <row r="34" spans="2:17" x14ac:dyDescent="0.3">
      <c r="B34" s="41">
        <v>27</v>
      </c>
      <c r="C34" s="41" t="s">
        <v>417</v>
      </c>
      <c r="D34" s="42">
        <v>1426.49</v>
      </c>
      <c r="E34" s="42">
        <v>31</v>
      </c>
      <c r="F34" s="49">
        <f>VLOOKUP(P34,'list rate unit'!$B$3:$K$40,10,FALSE)</f>
        <v>500000</v>
      </c>
      <c r="G34" s="44">
        <f t="shared" si="0"/>
        <v>105000000</v>
      </c>
      <c r="H34" s="42">
        <v>1076</v>
      </c>
      <c r="I34" s="44">
        <f t="shared" si="1"/>
        <v>12374000</v>
      </c>
      <c r="J34" s="42">
        <f t="shared" si="11"/>
        <v>0.75429901366290686</v>
      </c>
      <c r="K34" s="42">
        <f t="shared" si="12"/>
        <v>46.015806451612903</v>
      </c>
      <c r="L34" s="42">
        <f t="shared" si="13"/>
        <v>34.70967741935484</v>
      </c>
      <c r="M34" s="45">
        <f t="shared" si="14"/>
        <v>117374000</v>
      </c>
      <c r="N34" s="18">
        <f>D34*'SUMMARY 2'!$I$29*'SUMMARY 2'!$I$28</f>
        <v>222395496.96000001</v>
      </c>
      <c r="O34" s="41" t="s">
        <v>307</v>
      </c>
      <c r="P34" s="41" t="s">
        <v>151</v>
      </c>
      <c r="Q34" s="41" t="str">
        <f t="shared" si="15"/>
        <v xml:space="preserve"> DT HINO G 342</v>
      </c>
    </row>
    <row r="35" spans="2:17" x14ac:dyDescent="0.3">
      <c r="B35" s="41">
        <v>28</v>
      </c>
      <c r="C35" s="41" t="s">
        <v>246</v>
      </c>
      <c r="D35" s="42">
        <v>5751.39</v>
      </c>
      <c r="E35" s="42">
        <v>125</v>
      </c>
      <c r="F35" s="49">
        <f>VLOOKUP(P35,'list rate unit'!$B$3:$K$40,10,FALSE)</f>
        <v>500000</v>
      </c>
      <c r="G35" s="44">
        <f t="shared" si="0"/>
        <v>105000000</v>
      </c>
      <c r="H35" s="42">
        <v>2936</v>
      </c>
      <c r="I35" s="44">
        <f t="shared" si="1"/>
        <v>33764000</v>
      </c>
      <c r="J35" s="42">
        <f t="shared" si="11"/>
        <v>0.51048529138173548</v>
      </c>
      <c r="K35" s="42">
        <f t="shared" si="12"/>
        <v>46.011120000000005</v>
      </c>
      <c r="L35" s="42">
        <f t="shared" si="13"/>
        <v>23.488</v>
      </c>
      <c r="M35" s="45">
        <f t="shared" si="14"/>
        <v>138764000</v>
      </c>
      <c r="N35" s="18">
        <f>D35*'SUMMARY 2'!$I$29*'SUMMARY 2'!$I$28</f>
        <v>896664706.56000006</v>
      </c>
      <c r="O35" s="41" t="s">
        <v>307</v>
      </c>
      <c r="P35" s="41" t="s">
        <v>151</v>
      </c>
      <c r="Q35" s="41" t="str">
        <f t="shared" si="15"/>
        <v xml:space="preserve"> DT HINO G 343</v>
      </c>
    </row>
    <row r="36" spans="2:17" x14ac:dyDescent="0.3">
      <c r="B36" s="41">
        <v>29</v>
      </c>
      <c r="C36" s="41" t="s">
        <v>247</v>
      </c>
      <c r="D36" s="42">
        <v>3236.55</v>
      </c>
      <c r="E36" s="42">
        <v>71</v>
      </c>
      <c r="F36" s="49">
        <f>VLOOKUP(P36,'list rate unit'!$B$3:$K$40,10,FALSE)</f>
        <v>500000</v>
      </c>
      <c r="G36" s="44">
        <f t="shared" si="0"/>
        <v>105000000</v>
      </c>
      <c r="H36" s="42">
        <v>1828</v>
      </c>
      <c r="I36" s="44">
        <f t="shared" si="1"/>
        <v>21022000</v>
      </c>
      <c r="J36" s="42">
        <f t="shared" si="11"/>
        <v>0.56479893713985563</v>
      </c>
      <c r="K36" s="42">
        <f t="shared" si="12"/>
        <v>45.585211267605636</v>
      </c>
      <c r="L36" s="42">
        <f t="shared" si="13"/>
        <v>25.746478873239436</v>
      </c>
      <c r="M36" s="45">
        <f t="shared" si="14"/>
        <v>126022000</v>
      </c>
      <c r="N36" s="18">
        <f>D36*'SUMMARY 2'!$I$29*'SUMMARY 2'!$I$28</f>
        <v>504591091.20000005</v>
      </c>
      <c r="O36" s="41" t="s">
        <v>307</v>
      </c>
      <c r="P36" s="41" t="s">
        <v>151</v>
      </c>
      <c r="Q36" s="41" t="str">
        <f t="shared" si="15"/>
        <v xml:space="preserve"> DT HINO G 344</v>
      </c>
    </row>
    <row r="37" spans="2:17" x14ac:dyDescent="0.3">
      <c r="B37" s="41">
        <v>30</v>
      </c>
      <c r="C37" s="41" t="s">
        <v>248</v>
      </c>
      <c r="D37" s="42">
        <v>4112.6899999999996</v>
      </c>
      <c r="E37" s="42">
        <v>92</v>
      </c>
      <c r="F37" s="49">
        <f>VLOOKUP(P37,'list rate unit'!$B$3:$K$40,10,FALSE)</f>
        <v>500000</v>
      </c>
      <c r="G37" s="44">
        <f t="shared" si="0"/>
        <v>105000000</v>
      </c>
      <c r="H37" s="42">
        <v>2298</v>
      </c>
      <c r="I37" s="44">
        <f t="shared" si="1"/>
        <v>26427000</v>
      </c>
      <c r="J37" s="42">
        <f t="shared" si="11"/>
        <v>0.55875837955206942</v>
      </c>
      <c r="K37" s="42">
        <f t="shared" si="12"/>
        <v>44.70315217391304</v>
      </c>
      <c r="L37" s="42">
        <f t="shared" si="13"/>
        <v>24.978260869565219</v>
      </c>
      <c r="M37" s="45">
        <f t="shared" si="14"/>
        <v>131427000</v>
      </c>
      <c r="N37" s="18">
        <f>D37*'SUMMARY 2'!$I$29*'SUMMARY 2'!$I$28</f>
        <v>641184821.75999999</v>
      </c>
      <c r="O37" s="41" t="s">
        <v>307</v>
      </c>
      <c r="P37" s="41" t="s">
        <v>151</v>
      </c>
      <c r="Q37" s="41" t="str">
        <f t="shared" si="15"/>
        <v xml:space="preserve"> DT HINO G 346</v>
      </c>
    </row>
    <row r="38" spans="2:17" x14ac:dyDescent="0.3">
      <c r="B38" s="41">
        <v>31</v>
      </c>
      <c r="C38" s="41" t="s">
        <v>249</v>
      </c>
      <c r="D38" s="42">
        <v>3769.78</v>
      </c>
      <c r="E38" s="42">
        <v>84</v>
      </c>
      <c r="F38" s="49">
        <f>VLOOKUP(P38,'list rate unit'!$B$3:$K$40,10,FALSE)</f>
        <v>500000</v>
      </c>
      <c r="G38" s="44">
        <f t="shared" si="0"/>
        <v>105000000</v>
      </c>
      <c r="H38" s="42">
        <v>2094</v>
      </c>
      <c r="I38" s="44">
        <f t="shared" si="1"/>
        <v>24081000</v>
      </c>
      <c r="J38" s="42">
        <f t="shared" si="11"/>
        <v>0.55547008048215007</v>
      </c>
      <c r="K38" s="42">
        <f t="shared" si="12"/>
        <v>44.878333333333337</v>
      </c>
      <c r="L38" s="42">
        <f t="shared" si="13"/>
        <v>24.928571428571427</v>
      </c>
      <c r="M38" s="45">
        <f t="shared" si="14"/>
        <v>129081000</v>
      </c>
      <c r="N38" s="18">
        <f>D38*'SUMMARY 2'!$I$29*'SUMMARY 2'!$I$28</f>
        <v>587723781.12</v>
      </c>
      <c r="O38" s="41" t="s">
        <v>307</v>
      </c>
      <c r="P38" s="41" t="s">
        <v>151</v>
      </c>
      <c r="Q38" s="41" t="str">
        <f t="shared" si="15"/>
        <v xml:space="preserve"> DT HINO G 347</v>
      </c>
    </row>
    <row r="39" spans="2:17" x14ac:dyDescent="0.3">
      <c r="B39" s="41">
        <v>32</v>
      </c>
      <c r="C39" s="41" t="s">
        <v>250</v>
      </c>
      <c r="D39" s="42">
        <v>3976.2700000000004</v>
      </c>
      <c r="E39" s="42">
        <v>87</v>
      </c>
      <c r="F39" s="49">
        <f>VLOOKUP(P39,'list rate unit'!$B$3:$K$40,10,FALSE)</f>
        <v>500000</v>
      </c>
      <c r="G39" s="44">
        <f t="shared" si="0"/>
        <v>105000000</v>
      </c>
      <c r="H39" s="42">
        <v>2039</v>
      </c>
      <c r="I39" s="44">
        <f t="shared" si="1"/>
        <v>23448500</v>
      </c>
      <c r="J39" s="42">
        <f t="shared" si="11"/>
        <v>0.51279213936679346</v>
      </c>
      <c r="K39" s="42">
        <f t="shared" si="12"/>
        <v>45.70425287356322</v>
      </c>
      <c r="L39" s="42">
        <f t="shared" si="13"/>
        <v>23.436781609195403</v>
      </c>
      <c r="M39" s="45">
        <f t="shared" si="14"/>
        <v>128448500</v>
      </c>
      <c r="N39" s="18">
        <f>D39*'SUMMARY 2'!$I$29*'SUMMARY 2'!$I$28</f>
        <v>619916398.08000004</v>
      </c>
      <c r="O39" s="41" t="s">
        <v>307</v>
      </c>
      <c r="P39" s="41" t="s">
        <v>151</v>
      </c>
      <c r="Q39" s="41" t="str">
        <f t="shared" si="15"/>
        <v xml:space="preserve"> DT HINO G 348</v>
      </c>
    </row>
    <row r="40" spans="2:17" x14ac:dyDescent="0.3">
      <c r="B40" s="41">
        <v>33</v>
      </c>
      <c r="C40" s="41" t="s">
        <v>251</v>
      </c>
      <c r="D40" s="42">
        <v>2613.5699999999997</v>
      </c>
      <c r="E40" s="42">
        <v>57</v>
      </c>
      <c r="F40" s="49">
        <f>VLOOKUP(P40,'list rate unit'!$B$3:$K$40,10,FALSE)</f>
        <v>500000</v>
      </c>
      <c r="G40" s="44">
        <f t="shared" si="0"/>
        <v>105000000</v>
      </c>
      <c r="H40" s="42">
        <v>1560</v>
      </c>
      <c r="I40" s="44">
        <f t="shared" si="1"/>
        <v>17940000</v>
      </c>
      <c r="J40" s="42">
        <f t="shared" si="11"/>
        <v>0.59688472089900024</v>
      </c>
      <c r="K40" s="42">
        <f t="shared" si="12"/>
        <v>45.852105263157888</v>
      </c>
      <c r="L40" s="42">
        <f t="shared" si="13"/>
        <v>27.368421052631579</v>
      </c>
      <c r="M40" s="45">
        <f t="shared" si="14"/>
        <v>122940000</v>
      </c>
      <c r="N40" s="18">
        <f>D40*'SUMMARY 2'!$I$29*'SUMMARY 2'!$I$28</f>
        <v>407466017.27999997</v>
      </c>
      <c r="O40" s="41" t="s">
        <v>307</v>
      </c>
      <c r="P40" s="41" t="s">
        <v>151</v>
      </c>
      <c r="Q40" s="41" t="str">
        <f t="shared" si="15"/>
        <v xml:space="preserve"> DT HINO G 349</v>
      </c>
    </row>
    <row r="41" spans="2:17" x14ac:dyDescent="0.3">
      <c r="B41" s="41">
        <v>34</v>
      </c>
      <c r="C41" s="41" t="s">
        <v>252</v>
      </c>
      <c r="D41" s="42">
        <v>5367.8899999999994</v>
      </c>
      <c r="E41" s="42">
        <v>115</v>
      </c>
      <c r="F41" s="49">
        <f>VLOOKUP(P41,'list rate unit'!$B$3:$K$40,10,FALSE)</f>
        <v>500000</v>
      </c>
      <c r="G41" s="44">
        <f t="shared" si="0"/>
        <v>105000000</v>
      </c>
      <c r="H41" s="42">
        <v>3199</v>
      </c>
      <c r="I41" s="44">
        <f t="shared" si="1"/>
        <v>36788500</v>
      </c>
      <c r="J41" s="42">
        <f t="shared" si="11"/>
        <v>0.59595110928130057</v>
      </c>
      <c r="K41" s="42">
        <f t="shared" si="12"/>
        <v>46.67730434782608</v>
      </c>
      <c r="L41" s="42">
        <f t="shared" si="13"/>
        <v>27.817391304347826</v>
      </c>
      <c r="M41" s="45">
        <f t="shared" si="14"/>
        <v>141788500</v>
      </c>
      <c r="N41" s="18">
        <f>D41*'SUMMARY 2'!$I$29*'SUMMARY 2'!$I$28</f>
        <v>836875522.55999994</v>
      </c>
      <c r="O41" s="41" t="s">
        <v>307</v>
      </c>
      <c r="P41" s="41" t="s">
        <v>151</v>
      </c>
      <c r="Q41" s="41" t="str">
        <f t="shared" si="15"/>
        <v xml:space="preserve"> DT HINO G 350</v>
      </c>
    </row>
    <row r="42" spans="2:17" x14ac:dyDescent="0.3">
      <c r="B42" s="41">
        <v>35</v>
      </c>
      <c r="C42" s="41" t="s">
        <v>253</v>
      </c>
      <c r="D42" s="42">
        <v>5453.91</v>
      </c>
      <c r="E42" s="42">
        <v>116</v>
      </c>
      <c r="F42" s="49">
        <f>VLOOKUP(P42,'list rate unit'!$B$3:$K$40,10,FALSE)</f>
        <v>500000</v>
      </c>
      <c r="G42" s="44">
        <f t="shared" si="0"/>
        <v>105000000</v>
      </c>
      <c r="H42" s="42">
        <v>3012</v>
      </c>
      <c r="I42" s="44">
        <f t="shared" si="1"/>
        <v>34638000</v>
      </c>
      <c r="J42" s="42">
        <f t="shared" si="11"/>
        <v>0.55226433879546966</v>
      </c>
      <c r="K42" s="42">
        <f t="shared" si="12"/>
        <v>47.016465517241379</v>
      </c>
      <c r="L42" s="42">
        <f t="shared" si="13"/>
        <v>25.96551724137931</v>
      </c>
      <c r="M42" s="45">
        <f t="shared" si="14"/>
        <v>139638000</v>
      </c>
      <c r="N42" s="18">
        <f>D42*'SUMMARY 2'!$I$29*'SUMMARY 2'!$I$28</f>
        <v>850286384.63999999</v>
      </c>
      <c r="O42" s="41" t="s">
        <v>307</v>
      </c>
      <c r="P42" s="41" t="s">
        <v>151</v>
      </c>
      <c r="Q42" s="41" t="str">
        <f t="shared" si="15"/>
        <v xml:space="preserve"> DT HINO G 351</v>
      </c>
    </row>
    <row r="43" spans="2:17" x14ac:dyDescent="0.3">
      <c r="B43" s="41">
        <v>36</v>
      </c>
      <c r="C43" s="41" t="s">
        <v>254</v>
      </c>
      <c r="D43" s="42">
        <v>898.96999999999991</v>
      </c>
      <c r="E43" s="42">
        <v>19</v>
      </c>
      <c r="F43" s="49">
        <f>VLOOKUP(P43,'list rate unit'!$B$3:$K$40,10,FALSE)</f>
        <v>500000</v>
      </c>
      <c r="G43" s="44">
        <f t="shared" si="0"/>
        <v>105000000</v>
      </c>
      <c r="H43" s="42">
        <v>459</v>
      </c>
      <c r="I43" s="44">
        <f t="shared" si="1"/>
        <v>5278500</v>
      </c>
      <c r="J43" s="42">
        <f t="shared" si="11"/>
        <v>0.51058433540607584</v>
      </c>
      <c r="K43" s="42">
        <f t="shared" si="12"/>
        <v>47.314210526315783</v>
      </c>
      <c r="L43" s="42">
        <f t="shared" si="13"/>
        <v>24.157894736842106</v>
      </c>
      <c r="M43" s="45">
        <f t="shared" si="14"/>
        <v>110278500</v>
      </c>
      <c r="N43" s="18">
        <f>D43*'SUMMARY 2'!$I$29*'SUMMARY 2'!$I$28</f>
        <v>140153018.88</v>
      </c>
      <c r="O43" s="41" t="s">
        <v>307</v>
      </c>
      <c r="P43" s="41" t="s">
        <v>151</v>
      </c>
      <c r="Q43" s="41" t="str">
        <f t="shared" si="15"/>
        <v xml:space="preserve"> DT HINO G 352</v>
      </c>
    </row>
    <row r="44" spans="2:17" x14ac:dyDescent="0.3">
      <c r="B44" s="41">
        <v>37</v>
      </c>
      <c r="C44" s="41" t="s">
        <v>255</v>
      </c>
      <c r="D44" s="42">
        <v>5318.8899999999994</v>
      </c>
      <c r="E44" s="42">
        <v>114</v>
      </c>
      <c r="F44" s="49">
        <f>VLOOKUP(P44,'list rate unit'!$B$3:$K$40,10,FALSE)</f>
        <v>500000</v>
      </c>
      <c r="G44" s="44">
        <f t="shared" si="0"/>
        <v>105000000</v>
      </c>
      <c r="H44" s="42">
        <v>2830</v>
      </c>
      <c r="I44" s="44">
        <f t="shared" si="1"/>
        <v>32545000</v>
      </c>
      <c r="J44" s="42">
        <f t="shared" ref="J44:J81" si="16">IFERROR(H44/D44,0)</f>
        <v>0.53206590096805917</v>
      </c>
      <c r="K44" s="42">
        <f t="shared" ref="K44:K81" si="17">IFERROR(D44/E44,0)</f>
        <v>46.656929824561395</v>
      </c>
      <c r="L44" s="42">
        <f t="shared" ref="L44:L81" si="18">H44/E44</f>
        <v>24.82456140350877</v>
      </c>
      <c r="M44" s="45">
        <f t="shared" ref="M44:M81" si="19">G44+I44</f>
        <v>137545000</v>
      </c>
      <c r="N44" s="18">
        <f>D44*'SUMMARY 2'!$I$29*'SUMMARY 2'!$I$28</f>
        <v>829236226.55999994</v>
      </c>
      <c r="O44" s="41" t="s">
        <v>307</v>
      </c>
      <c r="P44" s="41" t="s">
        <v>151</v>
      </c>
      <c r="Q44" s="41" t="str">
        <f t="shared" ref="Q44:Q81" si="20">C44</f>
        <v xml:space="preserve"> DT HINO G 353</v>
      </c>
    </row>
    <row r="45" spans="2:17" x14ac:dyDescent="0.3">
      <c r="B45" s="41">
        <v>38</v>
      </c>
      <c r="C45" s="41" t="s">
        <v>256</v>
      </c>
      <c r="D45" s="42">
        <v>6011.1799999999994</v>
      </c>
      <c r="E45" s="42">
        <v>129</v>
      </c>
      <c r="F45" s="49">
        <f>VLOOKUP(P45,'list rate unit'!$B$3:$K$40,10,FALSE)</f>
        <v>500000</v>
      </c>
      <c r="G45" s="44">
        <f t="shared" si="0"/>
        <v>105000000</v>
      </c>
      <c r="H45" s="42">
        <v>3175</v>
      </c>
      <c r="I45" s="44">
        <f t="shared" si="1"/>
        <v>36512500</v>
      </c>
      <c r="J45" s="42">
        <f t="shared" si="16"/>
        <v>0.52818248663324008</v>
      </c>
      <c r="K45" s="42">
        <f t="shared" si="17"/>
        <v>46.598294573643408</v>
      </c>
      <c r="L45" s="42">
        <f t="shared" si="18"/>
        <v>24.612403100775193</v>
      </c>
      <c r="M45" s="45">
        <f t="shared" si="19"/>
        <v>141512500</v>
      </c>
      <c r="N45" s="18">
        <f>D45*'SUMMARY 2'!$I$29*'SUMMARY 2'!$I$28</f>
        <v>937167006.71999991</v>
      </c>
      <c r="O45" s="41" t="s">
        <v>307</v>
      </c>
      <c r="P45" s="41" t="s">
        <v>151</v>
      </c>
      <c r="Q45" s="41" t="str">
        <f t="shared" si="20"/>
        <v xml:space="preserve"> DT HINO G 354</v>
      </c>
    </row>
    <row r="46" spans="2:17" x14ac:dyDescent="0.3">
      <c r="B46" s="41">
        <v>39</v>
      </c>
      <c r="C46" s="41" t="s">
        <v>257</v>
      </c>
      <c r="D46" s="42">
        <v>0</v>
      </c>
      <c r="E46" s="42">
        <v>0</v>
      </c>
      <c r="F46" s="49">
        <f>VLOOKUP(P46,'list rate unit'!$B$3:$K$40,10,FALSE)</f>
        <v>500000</v>
      </c>
      <c r="G46" s="44">
        <f t="shared" si="0"/>
        <v>0</v>
      </c>
      <c r="H46" s="42">
        <v>2138</v>
      </c>
      <c r="I46" s="44">
        <f t="shared" si="1"/>
        <v>24587000</v>
      </c>
      <c r="J46" s="42">
        <f t="shared" si="16"/>
        <v>0</v>
      </c>
      <c r="K46" s="42">
        <f t="shared" si="17"/>
        <v>0</v>
      </c>
      <c r="L46" s="42" t="e">
        <f t="shared" si="18"/>
        <v>#DIV/0!</v>
      </c>
      <c r="M46" s="45">
        <f t="shared" si="19"/>
        <v>24587000</v>
      </c>
      <c r="N46" s="18">
        <f>D46*'SUMMARY 2'!$I$29*'SUMMARY 2'!$I$28</f>
        <v>0</v>
      </c>
      <c r="O46" s="41" t="s">
        <v>307</v>
      </c>
      <c r="P46" s="41" t="s">
        <v>151</v>
      </c>
      <c r="Q46" s="41" t="str">
        <f t="shared" si="20"/>
        <v xml:space="preserve"> DT HINO G 355</v>
      </c>
    </row>
    <row r="47" spans="2:17" x14ac:dyDescent="0.3">
      <c r="B47" s="41">
        <v>40</v>
      </c>
      <c r="C47" s="41" t="s">
        <v>403</v>
      </c>
      <c r="D47" s="42">
        <v>0</v>
      </c>
      <c r="E47" s="42">
        <v>0</v>
      </c>
      <c r="F47" s="49">
        <f>VLOOKUP(P47,'list rate unit'!$B$3:$K$40,10,FALSE)</f>
        <v>500000</v>
      </c>
      <c r="G47" s="44">
        <f t="shared" si="0"/>
        <v>0</v>
      </c>
      <c r="H47" s="42">
        <v>1130</v>
      </c>
      <c r="I47" s="44">
        <f t="shared" si="1"/>
        <v>12995000</v>
      </c>
      <c r="J47" s="42">
        <f t="shared" si="16"/>
        <v>0</v>
      </c>
      <c r="K47" s="42">
        <f t="shared" si="17"/>
        <v>0</v>
      </c>
      <c r="L47" s="42" t="e">
        <f t="shared" si="18"/>
        <v>#DIV/0!</v>
      </c>
      <c r="M47" s="45">
        <f t="shared" si="19"/>
        <v>12995000</v>
      </c>
      <c r="N47" s="18">
        <f>D47*'SUMMARY 2'!$I$29*'SUMMARY 2'!$I$28</f>
        <v>0</v>
      </c>
      <c r="O47" s="41" t="s">
        <v>307</v>
      </c>
      <c r="P47" s="41" t="s">
        <v>151</v>
      </c>
      <c r="Q47" s="41" t="str">
        <f t="shared" si="20"/>
        <v xml:space="preserve"> DT HINO G 356</v>
      </c>
    </row>
    <row r="48" spans="2:17" x14ac:dyDescent="0.3">
      <c r="B48" s="41">
        <v>41</v>
      </c>
      <c r="C48" s="41" t="s">
        <v>258</v>
      </c>
      <c r="D48" s="42">
        <v>0</v>
      </c>
      <c r="E48" s="42">
        <v>0</v>
      </c>
      <c r="F48" s="49">
        <f>VLOOKUP(P48,'list rate unit'!$B$3:$K$40,10,FALSE)</f>
        <v>500000</v>
      </c>
      <c r="G48" s="44">
        <f t="shared" si="0"/>
        <v>0</v>
      </c>
      <c r="H48" s="42">
        <v>2881</v>
      </c>
      <c r="I48" s="44">
        <f t="shared" si="1"/>
        <v>33131500</v>
      </c>
      <c r="J48" s="42">
        <f t="shared" si="16"/>
        <v>0</v>
      </c>
      <c r="K48" s="42">
        <f t="shared" si="17"/>
        <v>0</v>
      </c>
      <c r="L48" s="42" t="e">
        <f t="shared" si="18"/>
        <v>#DIV/0!</v>
      </c>
      <c r="M48" s="45">
        <f t="shared" si="19"/>
        <v>33131500</v>
      </c>
      <c r="N48" s="18">
        <f>D48*'SUMMARY 2'!$I$29*'SUMMARY 2'!$I$28</f>
        <v>0</v>
      </c>
      <c r="O48" s="41" t="s">
        <v>307</v>
      </c>
      <c r="P48" s="41" t="s">
        <v>151</v>
      </c>
      <c r="Q48" s="41" t="str">
        <f t="shared" si="20"/>
        <v xml:space="preserve"> DT HINO G 357</v>
      </c>
    </row>
    <row r="49" spans="2:17" x14ac:dyDescent="0.3">
      <c r="B49" s="41">
        <v>42</v>
      </c>
      <c r="C49" s="41" t="s">
        <v>259</v>
      </c>
      <c r="D49" s="42">
        <v>0</v>
      </c>
      <c r="E49" s="42">
        <v>0</v>
      </c>
      <c r="F49" s="49">
        <f>VLOOKUP(P49,'list rate unit'!$B$3:$K$40,10,FALSE)</f>
        <v>500000</v>
      </c>
      <c r="G49" s="44">
        <f t="shared" si="0"/>
        <v>0</v>
      </c>
      <c r="H49" s="42">
        <v>1871</v>
      </c>
      <c r="I49" s="44">
        <f t="shared" si="1"/>
        <v>21516500</v>
      </c>
      <c r="J49" s="42">
        <f t="shared" si="16"/>
        <v>0</v>
      </c>
      <c r="K49" s="42">
        <f t="shared" si="17"/>
        <v>0</v>
      </c>
      <c r="L49" s="42" t="e">
        <f t="shared" si="18"/>
        <v>#DIV/0!</v>
      </c>
      <c r="M49" s="45">
        <f t="shared" si="19"/>
        <v>21516500</v>
      </c>
      <c r="N49" s="18">
        <f>D49*'SUMMARY 2'!$I$29*'SUMMARY 2'!$I$28</f>
        <v>0</v>
      </c>
      <c r="O49" s="41" t="s">
        <v>307</v>
      </c>
      <c r="P49" s="41" t="s">
        <v>151</v>
      </c>
      <c r="Q49" s="41" t="str">
        <f t="shared" si="20"/>
        <v xml:space="preserve"> DT HINO G 358</v>
      </c>
    </row>
    <row r="50" spans="2:17" x14ac:dyDescent="0.3">
      <c r="B50" s="41">
        <v>43</v>
      </c>
      <c r="C50" s="41" t="s">
        <v>260</v>
      </c>
      <c r="D50" s="42">
        <v>0</v>
      </c>
      <c r="E50" s="42">
        <v>0</v>
      </c>
      <c r="F50" s="49">
        <f>VLOOKUP(P50,'list rate unit'!$B$3:$K$40,10,FALSE)</f>
        <v>500000</v>
      </c>
      <c r="G50" s="44">
        <f t="shared" si="0"/>
        <v>0</v>
      </c>
      <c r="H50" s="42">
        <v>3443</v>
      </c>
      <c r="I50" s="44">
        <f t="shared" si="1"/>
        <v>39594500</v>
      </c>
      <c r="J50" s="42">
        <f t="shared" si="16"/>
        <v>0</v>
      </c>
      <c r="K50" s="42">
        <f t="shared" si="17"/>
        <v>0</v>
      </c>
      <c r="L50" s="42" t="e">
        <f t="shared" si="18"/>
        <v>#DIV/0!</v>
      </c>
      <c r="M50" s="45">
        <f t="shared" si="19"/>
        <v>39594500</v>
      </c>
      <c r="N50" s="18">
        <f>D50*'SUMMARY 2'!$I$29*'SUMMARY 2'!$I$28</f>
        <v>0</v>
      </c>
      <c r="O50" s="41" t="s">
        <v>307</v>
      </c>
      <c r="P50" s="41" t="s">
        <v>151</v>
      </c>
      <c r="Q50" s="41" t="str">
        <f t="shared" si="20"/>
        <v xml:space="preserve"> DT HINO G 359</v>
      </c>
    </row>
    <row r="51" spans="2:17" x14ac:dyDescent="0.3">
      <c r="B51" s="41">
        <v>44</v>
      </c>
      <c r="C51" s="41" t="s">
        <v>261</v>
      </c>
      <c r="D51" s="42">
        <v>0</v>
      </c>
      <c r="E51" s="42">
        <v>0</v>
      </c>
      <c r="F51" s="49">
        <f>VLOOKUP(P51,'list rate unit'!$B$3:$K$40,10,FALSE)</f>
        <v>500000</v>
      </c>
      <c r="G51" s="44">
        <f t="shared" si="0"/>
        <v>0</v>
      </c>
      <c r="H51" s="42">
        <v>1948</v>
      </c>
      <c r="I51" s="44">
        <f t="shared" si="1"/>
        <v>22402000</v>
      </c>
      <c r="J51" s="42">
        <f t="shared" si="16"/>
        <v>0</v>
      </c>
      <c r="K51" s="42">
        <f t="shared" si="17"/>
        <v>0</v>
      </c>
      <c r="L51" s="42" t="e">
        <f t="shared" si="18"/>
        <v>#DIV/0!</v>
      </c>
      <c r="M51" s="45">
        <f t="shared" si="19"/>
        <v>22402000</v>
      </c>
      <c r="N51" s="18">
        <f>D51*'SUMMARY 2'!$I$29*'SUMMARY 2'!$I$28</f>
        <v>0</v>
      </c>
      <c r="O51" s="41" t="s">
        <v>307</v>
      </c>
      <c r="P51" s="41" t="s">
        <v>151</v>
      </c>
      <c r="Q51" s="41" t="str">
        <f t="shared" si="20"/>
        <v xml:space="preserve"> DT HINO G 360</v>
      </c>
    </row>
    <row r="52" spans="2:17" x14ac:dyDescent="0.3">
      <c r="B52" s="41">
        <v>45</v>
      </c>
      <c r="C52" s="41" t="s">
        <v>262</v>
      </c>
      <c r="D52" s="42">
        <v>0</v>
      </c>
      <c r="E52" s="42">
        <v>0</v>
      </c>
      <c r="F52" s="49">
        <f>VLOOKUP(P52,'list rate unit'!$B$3:$K$40,10,FALSE)</f>
        <v>500000</v>
      </c>
      <c r="G52" s="44">
        <f t="shared" si="0"/>
        <v>0</v>
      </c>
      <c r="H52" s="42">
        <v>2640</v>
      </c>
      <c r="I52" s="44">
        <f t="shared" si="1"/>
        <v>30360000</v>
      </c>
      <c r="J52" s="42">
        <f t="shared" si="16"/>
        <v>0</v>
      </c>
      <c r="K52" s="42">
        <f t="shared" si="17"/>
        <v>0</v>
      </c>
      <c r="L52" s="42" t="e">
        <f t="shared" si="18"/>
        <v>#DIV/0!</v>
      </c>
      <c r="M52" s="45">
        <f t="shared" si="19"/>
        <v>30360000</v>
      </c>
      <c r="N52" s="18">
        <f>D52*'SUMMARY 2'!$I$29*'SUMMARY 2'!$I$28</f>
        <v>0</v>
      </c>
      <c r="O52" s="41" t="s">
        <v>307</v>
      </c>
      <c r="P52" s="41" t="s">
        <v>151</v>
      </c>
      <c r="Q52" s="41" t="str">
        <f t="shared" si="20"/>
        <v xml:space="preserve"> DT HINO G 361</v>
      </c>
    </row>
    <row r="53" spans="2:17" x14ac:dyDescent="0.3">
      <c r="B53" s="41">
        <v>46</v>
      </c>
      <c r="C53" s="41" t="s">
        <v>263</v>
      </c>
      <c r="D53" s="42">
        <v>0</v>
      </c>
      <c r="E53" s="42">
        <v>0</v>
      </c>
      <c r="F53" s="49">
        <f>VLOOKUP(P53,'list rate unit'!$B$3:$K$40,10,FALSE)</f>
        <v>500000</v>
      </c>
      <c r="G53" s="44">
        <f t="shared" si="0"/>
        <v>0</v>
      </c>
      <c r="H53" s="42">
        <v>4092</v>
      </c>
      <c r="I53" s="44">
        <f t="shared" si="1"/>
        <v>47058000</v>
      </c>
      <c r="J53" s="42">
        <f t="shared" si="16"/>
        <v>0</v>
      </c>
      <c r="K53" s="42">
        <f t="shared" si="17"/>
        <v>0</v>
      </c>
      <c r="L53" s="42" t="e">
        <f t="shared" si="18"/>
        <v>#DIV/0!</v>
      </c>
      <c r="M53" s="45">
        <f t="shared" si="19"/>
        <v>47058000</v>
      </c>
      <c r="N53" s="18">
        <f>D53*'SUMMARY 2'!$I$29*'SUMMARY 2'!$I$28</f>
        <v>0</v>
      </c>
      <c r="O53" s="41" t="s">
        <v>307</v>
      </c>
      <c r="P53" s="41" t="s">
        <v>151</v>
      </c>
      <c r="Q53" s="41" t="str">
        <f t="shared" si="20"/>
        <v xml:space="preserve"> DT HINO G 362</v>
      </c>
    </row>
    <row r="54" spans="2:17" x14ac:dyDescent="0.3">
      <c r="B54" s="41">
        <v>47</v>
      </c>
      <c r="C54" s="41" t="s">
        <v>264</v>
      </c>
      <c r="D54" s="42">
        <v>0</v>
      </c>
      <c r="E54" s="42">
        <v>0</v>
      </c>
      <c r="F54" s="49">
        <f>VLOOKUP(P54,'list rate unit'!$B$3:$K$40,10,FALSE)</f>
        <v>500000</v>
      </c>
      <c r="G54" s="44">
        <f t="shared" si="0"/>
        <v>0</v>
      </c>
      <c r="H54" s="42">
        <v>885</v>
      </c>
      <c r="I54" s="44">
        <f t="shared" si="1"/>
        <v>10177500</v>
      </c>
      <c r="J54" s="42">
        <f t="shared" si="16"/>
        <v>0</v>
      </c>
      <c r="K54" s="42">
        <f t="shared" si="17"/>
        <v>0</v>
      </c>
      <c r="L54" s="42" t="e">
        <f t="shared" si="18"/>
        <v>#DIV/0!</v>
      </c>
      <c r="M54" s="45">
        <f t="shared" si="19"/>
        <v>10177500</v>
      </c>
      <c r="N54" s="18">
        <f>D54*'SUMMARY 2'!$I$29*'SUMMARY 2'!$I$28</f>
        <v>0</v>
      </c>
      <c r="O54" s="41" t="s">
        <v>307</v>
      </c>
      <c r="P54" s="41" t="s">
        <v>151</v>
      </c>
      <c r="Q54" s="41" t="str">
        <f t="shared" si="20"/>
        <v xml:space="preserve"> DT HINO G 363</v>
      </c>
    </row>
    <row r="55" spans="2:17" x14ac:dyDescent="0.3">
      <c r="B55" s="41">
        <v>48</v>
      </c>
      <c r="C55" s="41" t="s">
        <v>375</v>
      </c>
      <c r="D55" s="42">
        <v>0</v>
      </c>
      <c r="E55" s="42">
        <v>0</v>
      </c>
      <c r="F55" s="49">
        <f>VLOOKUP(P55,'list rate unit'!$B$3:$K$40,10,FALSE)</f>
        <v>500000</v>
      </c>
      <c r="G55" s="44">
        <f t="shared" si="0"/>
        <v>0</v>
      </c>
      <c r="H55" s="42">
        <v>2705</v>
      </c>
      <c r="I55" s="44">
        <f t="shared" si="1"/>
        <v>31107500</v>
      </c>
      <c r="J55" s="42">
        <f t="shared" si="16"/>
        <v>0</v>
      </c>
      <c r="K55" s="42">
        <f t="shared" si="17"/>
        <v>0</v>
      </c>
      <c r="L55" s="42" t="e">
        <f t="shared" si="18"/>
        <v>#DIV/0!</v>
      </c>
      <c r="M55" s="45">
        <f t="shared" si="19"/>
        <v>31107500</v>
      </c>
      <c r="N55" s="18">
        <f>D55*'SUMMARY 2'!$I$29*'SUMMARY 2'!$I$28</f>
        <v>0</v>
      </c>
      <c r="O55" s="41" t="s">
        <v>307</v>
      </c>
      <c r="P55" s="41" t="s">
        <v>151</v>
      </c>
      <c r="Q55" s="41" t="str">
        <f t="shared" si="20"/>
        <v xml:space="preserve"> DT HINO G 366</v>
      </c>
    </row>
    <row r="56" spans="2:17" x14ac:dyDescent="0.3">
      <c r="B56" s="41">
        <v>49</v>
      </c>
      <c r="C56" s="41" t="s">
        <v>376</v>
      </c>
      <c r="D56" s="42">
        <v>0</v>
      </c>
      <c r="E56" s="42">
        <v>0</v>
      </c>
      <c r="F56" s="49">
        <f>VLOOKUP(P56,'list rate unit'!$B$3:$K$40,10,FALSE)</f>
        <v>500000</v>
      </c>
      <c r="G56" s="44">
        <f t="shared" ref="G56:G73" si="21">IF(D56=0,0,F56*$C$88)</f>
        <v>0</v>
      </c>
      <c r="H56" s="42">
        <v>3640</v>
      </c>
      <c r="I56" s="44">
        <f t="shared" ref="I56:I73" si="22">H56*$C$87</f>
        <v>41860000</v>
      </c>
      <c r="J56" s="42">
        <f t="shared" ref="J56:J73" si="23">IFERROR(H56/D56,0)</f>
        <v>0</v>
      </c>
      <c r="K56" s="42">
        <f t="shared" ref="K56:K73" si="24">IFERROR(D56/E56,0)</f>
        <v>0</v>
      </c>
      <c r="L56" s="42" t="e">
        <f t="shared" ref="L56:L73" si="25">H56/E56</f>
        <v>#DIV/0!</v>
      </c>
      <c r="M56" s="45">
        <f t="shared" ref="M56:M73" si="26">G56+I56</f>
        <v>41860000</v>
      </c>
      <c r="N56" s="18">
        <f>D56*'SUMMARY 2'!$I$29*'SUMMARY 2'!$I$28</f>
        <v>0</v>
      </c>
      <c r="O56" s="41" t="s">
        <v>307</v>
      </c>
      <c r="P56" s="41" t="s">
        <v>151</v>
      </c>
      <c r="Q56" s="41" t="str">
        <f t="shared" ref="Q56:Q73" si="27">C56</f>
        <v xml:space="preserve"> DT HINO G 367</v>
      </c>
    </row>
    <row r="57" spans="2:17" x14ac:dyDescent="0.3">
      <c r="B57" s="41">
        <v>50</v>
      </c>
      <c r="C57" s="41" t="s">
        <v>377</v>
      </c>
      <c r="D57" s="42">
        <v>0</v>
      </c>
      <c r="E57" s="42">
        <v>0</v>
      </c>
      <c r="F57" s="49">
        <f>VLOOKUP(P57,'list rate unit'!$B$3:$K$40,10,FALSE)</f>
        <v>500000</v>
      </c>
      <c r="G57" s="44">
        <f t="shared" si="21"/>
        <v>0</v>
      </c>
      <c r="H57" s="42">
        <v>2658</v>
      </c>
      <c r="I57" s="44">
        <f t="shared" si="22"/>
        <v>30567000</v>
      </c>
      <c r="J57" s="42">
        <f t="shared" si="23"/>
        <v>0</v>
      </c>
      <c r="K57" s="42">
        <f t="shared" si="24"/>
        <v>0</v>
      </c>
      <c r="L57" s="42" t="e">
        <f t="shared" si="25"/>
        <v>#DIV/0!</v>
      </c>
      <c r="M57" s="45">
        <f t="shared" si="26"/>
        <v>30567000</v>
      </c>
      <c r="N57" s="18">
        <f>D57*'SUMMARY 2'!$I$29*'SUMMARY 2'!$I$28</f>
        <v>0</v>
      </c>
      <c r="O57" s="41" t="s">
        <v>307</v>
      </c>
      <c r="P57" s="41" t="s">
        <v>151</v>
      </c>
      <c r="Q57" s="41" t="str">
        <f t="shared" si="27"/>
        <v xml:space="preserve"> DT HINO G 368</v>
      </c>
    </row>
    <row r="58" spans="2:17" x14ac:dyDescent="0.3">
      <c r="B58" s="41">
        <v>51</v>
      </c>
      <c r="C58" s="41" t="s">
        <v>378</v>
      </c>
      <c r="D58" s="42">
        <v>0</v>
      </c>
      <c r="E58" s="42">
        <v>0</v>
      </c>
      <c r="F58" s="49">
        <f>VLOOKUP(P58,'list rate unit'!$B$3:$K$40,10,FALSE)</f>
        <v>500000</v>
      </c>
      <c r="G58" s="44">
        <f t="shared" si="21"/>
        <v>0</v>
      </c>
      <c r="H58" s="42">
        <v>3009</v>
      </c>
      <c r="I58" s="44">
        <f t="shared" si="22"/>
        <v>34603500</v>
      </c>
      <c r="J58" s="42">
        <f t="shared" si="23"/>
        <v>0</v>
      </c>
      <c r="K58" s="42">
        <f t="shared" si="24"/>
        <v>0</v>
      </c>
      <c r="L58" s="42" t="e">
        <f t="shared" si="25"/>
        <v>#DIV/0!</v>
      </c>
      <c r="M58" s="45">
        <f t="shared" si="26"/>
        <v>34603500</v>
      </c>
      <c r="N58" s="18">
        <f>D58*'SUMMARY 2'!$I$29*'SUMMARY 2'!$I$28</f>
        <v>0</v>
      </c>
      <c r="O58" s="41" t="s">
        <v>307</v>
      </c>
      <c r="P58" s="41" t="s">
        <v>151</v>
      </c>
      <c r="Q58" s="41" t="str">
        <f t="shared" si="27"/>
        <v xml:space="preserve"> DT HINO G 369</v>
      </c>
    </row>
    <row r="59" spans="2:17" x14ac:dyDescent="0.3">
      <c r="B59" s="41">
        <v>52</v>
      </c>
      <c r="C59" s="41" t="s">
        <v>327</v>
      </c>
      <c r="D59" s="42">
        <v>0</v>
      </c>
      <c r="E59" s="42">
        <v>0</v>
      </c>
      <c r="F59" s="49">
        <f>VLOOKUP(P59,'list rate unit'!$B$3:$K$40,10,FALSE)</f>
        <v>500000</v>
      </c>
      <c r="G59" s="44">
        <f t="shared" si="21"/>
        <v>0</v>
      </c>
      <c r="H59" s="42">
        <v>3249</v>
      </c>
      <c r="I59" s="44">
        <f t="shared" si="22"/>
        <v>37363500</v>
      </c>
      <c r="J59" s="42">
        <f t="shared" si="23"/>
        <v>0</v>
      </c>
      <c r="K59" s="42">
        <f t="shared" si="24"/>
        <v>0</v>
      </c>
      <c r="L59" s="42" t="e">
        <f t="shared" si="25"/>
        <v>#DIV/0!</v>
      </c>
      <c r="M59" s="45">
        <f t="shared" si="26"/>
        <v>37363500</v>
      </c>
      <c r="N59" s="18">
        <f>D59*'SUMMARY 2'!$I$29*'SUMMARY 2'!$I$28</f>
        <v>0</v>
      </c>
      <c r="O59" s="41" t="s">
        <v>307</v>
      </c>
      <c r="P59" s="41" t="s">
        <v>151</v>
      </c>
      <c r="Q59" s="41" t="str">
        <f t="shared" si="27"/>
        <v xml:space="preserve"> DT HINO G 370</v>
      </c>
    </row>
    <row r="60" spans="2:17" x14ac:dyDescent="0.3">
      <c r="B60" s="41">
        <v>53</v>
      </c>
      <c r="C60" s="41" t="s">
        <v>328</v>
      </c>
      <c r="D60" s="42">
        <v>0</v>
      </c>
      <c r="E60" s="42">
        <v>0</v>
      </c>
      <c r="F60" s="49">
        <f>VLOOKUP(P60,'list rate unit'!$B$3:$K$40,10,FALSE)</f>
        <v>500000</v>
      </c>
      <c r="G60" s="44">
        <f t="shared" si="21"/>
        <v>0</v>
      </c>
      <c r="H60" s="42">
        <v>2795</v>
      </c>
      <c r="I60" s="44">
        <f t="shared" si="22"/>
        <v>32142500</v>
      </c>
      <c r="J60" s="42">
        <f t="shared" si="23"/>
        <v>0</v>
      </c>
      <c r="K60" s="42">
        <f t="shared" si="24"/>
        <v>0</v>
      </c>
      <c r="L60" s="42" t="e">
        <f t="shared" si="25"/>
        <v>#DIV/0!</v>
      </c>
      <c r="M60" s="45">
        <f t="shared" si="26"/>
        <v>32142500</v>
      </c>
      <c r="N60" s="18">
        <f>D60*'SUMMARY 2'!$I$29*'SUMMARY 2'!$I$28</f>
        <v>0</v>
      </c>
      <c r="O60" s="41" t="s">
        <v>307</v>
      </c>
      <c r="P60" s="41" t="s">
        <v>151</v>
      </c>
      <c r="Q60" s="41" t="str">
        <f t="shared" si="27"/>
        <v xml:space="preserve"> DT HINO G 371</v>
      </c>
    </row>
    <row r="61" spans="2:17" x14ac:dyDescent="0.3">
      <c r="B61" s="41">
        <v>54</v>
      </c>
      <c r="C61" s="41" t="s">
        <v>404</v>
      </c>
      <c r="D61" s="42">
        <v>0</v>
      </c>
      <c r="E61" s="42">
        <v>0</v>
      </c>
      <c r="F61" s="49">
        <f>VLOOKUP(P61,'list rate unit'!$B$3:$K$40,10,FALSE)</f>
        <v>500000</v>
      </c>
      <c r="G61" s="44">
        <f t="shared" si="21"/>
        <v>0</v>
      </c>
      <c r="H61" s="42">
        <v>3296</v>
      </c>
      <c r="I61" s="44">
        <f t="shared" si="22"/>
        <v>37904000</v>
      </c>
      <c r="J61" s="42">
        <f t="shared" si="23"/>
        <v>0</v>
      </c>
      <c r="K61" s="42">
        <f t="shared" si="24"/>
        <v>0</v>
      </c>
      <c r="L61" s="42" t="e">
        <f t="shared" si="25"/>
        <v>#DIV/0!</v>
      </c>
      <c r="M61" s="45">
        <f t="shared" si="26"/>
        <v>37904000</v>
      </c>
      <c r="N61" s="18">
        <f>D61*'SUMMARY 2'!$I$29*'SUMMARY 2'!$I$28</f>
        <v>0</v>
      </c>
      <c r="O61" s="41" t="s">
        <v>307</v>
      </c>
      <c r="P61" s="41" t="s">
        <v>151</v>
      </c>
      <c r="Q61" s="41" t="str">
        <f t="shared" si="27"/>
        <v xml:space="preserve"> DT HINO G 372</v>
      </c>
    </row>
    <row r="62" spans="2:17" x14ac:dyDescent="0.3">
      <c r="B62" s="41">
        <v>55</v>
      </c>
      <c r="C62" s="41" t="s">
        <v>329</v>
      </c>
      <c r="D62" s="42">
        <v>0</v>
      </c>
      <c r="E62" s="42">
        <v>0</v>
      </c>
      <c r="F62" s="49">
        <f>VLOOKUP(P62,'list rate unit'!$B$3:$K$40,10,FALSE)</f>
        <v>500000</v>
      </c>
      <c r="G62" s="44">
        <f t="shared" si="21"/>
        <v>0</v>
      </c>
      <c r="H62" s="42">
        <v>3239</v>
      </c>
      <c r="I62" s="44">
        <f t="shared" si="22"/>
        <v>37248500</v>
      </c>
      <c r="J62" s="42">
        <f t="shared" si="23"/>
        <v>0</v>
      </c>
      <c r="K62" s="42">
        <f t="shared" si="24"/>
        <v>0</v>
      </c>
      <c r="L62" s="42" t="e">
        <f t="shared" si="25"/>
        <v>#DIV/0!</v>
      </c>
      <c r="M62" s="45">
        <f t="shared" si="26"/>
        <v>37248500</v>
      </c>
      <c r="N62" s="18">
        <f>D62*'SUMMARY 2'!$I$29*'SUMMARY 2'!$I$28</f>
        <v>0</v>
      </c>
      <c r="O62" s="41" t="s">
        <v>307</v>
      </c>
      <c r="P62" s="41" t="s">
        <v>151</v>
      </c>
      <c r="Q62" s="41" t="str">
        <f t="shared" si="27"/>
        <v xml:space="preserve"> DT HINO G 373</v>
      </c>
    </row>
    <row r="63" spans="2:17" x14ac:dyDescent="0.3">
      <c r="B63" s="41">
        <v>56</v>
      </c>
      <c r="C63" s="41" t="s">
        <v>330</v>
      </c>
      <c r="D63" s="42">
        <v>0</v>
      </c>
      <c r="E63" s="42">
        <v>0</v>
      </c>
      <c r="F63" s="49">
        <f>VLOOKUP(P63,'list rate unit'!$B$3:$K$40,10,FALSE)</f>
        <v>500000</v>
      </c>
      <c r="G63" s="44">
        <f t="shared" si="21"/>
        <v>0</v>
      </c>
      <c r="H63" s="42">
        <v>3257</v>
      </c>
      <c r="I63" s="44">
        <f t="shared" si="22"/>
        <v>37455500</v>
      </c>
      <c r="J63" s="42">
        <f t="shared" si="23"/>
        <v>0</v>
      </c>
      <c r="K63" s="42">
        <f t="shared" si="24"/>
        <v>0</v>
      </c>
      <c r="L63" s="42" t="e">
        <f t="shared" si="25"/>
        <v>#DIV/0!</v>
      </c>
      <c r="M63" s="45">
        <f t="shared" si="26"/>
        <v>37455500</v>
      </c>
      <c r="N63" s="18">
        <f>D63*'SUMMARY 2'!$I$29*'SUMMARY 2'!$I$28</f>
        <v>0</v>
      </c>
      <c r="O63" s="41" t="s">
        <v>307</v>
      </c>
      <c r="P63" s="41" t="s">
        <v>151</v>
      </c>
      <c r="Q63" s="41" t="str">
        <f t="shared" si="27"/>
        <v xml:space="preserve"> DT HINO G 374</v>
      </c>
    </row>
    <row r="64" spans="2:17" x14ac:dyDescent="0.3">
      <c r="B64" s="41">
        <v>57</v>
      </c>
      <c r="C64" s="41" t="s">
        <v>331</v>
      </c>
      <c r="D64" s="42">
        <v>0</v>
      </c>
      <c r="E64" s="42">
        <v>0</v>
      </c>
      <c r="F64" s="49">
        <f>VLOOKUP(P64,'list rate unit'!$B$3:$K$40,10,FALSE)</f>
        <v>500000</v>
      </c>
      <c r="G64" s="44">
        <f t="shared" si="21"/>
        <v>0</v>
      </c>
      <c r="H64" s="42">
        <v>2509</v>
      </c>
      <c r="I64" s="44">
        <f t="shared" si="22"/>
        <v>28853500</v>
      </c>
      <c r="J64" s="42">
        <f t="shared" si="23"/>
        <v>0</v>
      </c>
      <c r="K64" s="42">
        <f t="shared" si="24"/>
        <v>0</v>
      </c>
      <c r="L64" s="42" t="e">
        <f t="shared" si="25"/>
        <v>#DIV/0!</v>
      </c>
      <c r="M64" s="45">
        <f t="shared" si="26"/>
        <v>28853500</v>
      </c>
      <c r="N64" s="18">
        <f>D64*'SUMMARY 2'!$I$29*'SUMMARY 2'!$I$28</f>
        <v>0</v>
      </c>
      <c r="O64" s="41" t="s">
        <v>307</v>
      </c>
      <c r="P64" s="41" t="s">
        <v>151</v>
      </c>
      <c r="Q64" s="41" t="str">
        <f t="shared" si="27"/>
        <v xml:space="preserve"> DT HINO G 375</v>
      </c>
    </row>
    <row r="65" spans="2:17" x14ac:dyDescent="0.3">
      <c r="B65" s="41">
        <v>58</v>
      </c>
      <c r="C65" s="41" t="s">
        <v>332</v>
      </c>
      <c r="D65" s="42">
        <v>0</v>
      </c>
      <c r="E65" s="42">
        <v>0</v>
      </c>
      <c r="F65" s="49">
        <f>VLOOKUP(P65,'list rate unit'!$B$3:$K$40,10,FALSE)</f>
        <v>500000</v>
      </c>
      <c r="G65" s="44">
        <f t="shared" si="21"/>
        <v>0</v>
      </c>
      <c r="H65" s="42">
        <v>2861</v>
      </c>
      <c r="I65" s="44">
        <f t="shared" si="22"/>
        <v>32901500</v>
      </c>
      <c r="J65" s="42">
        <f t="shared" si="23"/>
        <v>0</v>
      </c>
      <c r="K65" s="42">
        <f t="shared" si="24"/>
        <v>0</v>
      </c>
      <c r="L65" s="42" t="e">
        <f t="shared" si="25"/>
        <v>#DIV/0!</v>
      </c>
      <c r="M65" s="45">
        <f t="shared" si="26"/>
        <v>32901500</v>
      </c>
      <c r="N65" s="18">
        <f>D65*'SUMMARY 2'!$I$29*'SUMMARY 2'!$I$28</f>
        <v>0</v>
      </c>
      <c r="O65" s="41" t="s">
        <v>307</v>
      </c>
      <c r="P65" s="41" t="s">
        <v>151</v>
      </c>
      <c r="Q65" s="41" t="str">
        <f t="shared" si="27"/>
        <v xml:space="preserve"> DT HINO G 376</v>
      </c>
    </row>
    <row r="66" spans="2:17" x14ac:dyDescent="0.3">
      <c r="B66" s="41">
        <v>59</v>
      </c>
      <c r="C66" s="41" t="s">
        <v>333</v>
      </c>
      <c r="D66" s="42">
        <v>0</v>
      </c>
      <c r="E66" s="42">
        <v>0</v>
      </c>
      <c r="F66" s="49">
        <f>VLOOKUP(P66,'list rate unit'!$B$3:$K$40,10,FALSE)</f>
        <v>500000</v>
      </c>
      <c r="G66" s="44">
        <f t="shared" si="21"/>
        <v>0</v>
      </c>
      <c r="H66" s="42">
        <v>3824</v>
      </c>
      <c r="I66" s="44">
        <f t="shared" si="22"/>
        <v>43976000</v>
      </c>
      <c r="J66" s="42">
        <f t="shared" si="23"/>
        <v>0</v>
      </c>
      <c r="K66" s="42">
        <f t="shared" si="24"/>
        <v>0</v>
      </c>
      <c r="L66" s="42" t="e">
        <f t="shared" si="25"/>
        <v>#DIV/0!</v>
      </c>
      <c r="M66" s="45">
        <f t="shared" si="26"/>
        <v>43976000</v>
      </c>
      <c r="N66" s="18">
        <f>D66*'SUMMARY 2'!$I$29*'SUMMARY 2'!$I$28</f>
        <v>0</v>
      </c>
      <c r="O66" s="41" t="s">
        <v>307</v>
      </c>
      <c r="P66" s="41" t="s">
        <v>151</v>
      </c>
      <c r="Q66" s="41" t="str">
        <f t="shared" si="27"/>
        <v xml:space="preserve"> DT HINO G 377</v>
      </c>
    </row>
    <row r="67" spans="2:17" x14ac:dyDescent="0.3">
      <c r="B67" s="41">
        <v>60</v>
      </c>
      <c r="C67" s="41" t="s">
        <v>379</v>
      </c>
      <c r="D67" s="42">
        <v>0</v>
      </c>
      <c r="E67" s="42">
        <v>0</v>
      </c>
      <c r="F67" s="49">
        <f>VLOOKUP(P67,'list rate unit'!$B$3:$K$40,10,FALSE)</f>
        <v>500000</v>
      </c>
      <c r="G67" s="44">
        <f t="shared" si="21"/>
        <v>0</v>
      </c>
      <c r="H67" s="42">
        <v>3172</v>
      </c>
      <c r="I67" s="44">
        <f t="shared" si="22"/>
        <v>36478000</v>
      </c>
      <c r="J67" s="42">
        <f t="shared" si="23"/>
        <v>0</v>
      </c>
      <c r="K67" s="42">
        <f t="shared" si="24"/>
        <v>0</v>
      </c>
      <c r="L67" s="42" t="e">
        <f t="shared" si="25"/>
        <v>#DIV/0!</v>
      </c>
      <c r="M67" s="45">
        <f t="shared" si="26"/>
        <v>36478000</v>
      </c>
      <c r="N67" s="18">
        <f>D67*'SUMMARY 2'!$I$29*'SUMMARY 2'!$I$28</f>
        <v>0</v>
      </c>
      <c r="O67" s="41" t="s">
        <v>307</v>
      </c>
      <c r="P67" s="41" t="s">
        <v>151</v>
      </c>
      <c r="Q67" s="41" t="str">
        <f t="shared" si="27"/>
        <v xml:space="preserve"> DT HINO G 378</v>
      </c>
    </row>
    <row r="68" spans="2:17" x14ac:dyDescent="0.3">
      <c r="B68" s="41">
        <v>61</v>
      </c>
      <c r="C68" s="41" t="s">
        <v>405</v>
      </c>
      <c r="D68" s="42">
        <v>0</v>
      </c>
      <c r="E68" s="42">
        <v>0</v>
      </c>
      <c r="F68" s="49">
        <f>VLOOKUP(P68,'list rate unit'!$B$3:$K$40,10,FALSE)</f>
        <v>500000</v>
      </c>
      <c r="G68" s="44">
        <f t="shared" ref="G68:G70" si="28">IF(D68=0,0,F68*$C$88)</f>
        <v>0</v>
      </c>
      <c r="H68" s="42">
        <v>4501</v>
      </c>
      <c r="I68" s="44">
        <f t="shared" ref="I68:I70" si="29">H68*$C$87</f>
        <v>51761500</v>
      </c>
      <c r="J68" s="42">
        <f t="shared" ref="J68:J70" si="30">IFERROR(H68/D68,0)</f>
        <v>0</v>
      </c>
      <c r="K68" s="42">
        <f t="shared" ref="K68:K70" si="31">IFERROR(D68/E68,0)</f>
        <v>0</v>
      </c>
      <c r="L68" s="42" t="e">
        <f t="shared" ref="L68:L70" si="32">H68/E68</f>
        <v>#DIV/0!</v>
      </c>
      <c r="M68" s="45">
        <f t="shared" ref="M68:M70" si="33">G68+I68</f>
        <v>51761500</v>
      </c>
      <c r="N68" s="18">
        <f>D68*'SUMMARY 2'!$I$29*'SUMMARY 2'!$I$28</f>
        <v>0</v>
      </c>
      <c r="O68" s="41" t="s">
        <v>307</v>
      </c>
      <c r="P68" s="41" t="s">
        <v>151</v>
      </c>
      <c r="Q68" s="41" t="str">
        <f t="shared" ref="Q68:Q70" si="34">C68</f>
        <v xml:space="preserve"> DT HINO G 379</v>
      </c>
    </row>
    <row r="69" spans="2:17" x14ac:dyDescent="0.3">
      <c r="B69" s="41">
        <v>62</v>
      </c>
      <c r="C69" s="41" t="s">
        <v>380</v>
      </c>
      <c r="D69" s="42">
        <v>0</v>
      </c>
      <c r="E69" s="42">
        <v>0</v>
      </c>
      <c r="F69" s="49">
        <f>VLOOKUP(P69,'list rate unit'!$B$3:$K$40,10,FALSE)</f>
        <v>500000</v>
      </c>
      <c r="G69" s="44">
        <f t="shared" si="28"/>
        <v>0</v>
      </c>
      <c r="H69" s="42">
        <v>4263</v>
      </c>
      <c r="I69" s="44">
        <f t="shared" si="29"/>
        <v>49024500</v>
      </c>
      <c r="J69" s="42">
        <f t="shared" si="30"/>
        <v>0</v>
      </c>
      <c r="K69" s="42">
        <f t="shared" si="31"/>
        <v>0</v>
      </c>
      <c r="L69" s="42" t="e">
        <f t="shared" si="32"/>
        <v>#DIV/0!</v>
      </c>
      <c r="M69" s="45">
        <f t="shared" si="33"/>
        <v>49024500</v>
      </c>
      <c r="N69" s="18">
        <f>D69*'SUMMARY 2'!$I$29*'SUMMARY 2'!$I$28</f>
        <v>0</v>
      </c>
      <c r="O69" s="41" t="s">
        <v>307</v>
      </c>
      <c r="P69" s="41" t="s">
        <v>151</v>
      </c>
      <c r="Q69" s="41" t="str">
        <f t="shared" si="34"/>
        <v xml:space="preserve"> DT HINO G 380</v>
      </c>
    </row>
    <row r="70" spans="2:17" x14ac:dyDescent="0.3">
      <c r="B70" s="41">
        <v>63</v>
      </c>
      <c r="C70" s="41" t="s">
        <v>381</v>
      </c>
      <c r="D70" s="42">
        <v>0</v>
      </c>
      <c r="E70" s="42">
        <v>0</v>
      </c>
      <c r="F70" s="49">
        <f>VLOOKUP(P70,'list rate unit'!$B$3:$K$40,10,FALSE)</f>
        <v>500000</v>
      </c>
      <c r="G70" s="44">
        <f t="shared" si="28"/>
        <v>0</v>
      </c>
      <c r="H70" s="42">
        <v>2484</v>
      </c>
      <c r="I70" s="44">
        <f t="shared" si="29"/>
        <v>28566000</v>
      </c>
      <c r="J70" s="42">
        <f t="shared" si="30"/>
        <v>0</v>
      </c>
      <c r="K70" s="42">
        <f t="shared" si="31"/>
        <v>0</v>
      </c>
      <c r="L70" s="42" t="e">
        <f t="shared" si="32"/>
        <v>#DIV/0!</v>
      </c>
      <c r="M70" s="45">
        <f t="shared" si="33"/>
        <v>28566000</v>
      </c>
      <c r="N70" s="18">
        <f>D70*'SUMMARY 2'!$I$29*'SUMMARY 2'!$I$28</f>
        <v>0</v>
      </c>
      <c r="O70" s="41" t="s">
        <v>307</v>
      </c>
      <c r="P70" s="41" t="s">
        <v>151</v>
      </c>
      <c r="Q70" s="41" t="str">
        <f t="shared" si="34"/>
        <v xml:space="preserve"> DT HINO G 381</v>
      </c>
    </row>
    <row r="71" spans="2:17" x14ac:dyDescent="0.3">
      <c r="B71" s="41">
        <v>64</v>
      </c>
      <c r="C71" s="41" t="s">
        <v>382</v>
      </c>
      <c r="D71" s="42">
        <v>0</v>
      </c>
      <c r="E71" s="42">
        <v>0</v>
      </c>
      <c r="F71" s="49">
        <f>VLOOKUP(P71,'list rate unit'!$B$3:$K$40,10,FALSE)</f>
        <v>500000</v>
      </c>
      <c r="G71" s="44">
        <f t="shared" si="21"/>
        <v>0</v>
      </c>
      <c r="H71" s="42">
        <v>3055</v>
      </c>
      <c r="I71" s="44">
        <f t="shared" si="22"/>
        <v>35132500</v>
      </c>
      <c r="J71" s="42">
        <f t="shared" si="23"/>
        <v>0</v>
      </c>
      <c r="K71" s="42">
        <f t="shared" si="24"/>
        <v>0</v>
      </c>
      <c r="L71" s="42" t="e">
        <f t="shared" si="25"/>
        <v>#DIV/0!</v>
      </c>
      <c r="M71" s="45">
        <f t="shared" si="26"/>
        <v>35132500</v>
      </c>
      <c r="N71" s="18">
        <f>D71*'SUMMARY 2'!$I$29*'SUMMARY 2'!$I$28</f>
        <v>0</v>
      </c>
      <c r="O71" s="41" t="s">
        <v>307</v>
      </c>
      <c r="P71" s="41" t="s">
        <v>151</v>
      </c>
      <c r="Q71" s="41" t="str">
        <f t="shared" si="27"/>
        <v xml:space="preserve"> DT HINO G 383</v>
      </c>
    </row>
    <row r="72" spans="2:17" x14ac:dyDescent="0.3">
      <c r="B72" s="41">
        <v>65</v>
      </c>
      <c r="C72" s="41" t="s">
        <v>383</v>
      </c>
      <c r="D72" s="42">
        <v>0</v>
      </c>
      <c r="E72" s="42">
        <v>0</v>
      </c>
      <c r="F72" s="49">
        <f>VLOOKUP(P72,'list rate unit'!$B$3:$K$40,10,FALSE)</f>
        <v>500000</v>
      </c>
      <c r="G72" s="44">
        <f t="shared" si="21"/>
        <v>0</v>
      </c>
      <c r="H72" s="42">
        <v>4716</v>
      </c>
      <c r="I72" s="44">
        <f t="shared" si="22"/>
        <v>54234000</v>
      </c>
      <c r="J72" s="42">
        <f t="shared" si="23"/>
        <v>0</v>
      </c>
      <c r="K72" s="42">
        <f t="shared" si="24"/>
        <v>0</v>
      </c>
      <c r="L72" s="42" t="e">
        <f t="shared" si="25"/>
        <v>#DIV/0!</v>
      </c>
      <c r="M72" s="45">
        <f t="shared" si="26"/>
        <v>54234000</v>
      </c>
      <c r="N72" s="18">
        <f>D72*'SUMMARY 2'!$I$29*'SUMMARY 2'!$I$28</f>
        <v>0</v>
      </c>
      <c r="O72" s="41" t="s">
        <v>307</v>
      </c>
      <c r="P72" s="41" t="s">
        <v>151</v>
      </c>
      <c r="Q72" s="41" t="str">
        <f t="shared" si="27"/>
        <v xml:space="preserve"> DT HINO G 385</v>
      </c>
    </row>
    <row r="73" spans="2:17" x14ac:dyDescent="0.3">
      <c r="B73" s="41">
        <v>66</v>
      </c>
      <c r="C73" s="41" t="s">
        <v>384</v>
      </c>
      <c r="D73" s="42">
        <v>0</v>
      </c>
      <c r="E73" s="42">
        <v>0</v>
      </c>
      <c r="F73" s="49">
        <f>VLOOKUP(P73,'list rate unit'!$B$3:$K$40,10,FALSE)</f>
        <v>500000</v>
      </c>
      <c r="G73" s="44">
        <f t="shared" si="21"/>
        <v>0</v>
      </c>
      <c r="H73" s="42">
        <v>3851</v>
      </c>
      <c r="I73" s="44">
        <f t="shared" si="22"/>
        <v>44286500</v>
      </c>
      <c r="J73" s="42">
        <f t="shared" si="23"/>
        <v>0</v>
      </c>
      <c r="K73" s="42">
        <f t="shared" si="24"/>
        <v>0</v>
      </c>
      <c r="L73" s="42" t="e">
        <f t="shared" si="25"/>
        <v>#DIV/0!</v>
      </c>
      <c r="M73" s="45">
        <f t="shared" si="26"/>
        <v>44286500</v>
      </c>
      <c r="N73" s="18">
        <f>D73*'SUMMARY 2'!$I$29*'SUMMARY 2'!$I$28</f>
        <v>0</v>
      </c>
      <c r="O73" s="41" t="s">
        <v>307</v>
      </c>
      <c r="P73" s="41" t="s">
        <v>151</v>
      </c>
      <c r="Q73" s="41" t="str">
        <f t="shared" si="27"/>
        <v xml:space="preserve"> DT HINO G 386</v>
      </c>
    </row>
    <row r="74" spans="2:17" x14ac:dyDescent="0.3">
      <c r="B74" s="41">
        <v>67</v>
      </c>
      <c r="C74" s="41" t="s">
        <v>385</v>
      </c>
      <c r="D74" s="42">
        <v>0</v>
      </c>
      <c r="E74" s="42">
        <v>0</v>
      </c>
      <c r="F74" s="49">
        <f>VLOOKUP(P74,'list rate unit'!$B$3:$K$40,10,FALSE)</f>
        <v>500000</v>
      </c>
      <c r="G74" s="44">
        <f t="shared" ref="G74:G81" si="35">IF(D74=0,0,F74*$C$88)</f>
        <v>0</v>
      </c>
      <c r="H74" s="42">
        <v>3455</v>
      </c>
      <c r="I74" s="44">
        <f t="shared" ref="I74:I81" si="36">H74*$C$87</f>
        <v>39732500</v>
      </c>
      <c r="J74" s="42">
        <f t="shared" si="16"/>
        <v>0</v>
      </c>
      <c r="K74" s="42">
        <f t="shared" si="17"/>
        <v>0</v>
      </c>
      <c r="L74" s="42" t="e">
        <f t="shared" si="18"/>
        <v>#DIV/0!</v>
      </c>
      <c r="M74" s="45">
        <f t="shared" si="19"/>
        <v>39732500</v>
      </c>
      <c r="N74" s="18">
        <f>D74*'SUMMARY 2'!$I$29*'SUMMARY 2'!$I$28</f>
        <v>0</v>
      </c>
      <c r="O74" s="41" t="s">
        <v>307</v>
      </c>
      <c r="P74" s="41" t="s">
        <v>151</v>
      </c>
      <c r="Q74" s="41" t="str">
        <f t="shared" si="20"/>
        <v xml:space="preserve"> DT HINO G 387</v>
      </c>
    </row>
    <row r="75" spans="2:17" x14ac:dyDescent="0.3">
      <c r="B75" s="41">
        <v>68</v>
      </c>
      <c r="C75" s="41" t="s">
        <v>386</v>
      </c>
      <c r="D75" s="42">
        <v>0</v>
      </c>
      <c r="E75" s="42">
        <v>0</v>
      </c>
      <c r="F75" s="49">
        <f>VLOOKUP(P75,'list rate unit'!$B$3:$K$40,10,FALSE)</f>
        <v>500000</v>
      </c>
      <c r="G75" s="44">
        <f t="shared" si="35"/>
        <v>0</v>
      </c>
      <c r="H75" s="42">
        <v>3739</v>
      </c>
      <c r="I75" s="44">
        <f t="shared" si="36"/>
        <v>42998500</v>
      </c>
      <c r="J75" s="42">
        <f t="shared" si="16"/>
        <v>0</v>
      </c>
      <c r="K75" s="42">
        <f t="shared" si="17"/>
        <v>0</v>
      </c>
      <c r="L75" s="42" t="e">
        <f t="shared" si="18"/>
        <v>#DIV/0!</v>
      </c>
      <c r="M75" s="45">
        <f t="shared" si="19"/>
        <v>42998500</v>
      </c>
      <c r="N75" s="18">
        <f>D75*'SUMMARY 2'!$I$29*'SUMMARY 2'!$I$28</f>
        <v>0</v>
      </c>
      <c r="O75" s="41" t="s">
        <v>307</v>
      </c>
      <c r="P75" s="41" t="s">
        <v>151</v>
      </c>
      <c r="Q75" s="41" t="str">
        <f t="shared" si="20"/>
        <v xml:space="preserve"> DT HINO G 388</v>
      </c>
    </row>
    <row r="76" spans="2:17" x14ac:dyDescent="0.3">
      <c r="B76" s="41">
        <v>69</v>
      </c>
      <c r="C76" s="41" t="s">
        <v>387</v>
      </c>
      <c r="D76" s="42">
        <v>0</v>
      </c>
      <c r="E76" s="42">
        <v>0</v>
      </c>
      <c r="F76" s="49">
        <f>VLOOKUP(P76,'list rate unit'!$B$3:$K$40,10,FALSE)</f>
        <v>500000</v>
      </c>
      <c r="G76" s="44">
        <f t="shared" si="35"/>
        <v>0</v>
      </c>
      <c r="H76" s="42">
        <v>3786</v>
      </c>
      <c r="I76" s="44">
        <f t="shared" si="36"/>
        <v>43539000</v>
      </c>
      <c r="J76" s="42">
        <f t="shared" si="16"/>
        <v>0</v>
      </c>
      <c r="K76" s="42">
        <f t="shared" si="17"/>
        <v>0</v>
      </c>
      <c r="L76" s="42" t="e">
        <f t="shared" si="18"/>
        <v>#DIV/0!</v>
      </c>
      <c r="M76" s="45">
        <f t="shared" si="19"/>
        <v>43539000</v>
      </c>
      <c r="N76" s="18">
        <f>D76*'SUMMARY 2'!$I$29*'SUMMARY 2'!$I$28</f>
        <v>0</v>
      </c>
      <c r="O76" s="41" t="s">
        <v>307</v>
      </c>
      <c r="P76" s="41" t="s">
        <v>151</v>
      </c>
      <c r="Q76" s="41" t="str">
        <f t="shared" si="20"/>
        <v xml:space="preserve"> DT HINO G 389</v>
      </c>
    </row>
    <row r="77" spans="2:17" x14ac:dyDescent="0.3">
      <c r="B77" s="41">
        <v>70</v>
      </c>
      <c r="C77" s="41" t="s">
        <v>388</v>
      </c>
      <c r="D77" s="42">
        <v>0</v>
      </c>
      <c r="E77" s="42">
        <v>0</v>
      </c>
      <c r="F77" s="49">
        <f>VLOOKUP(P77,'list rate unit'!$B$3:$K$40,10,FALSE)</f>
        <v>500000</v>
      </c>
      <c r="G77" s="44">
        <f t="shared" si="35"/>
        <v>0</v>
      </c>
      <c r="H77" s="42">
        <v>3414</v>
      </c>
      <c r="I77" s="44">
        <f t="shared" si="36"/>
        <v>39261000</v>
      </c>
      <c r="J77" s="42">
        <f t="shared" si="16"/>
        <v>0</v>
      </c>
      <c r="K77" s="42">
        <f t="shared" si="17"/>
        <v>0</v>
      </c>
      <c r="L77" s="42" t="e">
        <f t="shared" si="18"/>
        <v>#DIV/0!</v>
      </c>
      <c r="M77" s="45">
        <f t="shared" si="19"/>
        <v>39261000</v>
      </c>
      <c r="N77" s="18">
        <f>D77*'SUMMARY 2'!$I$29*'SUMMARY 2'!$I$28</f>
        <v>0</v>
      </c>
      <c r="O77" s="41" t="s">
        <v>307</v>
      </c>
      <c r="P77" s="41" t="s">
        <v>151</v>
      </c>
      <c r="Q77" s="41" t="str">
        <f t="shared" si="20"/>
        <v xml:space="preserve"> DT HINO G 390</v>
      </c>
    </row>
    <row r="78" spans="2:17" x14ac:dyDescent="0.3">
      <c r="B78" s="41">
        <v>71</v>
      </c>
      <c r="C78" s="41" t="s">
        <v>389</v>
      </c>
      <c r="D78" s="42">
        <v>0</v>
      </c>
      <c r="E78" s="42">
        <v>0</v>
      </c>
      <c r="F78" s="49">
        <f>VLOOKUP(P78,'list rate unit'!$B$3:$K$40,10,FALSE)</f>
        <v>500000</v>
      </c>
      <c r="G78" s="44">
        <f t="shared" si="35"/>
        <v>0</v>
      </c>
      <c r="H78" s="42">
        <v>4173</v>
      </c>
      <c r="I78" s="44">
        <f t="shared" si="36"/>
        <v>47989500</v>
      </c>
      <c r="J78" s="42">
        <f t="shared" si="16"/>
        <v>0</v>
      </c>
      <c r="K78" s="42">
        <f t="shared" si="17"/>
        <v>0</v>
      </c>
      <c r="L78" s="42" t="e">
        <f t="shared" si="18"/>
        <v>#DIV/0!</v>
      </c>
      <c r="M78" s="45">
        <f t="shared" si="19"/>
        <v>47989500</v>
      </c>
      <c r="N78" s="18">
        <f>D78*'SUMMARY 2'!$I$29*'SUMMARY 2'!$I$28</f>
        <v>0</v>
      </c>
      <c r="O78" s="41" t="s">
        <v>307</v>
      </c>
      <c r="P78" s="41" t="s">
        <v>151</v>
      </c>
      <c r="Q78" s="41" t="str">
        <f t="shared" si="20"/>
        <v xml:space="preserve"> DT HINO G 391</v>
      </c>
    </row>
    <row r="79" spans="2:17" x14ac:dyDescent="0.3">
      <c r="B79" s="41">
        <v>72</v>
      </c>
      <c r="C79" s="41" t="s">
        <v>390</v>
      </c>
      <c r="D79" s="42">
        <v>0</v>
      </c>
      <c r="E79" s="42">
        <v>0</v>
      </c>
      <c r="F79" s="49">
        <f>VLOOKUP(P79,'list rate unit'!$B$3:$K$40,10,FALSE)</f>
        <v>500000</v>
      </c>
      <c r="G79" s="44">
        <f t="shared" si="35"/>
        <v>0</v>
      </c>
      <c r="H79" s="42">
        <v>3916</v>
      </c>
      <c r="I79" s="44">
        <f t="shared" si="36"/>
        <v>45034000</v>
      </c>
      <c r="J79" s="42">
        <f t="shared" si="16"/>
        <v>0</v>
      </c>
      <c r="K79" s="42">
        <f t="shared" si="17"/>
        <v>0</v>
      </c>
      <c r="L79" s="42" t="e">
        <f t="shared" si="18"/>
        <v>#DIV/0!</v>
      </c>
      <c r="M79" s="45">
        <f t="shared" si="19"/>
        <v>45034000</v>
      </c>
      <c r="N79" s="18">
        <f>D79*'SUMMARY 2'!$I$29*'SUMMARY 2'!$I$28</f>
        <v>0</v>
      </c>
      <c r="O79" s="41" t="s">
        <v>307</v>
      </c>
      <c r="P79" s="41" t="s">
        <v>151</v>
      </c>
      <c r="Q79" s="41" t="str">
        <f t="shared" si="20"/>
        <v xml:space="preserve"> DT HINO G 392</v>
      </c>
    </row>
    <row r="80" spans="2:17" x14ac:dyDescent="0.3">
      <c r="B80" s="41">
        <v>73</v>
      </c>
      <c r="C80" s="41" t="s">
        <v>391</v>
      </c>
      <c r="D80" s="42">
        <v>0</v>
      </c>
      <c r="E80" s="42">
        <v>0</v>
      </c>
      <c r="F80" s="49">
        <f>VLOOKUP(P80,'list rate unit'!$B$3:$K$40,10,FALSE)</f>
        <v>500000</v>
      </c>
      <c r="G80" s="44">
        <f t="shared" si="35"/>
        <v>0</v>
      </c>
      <c r="H80" s="42">
        <v>2278</v>
      </c>
      <c r="I80" s="44">
        <f t="shared" si="36"/>
        <v>26197000</v>
      </c>
      <c r="J80" s="42">
        <f t="shared" si="16"/>
        <v>0</v>
      </c>
      <c r="K80" s="42">
        <f t="shared" si="17"/>
        <v>0</v>
      </c>
      <c r="L80" s="42" t="e">
        <f t="shared" si="18"/>
        <v>#DIV/0!</v>
      </c>
      <c r="M80" s="45">
        <f t="shared" si="19"/>
        <v>26197000</v>
      </c>
      <c r="N80" s="18">
        <f>D80*'SUMMARY 2'!$I$29*'SUMMARY 2'!$I$28</f>
        <v>0</v>
      </c>
      <c r="O80" s="41" t="s">
        <v>307</v>
      </c>
      <c r="P80" s="41" t="s">
        <v>151</v>
      </c>
      <c r="Q80" s="41" t="str">
        <f t="shared" si="20"/>
        <v xml:space="preserve"> DT HINO G 393</v>
      </c>
    </row>
    <row r="81" spans="2:17" x14ac:dyDescent="0.3">
      <c r="B81" s="41">
        <v>74</v>
      </c>
      <c r="C81" s="41" t="s">
        <v>418</v>
      </c>
      <c r="D81" s="42">
        <v>0</v>
      </c>
      <c r="E81" s="42">
        <v>0</v>
      </c>
      <c r="F81" s="49">
        <f>VLOOKUP(P81,'list rate unit'!$B$3:$K$40,10,FALSE)</f>
        <v>500000</v>
      </c>
      <c r="G81" s="44">
        <f t="shared" si="35"/>
        <v>0</v>
      </c>
      <c r="H81" s="42">
        <v>2985</v>
      </c>
      <c r="I81" s="44">
        <f t="shared" si="36"/>
        <v>34327500</v>
      </c>
      <c r="J81" s="42">
        <f t="shared" si="16"/>
        <v>0</v>
      </c>
      <c r="K81" s="42">
        <f t="shared" si="17"/>
        <v>0</v>
      </c>
      <c r="L81" s="42" t="e">
        <f t="shared" si="18"/>
        <v>#DIV/0!</v>
      </c>
      <c r="M81" s="45">
        <f t="shared" si="19"/>
        <v>34327500</v>
      </c>
      <c r="N81" s="18">
        <f>D81*'SUMMARY 2'!$I$29*'SUMMARY 2'!$I$28</f>
        <v>0</v>
      </c>
      <c r="O81" s="41" t="s">
        <v>307</v>
      </c>
      <c r="P81" s="41" t="s">
        <v>151</v>
      </c>
      <c r="Q81" s="41" t="str">
        <f t="shared" si="20"/>
        <v xml:space="preserve"> DT HINO G 394</v>
      </c>
    </row>
    <row r="82" spans="2:17" x14ac:dyDescent="0.3">
      <c r="D82" s="18"/>
      <c r="E82" s="18"/>
      <c r="H82" s="18"/>
      <c r="I82" s="30"/>
      <c r="J82" s="18"/>
      <c r="K82" s="18"/>
      <c r="L82" s="18"/>
      <c r="M82" s="33"/>
      <c r="N82" s="18"/>
    </row>
    <row r="83" spans="2:17" ht="15.75" customHeight="1" x14ac:dyDescent="0.3">
      <c r="B83" s="203" t="s">
        <v>21</v>
      </c>
      <c r="C83" s="203"/>
      <c r="D83" s="46">
        <f>SUM(D8:D82)</f>
        <v>144973.31999999995</v>
      </c>
      <c r="E83" s="46">
        <f>SUM(E8:E82)</f>
        <v>3160</v>
      </c>
      <c r="F83" s="50"/>
      <c r="G83" s="51">
        <f>SUM(G8:G82)</f>
        <v>3990000000</v>
      </c>
      <c r="H83" s="46">
        <f>SUM(H8:H82)</f>
        <v>193410</v>
      </c>
      <c r="I83" s="47">
        <f>SUM(I8:I82)</f>
        <v>2224215000</v>
      </c>
      <c r="J83" s="46">
        <f>IFERROR(H83/D83,0)</f>
        <v>1.3341075447537525</v>
      </c>
      <c r="K83" s="46">
        <f>IFERROR(D83/E83,0)</f>
        <v>45.877632911392389</v>
      </c>
      <c r="L83" s="46">
        <f>IFERROR(H83/E83,0)</f>
        <v>61.205696202531648</v>
      </c>
      <c r="M83" s="48">
        <f>SUM(M8:M82)</f>
        <v>6214215000</v>
      </c>
      <c r="N83" s="17">
        <f>SUM(N8:N81)</f>
        <v>22601920481.280003</v>
      </c>
    </row>
    <row r="85" spans="2:17" x14ac:dyDescent="0.3">
      <c r="B85" s="28"/>
      <c r="C85" s="15" t="s">
        <v>58</v>
      </c>
      <c r="L85" s="18"/>
      <c r="M85" s="18"/>
      <c r="N85" s="18"/>
    </row>
    <row r="86" spans="2:17" x14ac:dyDescent="0.3">
      <c r="B86" s="35" t="s">
        <v>34</v>
      </c>
      <c r="C86" s="29">
        <f>'REPORT unit OB'!C41</f>
        <v>14848</v>
      </c>
      <c r="D86" s="30"/>
    </row>
    <row r="87" spans="2:17" x14ac:dyDescent="0.3">
      <c r="B87" s="35" t="s">
        <v>35</v>
      </c>
      <c r="C87" s="29">
        <f>'SUMMARY 2'!I13</f>
        <v>11500</v>
      </c>
      <c r="D87" s="30"/>
    </row>
    <row r="88" spans="2:17" x14ac:dyDescent="0.3">
      <c r="B88" s="35" t="s">
        <v>50</v>
      </c>
      <c r="C88" s="34">
        <v>210</v>
      </c>
      <c r="D88" s="29" t="s">
        <v>51</v>
      </c>
    </row>
    <row r="89" spans="2:17" x14ac:dyDescent="0.3">
      <c r="D89" s="18"/>
    </row>
    <row r="92" spans="2:17" x14ac:dyDescent="0.3">
      <c r="D92" s="18"/>
    </row>
    <row r="94" spans="2:17" x14ac:dyDescent="0.3">
      <c r="E94" s="18"/>
    </row>
    <row r="95" spans="2:17" x14ac:dyDescent="0.3">
      <c r="E95" s="18"/>
    </row>
    <row r="96" spans="2:17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  <row r="172" spans="5:5" x14ac:dyDescent="0.3">
      <c r="E172" s="18"/>
    </row>
    <row r="173" spans="5:5" x14ac:dyDescent="0.3">
      <c r="E173" s="18"/>
    </row>
    <row r="174" spans="5:5" x14ac:dyDescent="0.3">
      <c r="E174" s="18"/>
    </row>
    <row r="175" spans="5:5" x14ac:dyDescent="0.3">
      <c r="E175" s="18"/>
    </row>
  </sheetData>
  <autoFilter ref="B7:Q81" xr:uid="{00000000-0009-0000-0000-000004000000}">
    <filterColumn colId="14" showButton="0"/>
  </autoFilter>
  <mergeCells count="14">
    <mergeCell ref="B2:C3"/>
    <mergeCell ref="B83:C83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C8:C81">
    <cfRule type="duplicateValues" dxfId="1" priority="51"/>
  </conditionalFormatting>
  <conditionalFormatting sqref="J8:J81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2"/>
  <sheetViews>
    <sheetView workbookViewId="0">
      <pane xSplit="3" ySplit="7" topLeftCell="D20" activePane="bottomRight" state="frozenSplit"/>
      <selection pane="topRight" activeCell="C1" sqref="C1"/>
      <selection pane="bottomLeft" activeCell="A7" sqref="A7"/>
      <selection pane="bottomRight" activeCell="C41" sqref="C41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0" t="s">
        <v>83</v>
      </c>
      <c r="C2" s="200"/>
    </row>
    <row r="3" spans="2:12" x14ac:dyDescent="0.3">
      <c r="B3" s="200"/>
      <c r="C3" s="200"/>
    </row>
    <row r="5" spans="2:12" ht="15" customHeight="1" x14ac:dyDescent="0.3">
      <c r="B5" s="201" t="s">
        <v>1</v>
      </c>
      <c r="C5" s="201" t="s">
        <v>88</v>
      </c>
      <c r="D5" s="201" t="s">
        <v>91</v>
      </c>
      <c r="E5" s="205" t="s">
        <v>37</v>
      </c>
      <c r="F5" s="205"/>
      <c r="G5" s="201" t="s">
        <v>90</v>
      </c>
      <c r="H5" s="202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3">
      <c r="B6" s="201"/>
      <c r="C6" s="201"/>
      <c r="D6" s="201"/>
      <c r="E6" s="39" t="s">
        <v>27</v>
      </c>
      <c r="F6" s="201" t="s">
        <v>28</v>
      </c>
      <c r="G6" s="201"/>
      <c r="H6" s="202"/>
      <c r="I6" s="31"/>
      <c r="J6" s="201"/>
      <c r="K6" s="201"/>
      <c r="L6" s="201"/>
    </row>
    <row r="7" spans="2:12" x14ac:dyDescent="0.3">
      <c r="B7" s="201"/>
      <c r="C7" s="201"/>
      <c r="D7" s="39" t="s">
        <v>45</v>
      </c>
      <c r="E7" s="39" t="s">
        <v>32</v>
      </c>
      <c r="F7" s="201"/>
      <c r="G7" s="39" t="s">
        <v>53</v>
      </c>
      <c r="H7" s="202"/>
      <c r="I7" s="31"/>
      <c r="J7" s="201"/>
      <c r="K7" s="201"/>
      <c r="L7" s="201"/>
    </row>
    <row r="8" spans="2:12" x14ac:dyDescent="0.3">
      <c r="B8" s="41">
        <v>1</v>
      </c>
      <c r="C8" s="41" t="s">
        <v>352</v>
      </c>
      <c r="D8" s="44">
        <f>IFERROR(VLOOKUP(K8,'list rate unit'!$B$6:$K$27,10,FALSE),0)</f>
        <v>8000000</v>
      </c>
      <c r="E8" s="42">
        <v>45</v>
      </c>
      <c r="F8" s="44">
        <f t="shared" ref="F8:F36" si="0">E8*$C$41</f>
        <v>517500</v>
      </c>
      <c r="G8" s="42"/>
      <c r="H8" s="45">
        <f>D8+F8</f>
        <v>8517500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HITAM - 04</v>
      </c>
    </row>
    <row r="9" spans="2:12" x14ac:dyDescent="0.3">
      <c r="B9" s="41">
        <v>2</v>
      </c>
      <c r="C9" s="41" t="s">
        <v>334</v>
      </c>
      <c r="D9" s="44">
        <f>IFERROR(VLOOKUP(K9,'list rate unit'!$B$6:$K$27,10,FALSE),0)</f>
        <v>8000000</v>
      </c>
      <c r="E9" s="42">
        <v>11</v>
      </c>
      <c r="F9" s="44">
        <f t="shared" si="0"/>
        <v>126500</v>
      </c>
      <c r="G9" s="42"/>
      <c r="H9" s="45">
        <f t="shared" ref="H9" si="2">D9+F9</f>
        <v>8126500</v>
      </c>
      <c r="I9" s="18"/>
      <c r="J9" s="41"/>
      <c r="K9" s="41" t="str">
        <f>VLOOKUP(L9,'list rate unit'!O:P,2,FALSE)</f>
        <v>LV</v>
      </c>
      <c r="L9" s="41" t="str">
        <f t="shared" ref="L9:L36" si="3">C9</f>
        <v>LV HILUX HITAM - 05</v>
      </c>
    </row>
    <row r="10" spans="2:12" x14ac:dyDescent="0.3">
      <c r="B10" s="41">
        <v>3</v>
      </c>
      <c r="C10" s="41" t="s">
        <v>267</v>
      </c>
      <c r="D10" s="44">
        <f>IFERROR(VLOOKUP(K10,'list rate unit'!$B$6:$K$27,10,FALSE),0)</f>
        <v>8000000</v>
      </c>
      <c r="E10" s="42">
        <v>308</v>
      </c>
      <c r="F10" s="44">
        <f t="shared" si="0"/>
        <v>3542000</v>
      </c>
      <c r="G10" s="42"/>
      <c r="H10" s="45">
        <f t="shared" ref="H10" si="4">D10+F10</f>
        <v>11542000</v>
      </c>
      <c r="I10" s="18"/>
      <c r="J10" s="41"/>
      <c r="K10" s="41" t="str">
        <f>VLOOKUP(L10,'list rate unit'!O:P,2,FALSE)</f>
        <v>LV</v>
      </c>
      <c r="L10" s="41" t="str">
        <f t="shared" si="3"/>
        <v>LV PAJERO PUTIH - 06</v>
      </c>
    </row>
    <row r="11" spans="2:12" x14ac:dyDescent="0.3">
      <c r="B11" s="41">
        <v>4</v>
      </c>
      <c r="C11" s="41" t="s">
        <v>268</v>
      </c>
      <c r="D11" s="44">
        <f>IFERROR(VLOOKUP(K11,'list rate unit'!$B$6:$K$27,10,FALSE),0)</f>
        <v>8000000</v>
      </c>
      <c r="E11" s="42">
        <v>505</v>
      </c>
      <c r="F11" s="44">
        <f t="shared" si="0"/>
        <v>5807500</v>
      </c>
      <c r="G11" s="42"/>
      <c r="H11" s="45">
        <f t="shared" ref="H11:H14" si="5">D11+F11</f>
        <v>13807500</v>
      </c>
      <c r="I11" s="18"/>
      <c r="J11" s="41"/>
      <c r="K11" s="41" t="str">
        <f>VLOOKUP(L11,'list rate unit'!O:P,2,FALSE)</f>
        <v>LV</v>
      </c>
      <c r="L11" s="41" t="str">
        <f t="shared" si="3"/>
        <v>LV TRITON HITAM - 08</v>
      </c>
    </row>
    <row r="12" spans="2:12" x14ac:dyDescent="0.3">
      <c r="B12" s="41">
        <v>5</v>
      </c>
      <c r="C12" s="41" t="s">
        <v>269</v>
      </c>
      <c r="D12" s="44">
        <f>IFERROR(VLOOKUP(K12,'list rate unit'!$B$6:$K$27,10,FALSE),0)</f>
        <v>8000000</v>
      </c>
      <c r="E12" s="42">
        <v>157</v>
      </c>
      <c r="F12" s="44">
        <f t="shared" si="0"/>
        <v>1805500</v>
      </c>
      <c r="G12" s="42"/>
      <c r="H12" s="45">
        <f t="shared" si="5"/>
        <v>9805500</v>
      </c>
      <c r="I12" s="18"/>
      <c r="J12" s="41"/>
      <c r="K12" s="41" t="str">
        <f>VLOOKUP(L12,'list rate unit'!O:P,2,FALSE)</f>
        <v>LV</v>
      </c>
      <c r="L12" s="41" t="str">
        <f t="shared" si="3"/>
        <v>LV PAJERO PUTIH - 09</v>
      </c>
    </row>
    <row r="13" spans="2:12" x14ac:dyDescent="0.3">
      <c r="B13" s="41">
        <v>6</v>
      </c>
      <c r="C13" s="41" t="s">
        <v>282</v>
      </c>
      <c r="D13" s="44">
        <f>IFERROR(VLOOKUP(K13,'list rate unit'!$B$6:$K$27,10,FALSE),0)</f>
        <v>8000000</v>
      </c>
      <c r="E13" s="42">
        <v>230</v>
      </c>
      <c r="F13" s="44">
        <f t="shared" si="0"/>
        <v>2645000</v>
      </c>
      <c r="G13" s="42"/>
      <c r="H13" s="45">
        <f t="shared" si="5"/>
        <v>10645000</v>
      </c>
      <c r="I13" s="18"/>
      <c r="J13" s="41"/>
      <c r="K13" s="41" t="str">
        <f>VLOOKUP(L13,'list rate unit'!O:P,2,FALSE)</f>
        <v>LV</v>
      </c>
      <c r="L13" s="41" t="str">
        <f t="shared" si="3"/>
        <v>LV HILUX SILVER - 10</v>
      </c>
    </row>
    <row r="14" spans="2:12" x14ac:dyDescent="0.3">
      <c r="B14" s="41">
        <v>7</v>
      </c>
      <c r="C14" s="41" t="s">
        <v>335</v>
      </c>
      <c r="D14" s="44">
        <f>IFERROR(VLOOKUP(K14,'list rate unit'!$B$6:$K$27,10,FALSE),0)</f>
        <v>8000000</v>
      </c>
      <c r="E14" s="42">
        <v>122</v>
      </c>
      <c r="F14" s="44">
        <f t="shared" si="0"/>
        <v>1403000</v>
      </c>
      <c r="G14" s="42"/>
      <c r="H14" s="45">
        <f t="shared" si="5"/>
        <v>9403000</v>
      </c>
      <c r="I14" s="18"/>
      <c r="J14" s="41"/>
      <c r="K14" s="41" t="str">
        <f>VLOOKUP(L14,'list rate unit'!O:P,2,FALSE)</f>
        <v>LV</v>
      </c>
      <c r="L14" s="41" t="str">
        <f t="shared" si="3"/>
        <v>LV TRITON HITAM - 10</v>
      </c>
    </row>
    <row r="15" spans="2:12" x14ac:dyDescent="0.3">
      <c r="B15" s="41">
        <v>8</v>
      </c>
      <c r="C15" s="41" t="s">
        <v>265</v>
      </c>
      <c r="D15" s="44">
        <f>IFERROR(VLOOKUP(K15,'list rate unit'!$B$6:$K$27,10,FALSE),0)</f>
        <v>8000000</v>
      </c>
      <c r="E15" s="42">
        <v>350</v>
      </c>
      <c r="F15" s="44">
        <f t="shared" si="0"/>
        <v>4025000</v>
      </c>
      <c r="G15" s="42"/>
      <c r="H15" s="45">
        <f t="shared" ref="H15:H36" si="6">D15+F15</f>
        <v>12025000</v>
      </c>
      <c r="I15" s="18"/>
      <c r="J15" s="41"/>
      <c r="K15" s="41" t="str">
        <f>VLOOKUP(L15,'list rate unit'!O:P,2,FALSE)</f>
        <v>LV</v>
      </c>
      <c r="L15" s="41" t="str">
        <f t="shared" si="3"/>
        <v>LV TRITON PUTIH - 11</v>
      </c>
    </row>
    <row r="16" spans="2:12" x14ac:dyDescent="0.3">
      <c r="B16" s="41">
        <v>9</v>
      </c>
      <c r="C16" s="41" t="s">
        <v>309</v>
      </c>
      <c r="D16" s="44">
        <f>IFERROR(VLOOKUP(K16,'list rate unit'!$B$6:$K$27,10,FALSE),0)</f>
        <v>8000000</v>
      </c>
      <c r="E16" s="42">
        <v>247</v>
      </c>
      <c r="F16" s="44">
        <f t="shared" si="0"/>
        <v>2840500</v>
      </c>
      <c r="G16" s="42"/>
      <c r="H16" s="45">
        <f t="shared" si="6"/>
        <v>10840500</v>
      </c>
      <c r="I16" s="18"/>
      <c r="J16" s="41"/>
      <c r="K16" s="41" t="str">
        <f>VLOOKUP(L16,'list rate unit'!O:P,2,FALSE)</f>
        <v>LV</v>
      </c>
      <c r="L16" s="41" t="str">
        <f t="shared" si="3"/>
        <v>LV HILUX HITAM - 11</v>
      </c>
    </row>
    <row r="17" spans="2:12" x14ac:dyDescent="0.3">
      <c r="B17" s="41">
        <v>10</v>
      </c>
      <c r="C17" s="41" t="s">
        <v>316</v>
      </c>
      <c r="D17" s="44">
        <f>IFERROR(VLOOKUP(K17,'list rate unit'!$B$6:$K$27,10,FALSE),0)</f>
        <v>8000000</v>
      </c>
      <c r="E17" s="42">
        <v>360</v>
      </c>
      <c r="F17" s="44">
        <f t="shared" si="0"/>
        <v>4140000</v>
      </c>
      <c r="G17" s="42"/>
      <c r="H17" s="45">
        <f t="shared" si="6"/>
        <v>12140000</v>
      </c>
      <c r="I17" s="18"/>
      <c r="J17" s="41"/>
      <c r="K17" s="41" t="str">
        <f>VLOOKUP(L17,'list rate unit'!O:P,2,FALSE)</f>
        <v>LV</v>
      </c>
      <c r="L17" s="41" t="str">
        <f t="shared" si="3"/>
        <v>LV TRITON PUTIH - 12</v>
      </c>
    </row>
    <row r="18" spans="2:12" x14ac:dyDescent="0.3">
      <c r="B18" s="41">
        <v>11</v>
      </c>
      <c r="C18" s="41" t="s">
        <v>341</v>
      </c>
      <c r="D18" s="44">
        <f>IFERROR(VLOOKUP(K18,'list rate unit'!$B$6:$K$27,10,FALSE),0)</f>
        <v>8000000</v>
      </c>
      <c r="E18" s="42">
        <v>165</v>
      </c>
      <c r="F18" s="44">
        <f t="shared" si="0"/>
        <v>1897500</v>
      </c>
      <c r="G18" s="42"/>
      <c r="H18" s="45">
        <f t="shared" si="6"/>
        <v>9897500</v>
      </c>
      <c r="I18" s="18"/>
      <c r="J18" s="41"/>
      <c r="K18" s="41" t="str">
        <f>VLOOKUP(L18,'list rate unit'!O:P,2,FALSE)</f>
        <v>LV</v>
      </c>
      <c r="L18" s="41" t="str">
        <f t="shared" si="3"/>
        <v>LV PAJERO HITAM - 15</v>
      </c>
    </row>
    <row r="19" spans="2:12" x14ac:dyDescent="0.3">
      <c r="B19" s="41">
        <v>12</v>
      </c>
      <c r="C19" s="41" t="s">
        <v>317</v>
      </c>
      <c r="D19" s="44">
        <f>IFERROR(VLOOKUP(K19,'list rate unit'!$B$6:$K$27,10,FALSE),0)</f>
        <v>8000000</v>
      </c>
      <c r="E19" s="42">
        <v>316</v>
      </c>
      <c r="F19" s="44">
        <f t="shared" si="0"/>
        <v>3634000</v>
      </c>
      <c r="G19" s="42"/>
      <c r="H19" s="45">
        <f t="shared" si="6"/>
        <v>11634000</v>
      </c>
      <c r="I19" s="18"/>
      <c r="J19" s="41"/>
      <c r="K19" s="41" t="str">
        <f>VLOOKUP(L19,'list rate unit'!O:P,2,FALSE)</f>
        <v>LV</v>
      </c>
      <c r="L19" s="41" t="str">
        <f t="shared" si="3"/>
        <v>LV HILUX SILVER - 17</v>
      </c>
    </row>
    <row r="20" spans="2:12" x14ac:dyDescent="0.3">
      <c r="B20" s="41">
        <v>13</v>
      </c>
      <c r="C20" s="41" t="s">
        <v>318</v>
      </c>
      <c r="D20" s="44">
        <f>IFERROR(VLOOKUP(K20,'list rate unit'!$B$6:$K$27,10,FALSE),0)</f>
        <v>8000000</v>
      </c>
      <c r="E20" s="42">
        <v>64</v>
      </c>
      <c r="F20" s="44">
        <f t="shared" si="0"/>
        <v>736000</v>
      </c>
      <c r="G20" s="42"/>
      <c r="H20" s="45">
        <f t="shared" si="6"/>
        <v>8736000</v>
      </c>
      <c r="I20" s="18"/>
      <c r="J20" s="41"/>
      <c r="K20" s="41" t="str">
        <f>VLOOKUP(L20,'list rate unit'!O:P,2,FALSE)</f>
        <v>LV</v>
      </c>
      <c r="L20" s="41" t="str">
        <f t="shared" si="3"/>
        <v>LV HILUX HITAM - 18</v>
      </c>
    </row>
    <row r="21" spans="2:12" x14ac:dyDescent="0.3">
      <c r="B21" s="41">
        <v>14</v>
      </c>
      <c r="C21" s="41" t="s">
        <v>319</v>
      </c>
      <c r="D21" s="44">
        <f>IFERROR(VLOOKUP(K21,'list rate unit'!$B$6:$K$27,10,FALSE),0)</f>
        <v>8000000</v>
      </c>
      <c r="E21" s="42">
        <v>299</v>
      </c>
      <c r="F21" s="44">
        <f t="shared" si="0"/>
        <v>3438500</v>
      </c>
      <c r="G21" s="42"/>
      <c r="H21" s="45">
        <f t="shared" si="6"/>
        <v>11438500</v>
      </c>
      <c r="I21" s="18"/>
      <c r="J21" s="41"/>
      <c r="K21" s="41" t="str">
        <f>VLOOKUP(L21,'list rate unit'!O:P,2,FALSE)</f>
        <v>LV</v>
      </c>
      <c r="L21" s="41" t="str">
        <f t="shared" si="3"/>
        <v>LV HILUX SILVER - 19</v>
      </c>
    </row>
    <row r="22" spans="2:12" x14ac:dyDescent="0.3">
      <c r="B22" s="41">
        <v>15</v>
      </c>
      <c r="C22" s="41" t="s">
        <v>400</v>
      </c>
      <c r="D22" s="44">
        <f>IFERROR(VLOOKUP(K22,'list rate unit'!$B$6:$K$27,10,FALSE),0)</f>
        <v>8000000</v>
      </c>
      <c r="E22" s="42">
        <v>144</v>
      </c>
      <c r="F22" s="44">
        <f t="shared" si="0"/>
        <v>1656000</v>
      </c>
      <c r="G22" s="42"/>
      <c r="H22" s="45">
        <f t="shared" si="6"/>
        <v>9656000</v>
      </c>
      <c r="I22" s="18"/>
      <c r="J22" s="41"/>
      <c r="K22" s="41" t="str">
        <f>VLOOKUP(L22,'list rate unit'!O:P,2,FALSE)</f>
        <v>LV</v>
      </c>
      <c r="L22" s="41" t="str">
        <f t="shared" si="3"/>
        <v>LV HILUX SILVER - 20</v>
      </c>
    </row>
    <row r="23" spans="2:12" x14ac:dyDescent="0.3">
      <c r="B23" s="41">
        <v>16</v>
      </c>
      <c r="C23" s="41" t="s">
        <v>346</v>
      </c>
      <c r="D23" s="44">
        <f>IFERROR(VLOOKUP(K23,'list rate unit'!$B$6:$K$27,10,FALSE),0)</f>
        <v>8000000</v>
      </c>
      <c r="E23" s="42">
        <v>253</v>
      </c>
      <c r="F23" s="44">
        <f t="shared" si="0"/>
        <v>2909500</v>
      </c>
      <c r="G23" s="42"/>
      <c r="H23" s="45">
        <f t="shared" si="6"/>
        <v>10909500</v>
      </c>
      <c r="I23" s="18"/>
      <c r="J23" s="41"/>
      <c r="K23" s="41" t="str">
        <f>VLOOKUP(L23,'list rate unit'!O:P,2,FALSE)</f>
        <v>LV</v>
      </c>
      <c r="L23" s="41" t="str">
        <f t="shared" si="3"/>
        <v>LV PAJERO SILVER - 21</v>
      </c>
    </row>
    <row r="24" spans="2:12" x14ac:dyDescent="0.3">
      <c r="B24" s="41">
        <v>17</v>
      </c>
      <c r="C24" s="41" t="s">
        <v>420</v>
      </c>
      <c r="D24" s="44">
        <f>IFERROR(VLOOKUP(K24,'list rate unit'!$B$6:$K$27,10,FALSE),0)</f>
        <v>0</v>
      </c>
      <c r="E24" s="42">
        <v>20</v>
      </c>
      <c r="F24" s="44">
        <f t="shared" si="0"/>
        <v>230000</v>
      </c>
      <c r="G24" s="42"/>
      <c r="H24" s="45">
        <f t="shared" si="6"/>
        <v>230000</v>
      </c>
      <c r="I24" s="18"/>
      <c r="J24" s="41"/>
      <c r="K24" s="41"/>
      <c r="L24" s="41" t="str">
        <f t="shared" si="3"/>
        <v>LV LC-HIJAU - 22</v>
      </c>
    </row>
    <row r="25" spans="2:12" x14ac:dyDescent="0.3">
      <c r="B25" s="41">
        <v>18</v>
      </c>
      <c r="C25" s="41" t="s">
        <v>266</v>
      </c>
      <c r="D25" s="44">
        <f>IFERROR(VLOOKUP(K25,'list rate unit'!$B$6:$K$27,10,FALSE),0)</f>
        <v>8000000</v>
      </c>
      <c r="E25" s="42">
        <v>433</v>
      </c>
      <c r="F25" s="44">
        <f t="shared" si="0"/>
        <v>4979500</v>
      </c>
      <c r="G25" s="42"/>
      <c r="H25" s="45">
        <f t="shared" ref="H25:H34" si="7">D25+F25</f>
        <v>12979500</v>
      </c>
      <c r="I25" s="18"/>
      <c r="J25" s="41"/>
      <c r="K25" s="41" t="str">
        <f>VLOOKUP(L25,'list rate unit'!O:P,2,FALSE)</f>
        <v>LV</v>
      </c>
      <c r="L25" s="41" t="str">
        <f t="shared" ref="L25:L34" si="8">C25</f>
        <v>LV HILUX PUTIH - 23</v>
      </c>
    </row>
    <row r="26" spans="2:12" x14ac:dyDescent="0.3">
      <c r="B26" s="41">
        <v>19</v>
      </c>
      <c r="C26" s="41" t="s">
        <v>357</v>
      </c>
      <c r="D26" s="44">
        <f>IFERROR(VLOOKUP(K26,'list rate unit'!$B$6:$K$27,10,FALSE),0)</f>
        <v>8000000</v>
      </c>
      <c r="E26" s="42">
        <v>220</v>
      </c>
      <c r="F26" s="44">
        <f t="shared" si="0"/>
        <v>2530000</v>
      </c>
      <c r="G26" s="42"/>
      <c r="H26" s="45">
        <f t="shared" si="7"/>
        <v>10530000</v>
      </c>
      <c r="I26" s="18"/>
      <c r="J26" s="41"/>
      <c r="K26" s="41" t="str">
        <f>VLOOKUP(L26,'list rate unit'!O:P,2,FALSE)</f>
        <v>LV</v>
      </c>
      <c r="L26" s="41" t="str">
        <f t="shared" si="8"/>
        <v>LV LC-SILVER - 24</v>
      </c>
    </row>
    <row r="27" spans="2:12" x14ac:dyDescent="0.3">
      <c r="B27" s="41">
        <v>20</v>
      </c>
      <c r="C27" s="41" t="s">
        <v>320</v>
      </c>
      <c r="D27" s="44">
        <f>IFERROR(VLOOKUP(K27,'list rate unit'!$B$6:$K$27,10,FALSE),0)</f>
        <v>8000000</v>
      </c>
      <c r="E27" s="42">
        <v>156</v>
      </c>
      <c r="F27" s="44">
        <f t="shared" si="0"/>
        <v>1794000</v>
      </c>
      <c r="G27" s="42"/>
      <c r="H27" s="45">
        <f t="shared" si="7"/>
        <v>9794000</v>
      </c>
      <c r="I27" s="18"/>
      <c r="J27" s="41"/>
      <c r="K27" s="41" t="str">
        <f>VLOOKUP(L27,'list rate unit'!O:P,2,FALSE)</f>
        <v>LV</v>
      </c>
      <c r="L27" s="41" t="str">
        <f t="shared" si="8"/>
        <v>LV TRITON PUTIH - 27</v>
      </c>
    </row>
    <row r="28" spans="2:12" x14ac:dyDescent="0.3">
      <c r="B28" s="41">
        <v>21</v>
      </c>
      <c r="C28" s="41" t="s">
        <v>342</v>
      </c>
      <c r="D28" s="44">
        <f>IFERROR(VLOOKUP(K28,'list rate unit'!$B$6:$K$27,10,FALSE),0)</f>
        <v>8000000</v>
      </c>
      <c r="E28" s="42">
        <v>242</v>
      </c>
      <c r="F28" s="44">
        <f t="shared" si="0"/>
        <v>2783000</v>
      </c>
      <c r="G28" s="42"/>
      <c r="H28" s="45">
        <f t="shared" si="7"/>
        <v>10783000</v>
      </c>
      <c r="I28" s="18"/>
      <c r="J28" s="41"/>
      <c r="K28" s="41" t="str">
        <f>VLOOKUP(L28,'list rate unit'!O:P,2,FALSE)</f>
        <v>LV</v>
      </c>
      <c r="L28" s="41" t="str">
        <f t="shared" si="8"/>
        <v>LV LC-HIJAU - 29</v>
      </c>
    </row>
    <row r="29" spans="2:12" x14ac:dyDescent="0.3">
      <c r="B29" s="41">
        <v>22</v>
      </c>
      <c r="C29" s="41" t="s">
        <v>294</v>
      </c>
      <c r="D29" s="44">
        <f>IFERROR(VLOOKUP(K29,'list rate unit'!$B$6:$K$27,10,FALSE),0)</f>
        <v>8000000</v>
      </c>
      <c r="E29" s="42">
        <v>594</v>
      </c>
      <c r="F29" s="44">
        <f t="shared" si="0"/>
        <v>6831000</v>
      </c>
      <c r="G29" s="42"/>
      <c r="H29" s="45">
        <f t="shared" si="7"/>
        <v>14831000</v>
      </c>
      <c r="I29" s="18"/>
      <c r="J29" s="41"/>
      <c r="K29" s="41" t="str">
        <f>VLOOKUP(L29,'list rate unit'!O:P,2,FALSE)</f>
        <v>LV</v>
      </c>
      <c r="L29" s="41" t="str">
        <f t="shared" si="8"/>
        <v>LV TRITON PUTIH (SAFETY) - 30</v>
      </c>
    </row>
    <row r="30" spans="2:12" x14ac:dyDescent="0.3">
      <c r="B30" s="41">
        <v>23</v>
      </c>
      <c r="C30" s="41" t="s">
        <v>321</v>
      </c>
      <c r="D30" s="44">
        <f>IFERROR(VLOOKUP(K30,'list rate unit'!$B$6:$K$27,10,FALSE),0)</f>
        <v>8000000</v>
      </c>
      <c r="E30" s="42">
        <v>342</v>
      </c>
      <c r="F30" s="44">
        <f t="shared" si="0"/>
        <v>3933000</v>
      </c>
      <c r="G30" s="42"/>
      <c r="H30" s="45">
        <f t="shared" si="7"/>
        <v>11933000</v>
      </c>
      <c r="I30" s="18"/>
      <c r="J30" s="41"/>
      <c r="K30" s="41" t="str">
        <f>VLOOKUP(L30,'list rate unit'!O:P,2,FALSE)</f>
        <v>LV</v>
      </c>
      <c r="L30" s="41" t="str">
        <f t="shared" si="8"/>
        <v>LV TRITON PUTIH - 32</v>
      </c>
    </row>
    <row r="31" spans="2:12" x14ac:dyDescent="0.3">
      <c r="B31" s="41">
        <v>24</v>
      </c>
      <c r="C31" s="41" t="s">
        <v>270</v>
      </c>
      <c r="D31" s="44">
        <f>IFERROR(VLOOKUP(K31,'list rate unit'!$B$6:$K$27,10,FALSE),0)</f>
        <v>210000</v>
      </c>
      <c r="E31" s="42">
        <v>1095</v>
      </c>
      <c r="F31" s="44">
        <f t="shared" si="0"/>
        <v>12592500</v>
      </c>
      <c r="G31" s="42"/>
      <c r="H31" s="45">
        <f t="shared" si="7"/>
        <v>12802500</v>
      </c>
      <c r="I31" s="18"/>
      <c r="J31" s="41"/>
      <c r="K31" s="41" t="str">
        <f>VLOOKUP(L31,'list rate unit'!O:P,2,FALSE)</f>
        <v>FM 260 Ti</v>
      </c>
      <c r="L31" s="41" t="str">
        <f t="shared" si="8"/>
        <v>MANHAUL - 02</v>
      </c>
    </row>
    <row r="32" spans="2:12" x14ac:dyDescent="0.3">
      <c r="B32" s="41">
        <v>25</v>
      </c>
      <c r="C32" s="41" t="s">
        <v>272</v>
      </c>
      <c r="D32" s="44">
        <f>IFERROR(VLOOKUP(K32,'list rate unit'!$B$6:$K$27,10,FALSE),0)</f>
        <v>210000</v>
      </c>
      <c r="E32" s="42">
        <v>1519</v>
      </c>
      <c r="F32" s="44">
        <f t="shared" si="0"/>
        <v>17468500</v>
      </c>
      <c r="G32" s="42"/>
      <c r="H32" s="45">
        <f t="shared" si="7"/>
        <v>17678500</v>
      </c>
      <c r="I32" s="18"/>
      <c r="J32" s="41"/>
      <c r="K32" s="41" t="str">
        <f>VLOOKUP(L32,'list rate unit'!O:P,2,FALSE)</f>
        <v>FM 260 Ti</v>
      </c>
      <c r="L32" s="41" t="str">
        <f t="shared" si="8"/>
        <v>FUEL TRUCK - 05</v>
      </c>
    </row>
    <row r="33" spans="2:12" x14ac:dyDescent="0.3">
      <c r="B33" s="41">
        <v>26</v>
      </c>
      <c r="C33" s="41" t="s">
        <v>345</v>
      </c>
      <c r="D33" s="44">
        <f>IFERROR(VLOOKUP(K33,'list rate unit'!$B$6:$K$27,10,FALSE),0)</f>
        <v>210000</v>
      </c>
      <c r="E33" s="42">
        <v>1407</v>
      </c>
      <c r="F33" s="44">
        <f t="shared" si="0"/>
        <v>16180500</v>
      </c>
      <c r="G33" s="42"/>
      <c r="H33" s="45">
        <f t="shared" si="7"/>
        <v>16390500</v>
      </c>
      <c r="I33" s="18"/>
      <c r="J33" s="41"/>
      <c r="K33" s="41" t="str">
        <f>VLOOKUP(L33,'list rate unit'!O:P,2,FALSE)</f>
        <v>FM 260 Ti</v>
      </c>
      <c r="L33" s="41" t="str">
        <f t="shared" si="8"/>
        <v>FUEL TRUCK - 06</v>
      </c>
    </row>
    <row r="34" spans="2:12" x14ac:dyDescent="0.3">
      <c r="B34" s="41">
        <v>27</v>
      </c>
      <c r="C34" s="41" t="s">
        <v>336</v>
      </c>
      <c r="D34" s="44">
        <f>IFERROR(VLOOKUP(K34,'list rate unit'!$B$6:$K$27,10,FALSE),0)</f>
        <v>12000000</v>
      </c>
      <c r="E34" s="42">
        <v>200</v>
      </c>
      <c r="F34" s="44">
        <f t="shared" si="0"/>
        <v>2300000</v>
      </c>
      <c r="G34" s="42"/>
      <c r="H34" s="45">
        <f t="shared" si="7"/>
        <v>14300000</v>
      </c>
      <c r="I34" s="18"/>
      <c r="J34" s="41"/>
      <c r="K34" s="41" t="str">
        <f>VLOOKUP(L34,'list rate unit'!O:P,2,FALSE)</f>
        <v>LT</v>
      </c>
      <c r="L34" s="41" t="str">
        <f t="shared" si="8"/>
        <v>TRUCK WELDER - LT-04</v>
      </c>
    </row>
    <row r="35" spans="2:12" x14ac:dyDescent="0.3">
      <c r="B35" s="41">
        <v>28</v>
      </c>
      <c r="C35" s="41" t="s">
        <v>273</v>
      </c>
      <c r="D35" s="44">
        <f>IFERROR(VLOOKUP(K35,'list rate unit'!$B$6:$K$27,10,FALSE),0)</f>
        <v>12000000</v>
      </c>
      <c r="E35" s="42">
        <v>293</v>
      </c>
      <c r="F35" s="44">
        <f t="shared" si="0"/>
        <v>3369500</v>
      </c>
      <c r="G35" s="42"/>
      <c r="H35" s="45">
        <f t="shared" si="6"/>
        <v>15369500</v>
      </c>
      <c r="I35" s="18"/>
      <c r="J35" s="41"/>
      <c r="K35" s="41" t="str">
        <f>VLOOKUP(L35,'list rate unit'!O:P,2,FALSE)</f>
        <v>LT</v>
      </c>
      <c r="L35" s="41" t="str">
        <f t="shared" si="3"/>
        <v>TRUCK TYRE - LT-08</v>
      </c>
    </row>
    <row r="36" spans="2:12" x14ac:dyDescent="0.3">
      <c r="B36" s="41">
        <v>29</v>
      </c>
      <c r="C36" s="41" t="s">
        <v>325</v>
      </c>
      <c r="D36" s="44">
        <f>IFERROR(VLOOKUP(K36,'list rate unit'!$B$6:$K$27,10,FALSE),0)</f>
        <v>12000000</v>
      </c>
      <c r="E36" s="42">
        <v>221</v>
      </c>
      <c r="F36" s="44">
        <f t="shared" si="0"/>
        <v>2541500</v>
      </c>
      <c r="G36" s="42"/>
      <c r="H36" s="45">
        <f t="shared" si="6"/>
        <v>14541500</v>
      </c>
      <c r="I36" s="18"/>
      <c r="J36" s="41"/>
      <c r="K36" s="41" t="str">
        <f>VLOOKUP(L36,'list rate unit'!O:P,2,FALSE)</f>
        <v>LT</v>
      </c>
      <c r="L36" s="41" t="str">
        <f t="shared" si="3"/>
        <v>TRUCK TYRE - LT-10</v>
      </c>
    </row>
    <row r="37" spans="2:12" x14ac:dyDescent="0.3">
      <c r="D37" s="30"/>
      <c r="E37" s="18"/>
      <c r="F37" s="30"/>
      <c r="G37" s="18"/>
      <c r="H37" s="18"/>
      <c r="I37" s="18"/>
    </row>
    <row r="38" spans="2:12" ht="15.75" customHeight="1" x14ac:dyDescent="0.3">
      <c r="B38" s="203" t="s">
        <v>21</v>
      </c>
      <c r="C38" s="203"/>
      <c r="D38" s="51">
        <f>SUM(D8:D37)</f>
        <v>212630000</v>
      </c>
      <c r="E38" s="46">
        <f>SUM(E8:E37)</f>
        <v>10318</v>
      </c>
      <c r="F38" s="47">
        <f>SUM(F8:F37)</f>
        <v>118657000</v>
      </c>
      <c r="G38" s="46">
        <f>IFERROR(E38/#REF!,0)</f>
        <v>0</v>
      </c>
      <c r="H38" s="48">
        <f>SUM(H8:H37)</f>
        <v>331287000</v>
      </c>
      <c r="I38" s="17"/>
    </row>
    <row r="40" spans="2:12" x14ac:dyDescent="0.3">
      <c r="B40" s="35" t="s">
        <v>34</v>
      </c>
      <c r="C40" s="29">
        <f>'REPORT unit DT HAUL'!C86</f>
        <v>14848</v>
      </c>
    </row>
    <row r="41" spans="2:12" x14ac:dyDescent="0.3">
      <c r="B41" s="35" t="s">
        <v>35</v>
      </c>
      <c r="C41" s="29">
        <f>'SUMMARY 2'!I13</f>
        <v>11500</v>
      </c>
    </row>
    <row r="42" spans="2:12" x14ac:dyDescent="0.3">
      <c r="J42" s="27"/>
    </row>
  </sheetData>
  <mergeCells count="11">
    <mergeCell ref="B38:C38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K37:K1048576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2023-09-05T00:02:56Z</cp:lastPrinted>
  <dcterms:created xsi:type="dcterms:W3CDTF">2019-02-05T01:55:23Z</dcterms:created>
  <dcterms:modified xsi:type="dcterms:W3CDTF">2023-09-19T02:55:58Z</dcterms:modified>
</cp:coreProperties>
</file>