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SA\cost production report SA\"/>
    </mc:Choice>
  </mc:AlternateContent>
  <xr:revisionPtr revIDLastSave="0" documentId="13_ncr:1_{D9AEF525-DDD2-4277-9DD9-A469FB619487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DEVELOP'!$B$7:$P$10</definedName>
    <definedName name="_xlnm._FilterDatabase" localSheetId="6" hidden="1">'REPORT unit DT HAUL'!$B$7:$R$31</definedName>
    <definedName name="_xlnm._FilterDatabase" localSheetId="2" hidden="1">'REPORT unit OB'!$B$7:$P$22</definedName>
    <definedName name="_xlnm._FilterDatabase" localSheetId="5" hidden="1">'REPORT unit ORE GETTING'!$B$7:$P$17</definedName>
    <definedName name="_xlnm._FilterDatabase" localSheetId="3" hidden="1">'REPORT unit QUARRY'!$B$7:$P$18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7" l="1"/>
  <c r="E14" i="11"/>
  <c r="D14" i="11"/>
  <c r="F10" i="12"/>
  <c r="R40" i="7"/>
  <c r="M40" i="7"/>
  <c r="L40" i="7"/>
  <c r="K40" i="7"/>
  <c r="G40" i="7"/>
  <c r="H40" i="7" s="1"/>
  <c r="R39" i="7"/>
  <c r="M39" i="7"/>
  <c r="L39" i="7"/>
  <c r="K39" i="7"/>
  <c r="G39" i="7"/>
  <c r="H39" i="7" s="1"/>
  <c r="R38" i="7"/>
  <c r="M38" i="7"/>
  <c r="L38" i="7"/>
  <c r="K38" i="7"/>
  <c r="G38" i="7"/>
  <c r="H38" i="7" s="1"/>
  <c r="R37" i="7"/>
  <c r="M37" i="7"/>
  <c r="L37" i="7"/>
  <c r="K37" i="7"/>
  <c r="G37" i="7"/>
  <c r="H37" i="7" s="1"/>
  <c r="R36" i="7"/>
  <c r="M36" i="7"/>
  <c r="L36" i="7"/>
  <c r="K36" i="7"/>
  <c r="G36" i="7"/>
  <c r="H36" i="7" s="1"/>
  <c r="R35" i="7"/>
  <c r="M35" i="7"/>
  <c r="L35" i="7"/>
  <c r="K35" i="7"/>
  <c r="G35" i="7"/>
  <c r="H35" i="7" s="1"/>
  <c r="R34" i="7"/>
  <c r="M34" i="7"/>
  <c r="L34" i="7"/>
  <c r="K34" i="7"/>
  <c r="G34" i="7"/>
  <c r="H34" i="7" s="1"/>
  <c r="R33" i="7"/>
  <c r="M33" i="7"/>
  <c r="L33" i="7"/>
  <c r="K33" i="7"/>
  <c r="G33" i="7"/>
  <c r="H33" i="7" s="1"/>
  <c r="R32" i="7"/>
  <c r="M32" i="7"/>
  <c r="L32" i="7"/>
  <c r="K32" i="7"/>
  <c r="G32" i="7"/>
  <c r="H32" i="7" s="1"/>
  <c r="B40" i="7"/>
  <c r="B39" i="7"/>
  <c r="B38" i="7"/>
  <c r="B37" i="7"/>
  <c r="B36" i="7"/>
  <c r="B35" i="7"/>
  <c r="B34" i="7"/>
  <c r="B33" i="7"/>
  <c r="B32" i="7"/>
  <c r="N18" i="13"/>
  <c r="N17" i="13"/>
  <c r="N16" i="13"/>
  <c r="N15" i="13"/>
  <c r="N14" i="13"/>
  <c r="N13" i="13"/>
  <c r="N12" i="13"/>
  <c r="N11" i="13"/>
  <c r="N10" i="13"/>
  <c r="N9" i="13"/>
  <c r="N8" i="13"/>
  <c r="N20" i="4"/>
  <c r="N19" i="4"/>
  <c r="N18" i="4"/>
  <c r="N17" i="4"/>
  <c r="N16" i="4"/>
  <c r="N15" i="4"/>
  <c r="N14" i="4"/>
  <c r="N13" i="4"/>
  <c r="N12" i="4"/>
  <c r="N11" i="4"/>
  <c r="N10" i="4"/>
  <c r="N9" i="4"/>
  <c r="B20" i="4"/>
  <c r="B19" i="4"/>
  <c r="B18" i="4"/>
  <c r="B17" i="4"/>
  <c r="B16" i="4"/>
  <c r="B15" i="4"/>
  <c r="B14" i="4"/>
  <c r="B13" i="4"/>
  <c r="O20" i="4"/>
  <c r="F20" i="4" s="1"/>
  <c r="G20" i="4" s="1"/>
  <c r="K20" i="4" s="1"/>
  <c r="J20" i="4"/>
  <c r="I20" i="4"/>
  <c r="O19" i="4"/>
  <c r="F19" i="4" s="1"/>
  <c r="G19" i="4" s="1"/>
  <c r="J19" i="4"/>
  <c r="I19" i="4"/>
  <c r="O18" i="4"/>
  <c r="F18" i="4" s="1"/>
  <c r="G18" i="4" s="1"/>
  <c r="K18" i="4" s="1"/>
  <c r="J18" i="4"/>
  <c r="I18" i="4"/>
  <c r="O17" i="4"/>
  <c r="F17" i="4"/>
  <c r="G17" i="4" s="1"/>
  <c r="J17" i="4"/>
  <c r="I17" i="4"/>
  <c r="O16" i="4"/>
  <c r="F16" i="4"/>
  <c r="G16" i="4" s="1"/>
  <c r="J16" i="4"/>
  <c r="I16" i="4"/>
  <c r="O15" i="4"/>
  <c r="F15" i="4"/>
  <c r="G15" i="4" s="1"/>
  <c r="J15" i="4"/>
  <c r="I15" i="4"/>
  <c r="O14" i="4"/>
  <c r="J14" i="4"/>
  <c r="I14" i="4"/>
  <c r="O13" i="4"/>
  <c r="F13" i="4" s="1"/>
  <c r="G13" i="4" s="1"/>
  <c r="J13" i="4"/>
  <c r="I13" i="4"/>
  <c r="F14" i="4" l="1"/>
  <c r="G14" i="4" s="1"/>
  <c r="K14" i="4" s="1"/>
  <c r="K16" i="4"/>
  <c r="K15" i="4"/>
  <c r="K19" i="4"/>
  <c r="K17" i="4"/>
  <c r="K13" i="4"/>
  <c r="F26" i="12" l="1"/>
  <c r="F24" i="12"/>
  <c r="F13" i="12"/>
  <c r="F5" i="12"/>
  <c r="F3" i="12"/>
  <c r="F15" i="13"/>
  <c r="G15" i="13" s="1"/>
  <c r="F16" i="13"/>
  <c r="G16" i="13" s="1"/>
  <c r="F17" i="13"/>
  <c r="G17" i="13" s="1"/>
  <c r="J15" i="13"/>
  <c r="O15" i="13"/>
  <c r="J16" i="13"/>
  <c r="O16" i="13"/>
  <c r="J17" i="13"/>
  <c r="O17" i="13"/>
  <c r="B15" i="13"/>
  <c r="B16" i="13"/>
  <c r="B17" i="13"/>
  <c r="B8" i="6" l="1"/>
  <c r="G23" i="7"/>
  <c r="H23" i="7" s="1"/>
  <c r="K23" i="7"/>
  <c r="L23" i="7"/>
  <c r="M23" i="7"/>
  <c r="G24" i="7"/>
  <c r="H24" i="7" s="1"/>
  <c r="K24" i="7"/>
  <c r="L24" i="7"/>
  <c r="M24" i="7"/>
  <c r="R23" i="7"/>
  <c r="R24" i="7"/>
  <c r="B23" i="7"/>
  <c r="B24" i="7"/>
  <c r="B25" i="7"/>
  <c r="B26" i="7"/>
  <c r="B27" i="7"/>
  <c r="B28" i="7"/>
  <c r="B29" i="7"/>
  <c r="B30" i="7"/>
  <c r="B31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8" i="7"/>
  <c r="J15" i="15"/>
  <c r="O15" i="15"/>
  <c r="N15" i="15" s="1"/>
  <c r="F15" i="15" s="1"/>
  <c r="G15" i="15" s="1"/>
  <c r="J16" i="15"/>
  <c r="O16" i="15"/>
  <c r="N16" i="15" s="1"/>
  <c r="F16" i="15" s="1"/>
  <c r="G16" i="15" s="1"/>
  <c r="B9" i="15"/>
  <c r="B10" i="15"/>
  <c r="B11" i="15"/>
  <c r="B12" i="15"/>
  <c r="B13" i="15"/>
  <c r="B14" i="15"/>
  <c r="B15" i="15"/>
  <c r="B16" i="15"/>
  <c r="B17" i="15"/>
  <c r="B8" i="15"/>
  <c r="B9" i="14"/>
  <c r="B10" i="14"/>
  <c r="B8" i="14"/>
  <c r="J10" i="13"/>
  <c r="O10" i="13"/>
  <c r="J11" i="13"/>
  <c r="O11" i="13"/>
  <c r="J12" i="13"/>
  <c r="O12" i="13"/>
  <c r="J13" i="13"/>
  <c r="O13" i="13"/>
  <c r="J14" i="13"/>
  <c r="O14" i="13"/>
  <c r="J18" i="13"/>
  <c r="O18" i="13"/>
  <c r="F10" i="13"/>
  <c r="G10" i="13" s="1"/>
  <c r="F11" i="13"/>
  <c r="G11" i="13" s="1"/>
  <c r="F12" i="13"/>
  <c r="G12" i="13" s="1"/>
  <c r="F13" i="13"/>
  <c r="G13" i="13" s="1"/>
  <c r="F14" i="13"/>
  <c r="G14" i="13" s="1"/>
  <c r="F18" i="13"/>
  <c r="G18" i="13" s="1"/>
  <c r="B9" i="13"/>
  <c r="B10" i="13"/>
  <c r="B11" i="13"/>
  <c r="B12" i="13"/>
  <c r="B13" i="13"/>
  <c r="B14" i="13"/>
  <c r="B18" i="13"/>
  <c r="B8" i="13"/>
  <c r="J10" i="4"/>
  <c r="O10" i="4"/>
  <c r="J11" i="4"/>
  <c r="O11" i="4"/>
  <c r="J12" i="4"/>
  <c r="O12" i="4"/>
  <c r="B9" i="4"/>
  <c r="B10" i="4"/>
  <c r="B11" i="4"/>
  <c r="B12" i="4"/>
  <c r="B8" i="4"/>
  <c r="F10" i="4" l="1"/>
  <c r="G10" i="4" s="1"/>
  <c r="F12" i="4"/>
  <c r="G12" i="4" s="1"/>
  <c r="F11" i="4"/>
  <c r="G11" i="4" s="1"/>
  <c r="D46" i="7"/>
  <c r="J17" i="15"/>
  <c r="O17" i="15"/>
  <c r="N17" i="15" s="1"/>
  <c r="F17" i="15" s="1"/>
  <c r="G17" i="15" s="1"/>
  <c r="F10" i="11"/>
  <c r="F7" i="12" s="1"/>
  <c r="J38" i="7" l="1"/>
  <c r="N38" i="7" s="1"/>
  <c r="J35" i="7"/>
  <c r="N35" i="7" s="1"/>
  <c r="J32" i="7"/>
  <c r="N32" i="7" s="1"/>
  <c r="J40" i="7"/>
  <c r="N40" i="7" s="1"/>
  <c r="J33" i="7"/>
  <c r="N33" i="7" s="1"/>
  <c r="J37" i="7"/>
  <c r="N37" i="7" s="1"/>
  <c r="J34" i="7"/>
  <c r="N34" i="7" s="1"/>
  <c r="J36" i="7"/>
  <c r="N36" i="7" s="1"/>
  <c r="J39" i="7"/>
  <c r="N39" i="7" s="1"/>
  <c r="J24" i="7"/>
  <c r="N24" i="7" s="1"/>
  <c r="J23" i="7"/>
  <c r="N23" i="7" s="1"/>
  <c r="J14" i="15"/>
  <c r="O14" i="15"/>
  <c r="N14" i="15" s="1"/>
  <c r="F14" i="15" s="1"/>
  <c r="G14" i="15" s="1"/>
  <c r="D13" i="11" l="1"/>
  <c r="D13" i="6" l="1"/>
  <c r="D22" i="15"/>
  <c r="D15" i="14"/>
  <c r="D23" i="13"/>
  <c r="D25" i="4"/>
  <c r="J10" i="11"/>
  <c r="F25" i="12" s="1"/>
  <c r="F12" i="11"/>
  <c r="F9" i="12" s="1"/>
  <c r="I17" i="15" l="1"/>
  <c r="K17" i="15" s="1"/>
  <c r="I15" i="15"/>
  <c r="K15" i="15" s="1"/>
  <c r="I16" i="15"/>
  <c r="K16" i="15" s="1"/>
  <c r="I15" i="13"/>
  <c r="K15" i="13" s="1"/>
  <c r="I16" i="13"/>
  <c r="K16" i="13" s="1"/>
  <c r="I17" i="13"/>
  <c r="K17" i="13" s="1"/>
  <c r="I14" i="13"/>
  <c r="K14" i="13" s="1"/>
  <c r="I18" i="13"/>
  <c r="K18" i="13" s="1"/>
  <c r="I10" i="13"/>
  <c r="K10" i="13" s="1"/>
  <c r="I11" i="13"/>
  <c r="K11" i="13" s="1"/>
  <c r="I12" i="13"/>
  <c r="K12" i="13" s="1"/>
  <c r="I13" i="13"/>
  <c r="K13" i="13" s="1"/>
  <c r="I10" i="4"/>
  <c r="K10" i="4" s="1"/>
  <c r="I11" i="4"/>
  <c r="K11" i="4" s="1"/>
  <c r="I12" i="4"/>
  <c r="K12" i="4" s="1"/>
  <c r="I14" i="15"/>
  <c r="K14" i="15" s="1"/>
  <c r="P9" i="12"/>
  <c r="P7" i="12"/>
  <c r="E42" i="7"/>
  <c r="E11" i="11" s="1"/>
  <c r="F4" i="12" s="1"/>
  <c r="H19" i="15"/>
  <c r="E19" i="15"/>
  <c r="H20" i="13"/>
  <c r="E20" i="13"/>
  <c r="E13" i="11" l="1"/>
  <c r="F6" i="12" s="1"/>
  <c r="O9" i="14" l="1"/>
  <c r="N9" i="14" s="1"/>
  <c r="F9" i="14" s="1"/>
  <c r="G9" i="14" s="1"/>
  <c r="J9" i="14"/>
  <c r="F10" i="6"/>
  <c r="F18" i="11" l="1"/>
  <c r="E22" i="4"/>
  <c r="H10" i="6" l="1"/>
  <c r="D21" i="15" l="1"/>
  <c r="O13" i="15"/>
  <c r="N13" i="15" s="1"/>
  <c r="F13" i="15" s="1"/>
  <c r="G13" i="15" s="1"/>
  <c r="J13" i="15"/>
  <c r="O12" i="15"/>
  <c r="N12" i="15" s="1"/>
  <c r="F12" i="15" s="1"/>
  <c r="G12" i="15" s="1"/>
  <c r="J12" i="15"/>
  <c r="O11" i="15"/>
  <c r="N11" i="15" s="1"/>
  <c r="F11" i="15" s="1"/>
  <c r="G11" i="15" s="1"/>
  <c r="J11" i="15"/>
  <c r="O10" i="15"/>
  <c r="N10" i="15" s="1"/>
  <c r="F10" i="15" s="1"/>
  <c r="G10" i="15" s="1"/>
  <c r="J10" i="15"/>
  <c r="O9" i="15"/>
  <c r="N9" i="15" s="1"/>
  <c r="F9" i="15" s="1"/>
  <c r="G9" i="15" s="1"/>
  <c r="J9" i="15"/>
  <c r="O8" i="15"/>
  <c r="N8" i="15" s="1"/>
  <c r="F8" i="15" s="1"/>
  <c r="J8" i="15"/>
  <c r="I9" i="14"/>
  <c r="K9" i="14" s="1"/>
  <c r="D14" i="14"/>
  <c r="H12" i="14"/>
  <c r="E12" i="14"/>
  <c r="O10" i="14"/>
  <c r="N10" i="14" s="1"/>
  <c r="F10" i="14" s="1"/>
  <c r="J10" i="14"/>
  <c r="O8" i="14"/>
  <c r="N8" i="14" s="1"/>
  <c r="F8" i="14" s="1"/>
  <c r="G8" i="14" s="1"/>
  <c r="J8" i="14"/>
  <c r="O9" i="13"/>
  <c r="J9" i="13"/>
  <c r="F9" i="13"/>
  <c r="G9" i="13" s="1"/>
  <c r="O8" i="13"/>
  <c r="J8" i="13"/>
  <c r="F8" i="13"/>
  <c r="G8" i="13" l="1"/>
  <c r="G20" i="13" s="1"/>
  <c r="F20" i="13"/>
  <c r="G8" i="15"/>
  <c r="G19" i="15" s="1"/>
  <c r="F19" i="15"/>
  <c r="F12" i="14"/>
  <c r="I8" i="15"/>
  <c r="I12" i="15"/>
  <c r="K12" i="15" s="1"/>
  <c r="I10" i="15"/>
  <c r="K10" i="15" s="1"/>
  <c r="I13" i="15"/>
  <c r="K13" i="15" s="1"/>
  <c r="I9" i="15"/>
  <c r="K9" i="15" s="1"/>
  <c r="I11" i="15"/>
  <c r="K11" i="15" s="1"/>
  <c r="G10" i="14"/>
  <c r="G12" i="14" s="1"/>
  <c r="I10" i="14"/>
  <c r="I8" i="14"/>
  <c r="K8" i="14" s="1"/>
  <c r="J19" i="15"/>
  <c r="J12" i="14"/>
  <c r="J20" i="13"/>
  <c r="K8" i="15" l="1"/>
  <c r="K19" i="15" s="1"/>
  <c r="D25" i="11" s="1"/>
  <c r="F14" i="12" s="1"/>
  <c r="I19" i="15"/>
  <c r="K10" i="14"/>
  <c r="K12" i="14" s="1"/>
  <c r="D24" i="11" s="1"/>
  <c r="I12" i="14"/>
  <c r="D22" i="13" l="1"/>
  <c r="I9" i="13" l="1"/>
  <c r="K9" i="13" s="1"/>
  <c r="I8" i="13"/>
  <c r="I20" i="13" l="1"/>
  <c r="K8" i="13"/>
  <c r="O9" i="4"/>
  <c r="J9" i="4"/>
  <c r="F9" i="4" l="1"/>
  <c r="G9" i="4" s="1"/>
  <c r="K20" i="13"/>
  <c r="D23" i="11" s="1"/>
  <c r="F12" i="12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8" i="7" l="1"/>
  <c r="H8" i="7" s="1"/>
  <c r="K8" i="7"/>
  <c r="L8" i="7"/>
  <c r="M8" i="7"/>
  <c r="R8" i="7"/>
  <c r="K9" i="7"/>
  <c r="L9" i="7"/>
  <c r="M9" i="7"/>
  <c r="R9" i="7"/>
  <c r="K10" i="7"/>
  <c r="L10" i="7"/>
  <c r="M10" i="7"/>
  <c r="R10" i="7"/>
  <c r="K11" i="7"/>
  <c r="L11" i="7"/>
  <c r="M11" i="7"/>
  <c r="R11" i="7"/>
  <c r="K12" i="7"/>
  <c r="L12" i="7"/>
  <c r="M12" i="7"/>
  <c r="R12" i="7"/>
  <c r="K13" i="7"/>
  <c r="L13" i="7"/>
  <c r="M13" i="7"/>
  <c r="R13" i="7"/>
  <c r="K14" i="7"/>
  <c r="L14" i="7"/>
  <c r="M14" i="7"/>
  <c r="R14" i="7"/>
  <c r="K15" i="7"/>
  <c r="L15" i="7"/>
  <c r="M15" i="7"/>
  <c r="R15" i="7"/>
  <c r="K16" i="7"/>
  <c r="L16" i="7"/>
  <c r="M16" i="7"/>
  <c r="R16" i="7"/>
  <c r="K17" i="7"/>
  <c r="L17" i="7"/>
  <c r="M17" i="7"/>
  <c r="R17" i="7"/>
  <c r="K18" i="7"/>
  <c r="L18" i="7"/>
  <c r="M18" i="7"/>
  <c r="R18" i="7"/>
  <c r="K19" i="7"/>
  <c r="L19" i="7"/>
  <c r="M19" i="7"/>
  <c r="R19" i="7"/>
  <c r="K20" i="7"/>
  <c r="L20" i="7"/>
  <c r="M20" i="7"/>
  <c r="R20" i="7"/>
  <c r="K21" i="7"/>
  <c r="L21" i="7"/>
  <c r="M21" i="7"/>
  <c r="R21" i="7"/>
  <c r="K22" i="7"/>
  <c r="L22" i="7"/>
  <c r="M22" i="7"/>
  <c r="R22" i="7"/>
  <c r="K25" i="7"/>
  <c r="L25" i="7"/>
  <c r="M25" i="7"/>
  <c r="R25" i="7"/>
  <c r="K26" i="7"/>
  <c r="L26" i="7"/>
  <c r="M26" i="7"/>
  <c r="R26" i="7"/>
  <c r="K27" i="7"/>
  <c r="L27" i="7"/>
  <c r="M27" i="7"/>
  <c r="R27" i="7"/>
  <c r="K28" i="7"/>
  <c r="L28" i="7"/>
  <c r="M28" i="7"/>
  <c r="R28" i="7"/>
  <c r="K29" i="7"/>
  <c r="L29" i="7"/>
  <c r="M29" i="7"/>
  <c r="R29" i="7"/>
  <c r="K30" i="7"/>
  <c r="L30" i="7"/>
  <c r="M30" i="7"/>
  <c r="R30" i="7"/>
  <c r="K31" i="7"/>
  <c r="L31" i="7"/>
  <c r="M31" i="7"/>
  <c r="R31" i="7"/>
  <c r="I9" i="4" l="1"/>
  <c r="K9" i="4" s="1"/>
  <c r="J8" i="7"/>
  <c r="N8" i="7" s="1"/>
  <c r="J12" i="7"/>
  <c r="N12" i="7" s="1"/>
  <c r="J16" i="7"/>
  <c r="N16" i="7" s="1"/>
  <c r="J20" i="7"/>
  <c r="N20" i="7" s="1"/>
  <c r="J26" i="7"/>
  <c r="N26" i="7" s="1"/>
  <c r="J30" i="7"/>
  <c r="N30" i="7" s="1"/>
  <c r="J9" i="7"/>
  <c r="N9" i="7" s="1"/>
  <c r="J17" i="7"/>
  <c r="N17" i="7" s="1"/>
  <c r="J27" i="7"/>
  <c r="N27" i="7" s="1"/>
  <c r="J11" i="7"/>
  <c r="N11" i="7" s="1"/>
  <c r="J15" i="7"/>
  <c r="N15" i="7" s="1"/>
  <c r="J19" i="7"/>
  <c r="N19" i="7" s="1"/>
  <c r="J25" i="7"/>
  <c r="N25" i="7" s="1"/>
  <c r="J29" i="7"/>
  <c r="N29" i="7" s="1"/>
  <c r="J10" i="7"/>
  <c r="N10" i="7" s="1"/>
  <c r="J14" i="7"/>
  <c r="N14" i="7" s="1"/>
  <c r="J18" i="7"/>
  <c r="N18" i="7" s="1"/>
  <c r="J22" i="7"/>
  <c r="N22" i="7" s="1"/>
  <c r="J28" i="7"/>
  <c r="N28" i="7" s="1"/>
  <c r="J21" i="7"/>
  <c r="N21" i="7" s="1"/>
  <c r="J13" i="7"/>
  <c r="N13" i="7" s="1"/>
  <c r="J31" i="7"/>
  <c r="N31" i="7" s="1"/>
  <c r="P5" i="12" l="1"/>
  <c r="A12" i="12"/>
  <c r="A13" i="12"/>
  <c r="A14" i="12"/>
  <c r="A15" i="12"/>
  <c r="A16" i="12"/>
  <c r="A11" i="12"/>
  <c r="P14" i="12" l="1"/>
  <c r="A30" i="12" l="1"/>
  <c r="P26" i="12"/>
  <c r="P25" i="12"/>
  <c r="P24" i="12"/>
  <c r="P13" i="12"/>
  <c r="P12" i="12"/>
  <c r="P10" i="12"/>
  <c r="P3" i="12"/>
  <c r="K28" i="5" l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42" i="7" l="1"/>
  <c r="D31" i="11" l="1"/>
  <c r="F18" i="12" s="1"/>
  <c r="P4" i="12"/>
  <c r="P6" i="12" s="1"/>
  <c r="F11" i="11"/>
  <c r="F8" i="12" s="1"/>
  <c r="J23" i="11"/>
  <c r="J25" i="11"/>
  <c r="J24" i="11"/>
  <c r="P8" i="12" l="1"/>
  <c r="P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H42" i="7" l="1"/>
  <c r="AK29" i="2" l="1"/>
  <c r="L42" i="7" l="1"/>
  <c r="D36" i="1" l="1"/>
  <c r="D35" i="1" l="1"/>
  <c r="D34" i="1"/>
  <c r="D32" i="1"/>
  <c r="D33" i="1"/>
  <c r="M8" i="6"/>
  <c r="O8" i="4"/>
  <c r="AK4" i="2"/>
  <c r="L8" i="6" l="1"/>
  <c r="E8" i="6" s="1"/>
  <c r="E10" i="6" s="1"/>
  <c r="N8" i="4"/>
  <c r="F8" i="4" s="1"/>
  <c r="AK30" i="2"/>
  <c r="I8" i="4"/>
  <c r="AK5" i="1"/>
  <c r="AK4" i="1"/>
  <c r="G8" i="6"/>
  <c r="G10" i="6" s="1"/>
  <c r="G8" i="4" l="1"/>
  <c r="K8" i="4" s="1"/>
  <c r="K22" i="4" s="1"/>
  <c r="F22" i="4"/>
  <c r="AK29" i="1"/>
  <c r="H22" i="4"/>
  <c r="I8" i="6"/>
  <c r="I42" i="7"/>
  <c r="J8" i="4"/>
  <c r="E39" i="2"/>
  <c r="E41" i="2" s="1"/>
  <c r="J18" i="11" l="1"/>
  <c r="F27" i="12" s="1"/>
  <c r="I10" i="6"/>
  <c r="D27" i="11" s="1"/>
  <c r="F16" i="12" s="1"/>
  <c r="I22" i="4"/>
  <c r="D22" i="11"/>
  <c r="F11" i="12" s="1"/>
  <c r="D26" i="11"/>
  <c r="F15" i="12" s="1"/>
  <c r="M42" i="7"/>
  <c r="J42" i="7"/>
  <c r="D38" i="1"/>
  <c r="D40" i="1" s="1"/>
  <c r="K42" i="7"/>
  <c r="F22" i="12" l="1"/>
  <c r="P15" i="12"/>
  <c r="P11" i="12"/>
  <c r="J27" i="11"/>
  <c r="K27" i="11" s="1"/>
  <c r="P16" i="12"/>
  <c r="J19" i="11"/>
  <c r="F28" i="12" s="1"/>
  <c r="D30" i="11"/>
  <c r="D33" i="11" s="1"/>
  <c r="J22" i="11"/>
  <c r="J26" i="11"/>
  <c r="K26" i="11" s="1"/>
  <c r="G22" i="4"/>
  <c r="J22" i="4"/>
  <c r="F17" i="12" l="1"/>
  <c r="F20" i="12" s="1"/>
  <c r="F14" i="11"/>
  <c r="F23" i="12" s="1"/>
  <c r="P28" i="12"/>
  <c r="P27" i="12"/>
  <c r="P22" i="12" s="1"/>
  <c r="B35" i="11"/>
  <c r="K22" i="11"/>
  <c r="K28" i="11" s="1"/>
  <c r="J28" i="11"/>
  <c r="D24" i="4"/>
  <c r="D45" i="7" s="1"/>
  <c r="D12" i="6" s="1"/>
  <c r="P17" i="12" l="1"/>
  <c r="P20" i="12" s="1"/>
  <c r="F19" i="12"/>
  <c r="F21" i="12" s="1"/>
  <c r="P23" i="12"/>
  <c r="J30" i="11"/>
  <c r="F29" i="12" s="1"/>
  <c r="P29" i="12" s="1"/>
  <c r="P19" i="12" l="1"/>
  <c r="P21" i="12" s="1"/>
  <c r="J31" i="11"/>
  <c r="F30" i="12" s="1"/>
  <c r="P30" i="12" s="1"/>
  <c r="I22" i="11"/>
  <c r="I23" i="11"/>
  <c r="I27" i="11"/>
  <c r="I25" i="11"/>
  <c r="I24" i="11"/>
  <c r="I26" i="11"/>
  <c r="I28" i="11" l="1"/>
</calcChain>
</file>

<file path=xl/sharedStrings.xml><?xml version="1.0" encoding="utf-8"?>
<sst xmlns="http://schemas.openxmlformats.org/spreadsheetml/2006/main" count="837" uniqueCount="369">
  <si>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</si>
  <si>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</si>
  <si>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</si>
  <si>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</si>
  <si>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</si>
  <si>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</si>
  <si>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</si>
  <si>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</si>
  <si>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</si>
  <si>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</si>
  <si>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</si>
  <si>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</si>
  <si>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</si>
  <si>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</si>
  <si>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</si>
  <si>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</si>
  <si>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</si>
  <si>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</si>
  <si>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</si>
  <si>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</si>
  <si>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</si>
  <si>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</si>
  <si>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</si>
  <si>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</si>
  <si>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</si>
  <si>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</si>
  <si>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</si>
  <si>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</si>
  <si>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</si>
  <si>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</si>
  <si>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</si>
  <si>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</si>
  <si>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</si>
  <si>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</si>
  <si>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</si>
  <si>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</si>
  <si>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</si>
  <si>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</si>
  <si>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</si>
  <si>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</si>
  <si>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</si>
  <si>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</si>
  <si>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</si>
  <si>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</si>
  <si>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</si>
  <si>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</si>
  <si>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</si>
  <si>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</si>
  <si>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</si>
  <si>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</si>
  <si>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</si>
  <si>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</si>
  <si>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</si>
  <si>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</si>
  <si>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</si>
  <si>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</si>
  <si>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</si>
  <si>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</si>
  <si>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</si>
  <si>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</si>
  <si>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</si>
  <si>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</si>
  <si>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</si>
  <si>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</si>
  <si>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</si>
  <si>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</si>
  <si>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</si>
  <si>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</si>
  <si>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</si>
  <si>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</si>
  <si>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</si>
  <si>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</si>
  <si>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</si>
  <si>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</si>
  <si>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</si>
  <si>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</si>
  <si>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</si>
  <si>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</si>
  <si>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</si>
  <si>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</si>
  <si>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</si>
  <si>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</si>
  <si>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</si>
  <si>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</si>
  <si>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</si>
  <si>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</si>
  <si>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</si>
  <si>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</si>
  <si>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</si>
  <si>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</si>
  <si>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</si>
  <si>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</si>
  <si>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</si>
  <si>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</si>
  <si>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</si>
  <si>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</si>
  <si>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</si>
  <si>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</si>
  <si>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</si>
  <si>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</si>
  <si>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</si>
  <si>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</si>
  <si>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</si>
  <si>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</si>
  <si>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</si>
  <si>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</si>
  <si>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</si>
  <si>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</si>
  <si>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</si>
  <si>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</si>
  <si>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</si>
  <si>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</si>
  <si>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</si>
  <si>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</si>
  <si>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</si>
  <si>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</si>
  <si>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</si>
  <si>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</si>
  <si>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</si>
  <si>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</si>
  <si>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</si>
  <si>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</si>
  <si>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</si>
  <si>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</si>
  <si>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</si>
  <si>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</si>
  <si>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</si>
  <si>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</si>
  <si>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</si>
  <si>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</si>
  <si>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</si>
  <si>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</si>
  <si>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</si>
  <si>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</si>
  <si>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</si>
  <si>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</si>
  <si>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</si>
  <si>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</si>
  <si>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</si>
  <si>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</si>
  <si>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</si>
  <si>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</si>
  <si>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</si>
  <si>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</si>
  <si>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</si>
  <si>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</si>
  <si>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</si>
  <si>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</si>
  <si>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</si>
  <si>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</si>
  <si>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</si>
  <si>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</si>
  <si>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</si>
  <si>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</si>
  <si>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</si>
  <si>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</si>
  <si>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</si>
  <si>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</si>
  <si>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</si>
  <si>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</si>
  <si>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</si>
  <si>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</si>
  <si>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</si>
  <si>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</si>
  <si>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</si>
  <si>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</si>
  <si>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</si>
  <si>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</si>
  <si>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</si>
  <si>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</si>
  <si>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</si>
  <si>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</si>
  <si>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</si>
  <si>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</si>
  <si>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</si>
  <si>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</si>
  <si>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</si>
  <si>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</si>
  <si>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</si>
  <si>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</si>
  <si>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</si>
  <si>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</si>
  <si>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</si>
  <si>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</si>
  <si>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</si>
  <si>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</si>
  <si>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</si>
  <si>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</si>
  <si>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</si>
  <si>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</si>
  <si>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</si>
  <si>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</si>
  <si>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</si>
  <si>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</si>
  <si>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</si>
  <si>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</si>
  <si>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</si>
  <si>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</si>
  <si>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</si>
  <si>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</si>
  <si>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</si>
  <si>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</si>
  <si>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</si>
  <si>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</si>
  <si>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</si>
  <si>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</si>
  <si>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</si>
  <si>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</si>
  <si>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</si>
  <si>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</si>
  <si>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</si>
  <si>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</si>
  <si>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</si>
  <si>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</si>
  <si>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</si>
  <si>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</si>
  <si>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</si>
  <si>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</si>
  <si>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</si>
  <si>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</si>
  <si>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</si>
  <si>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</si>
  <si>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</si>
  <si>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</si>
  <si>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</si>
  <si>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</si>
  <si>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</si>
  <si>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</si>
  <si>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</si>
  <si>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</si>
  <si>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</si>
  <si>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</si>
  <si>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</si>
  <si>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</si>
  <si>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</si>
  <si>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</si>
  <si>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</si>
  <si>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</si>
  <si>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</si>
  <si>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</si>
  <si>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</si>
  <si>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</si>
  <si>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</si>
  <si>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</si>
  <si>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</si>
  <si>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</si>
  <si>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</si>
  <si>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</si>
  <si>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</si>
  <si>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</si>
  <si>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</si>
  <si>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</si>
  <si>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</si>
  <si>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</si>
  <si>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</si>
  <si>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</si>
  <si>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</si>
  <si>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</si>
  <si>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</si>
  <si>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</si>
  <si>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</si>
  <si>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</si>
  <si>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</si>
  <si>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</si>
  <si>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</si>
  <si>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</si>
  <si>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</si>
  <si>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</si>
  <si>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</si>
  <si>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</si>
  <si>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</si>
  <si>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</si>
  <si>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</si>
  <si>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</si>
  <si>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</si>
  <si>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</si>
  <si>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</si>
  <si>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</si>
  <si>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</si>
  <si>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</si>
  <si>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</si>
  <si>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</si>
  <si>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</si>
  <si>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</si>
  <si>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</si>
  <si>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</si>
  <si>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</si>
  <si>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</si>
  <si>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</si>
  <si>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</si>
  <si>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</si>
  <si>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</si>
  <si>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</si>
  <si>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</si>
  <si>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</si>
  <si>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</si>
  <si>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</si>
  <si>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</si>
  <si>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</si>
  <si>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</si>
  <si>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LV TRITON PUTIH - 28</t>
  </si>
  <si>
    <t>TRUCK TYRE (LT-06)</t>
  </si>
  <si>
    <t>WELDER CAR (LT-07)</t>
  </si>
  <si>
    <t>(fuel not include in contract)</t>
  </si>
  <si>
    <t>FUEL TRUCK - 02</t>
  </si>
  <si>
    <t>SAKAI - 01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</si>
  <si>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</si>
  <si>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</si>
  <si>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</si>
  <si>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</si>
  <si>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</si>
  <si>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</si>
  <si>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</si>
  <si>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</si>
  <si>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</si>
  <si>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</si>
  <si>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</si>
  <si>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</si>
  <si>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</si>
  <si>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</si>
  <si>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</si>
  <si>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</si>
  <si>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LV HILUX MERAH - 06</t>
  </si>
  <si>
    <t>ADT HM 400 (bcm/hour)</t>
  </si>
  <si>
    <t>PRODUCTION hauler</t>
  </si>
  <si>
    <t>bdm</t>
  </si>
  <si>
    <t>ore hauling bdm</t>
  </si>
  <si>
    <t>KOMATSU PC 400 - 07</t>
  </si>
  <si>
    <t>HONGYAN/12</t>
  </si>
  <si>
    <t>KOMATSU PC 200 - 21</t>
  </si>
  <si>
    <t>DT Hino 700 ZS 287</t>
  </si>
  <si>
    <t>DT Hino 700 ZS 292</t>
  </si>
  <si>
    <t>DT Hino 700 ZS 293</t>
  </si>
  <si>
    <t>DT Hino 700 ZS 294</t>
  </si>
  <si>
    <t>DT Hino 700 ZS 295</t>
  </si>
  <si>
    <t>DT Hino 700 ZS 296</t>
  </si>
  <si>
    <t>DT Hino 700 ZS 297</t>
  </si>
  <si>
    <t>DT Hino 700 ZS 301</t>
  </si>
  <si>
    <t>DT Hino 700 ZS 302</t>
  </si>
  <si>
    <t>DT Hino 700 ZS 308</t>
  </si>
  <si>
    <t>DT Hino 700 ZY 310</t>
  </si>
  <si>
    <t>DT Hino 700 ZY 330</t>
  </si>
  <si>
    <t>DT Hino 700 ZY 347</t>
  </si>
  <si>
    <t>DT Hino 700 ZY 378</t>
  </si>
  <si>
    <t>DT Hino 700 ZY 382</t>
  </si>
  <si>
    <t>DT Hino 700 ZY 393</t>
  </si>
  <si>
    <t>DT Hongyan 395</t>
  </si>
  <si>
    <t>DT Hongyan 396</t>
  </si>
  <si>
    <t>DT Hongyan 397</t>
  </si>
  <si>
    <t>DT Hongyan 398</t>
  </si>
  <si>
    <t>DT Hongyan 399</t>
  </si>
  <si>
    <t>WEEK</t>
  </si>
  <si>
    <t>last year (2023)</t>
  </si>
  <si>
    <t>TOTAL 2024</t>
  </si>
  <si>
    <t>DT Hino 700 ZY 365</t>
  </si>
  <si>
    <t>DT Hino 700 ZY 384</t>
  </si>
  <si>
    <t>DT Hongyan 516</t>
  </si>
  <si>
    <t>Maret 2024</t>
  </si>
  <si>
    <r>
      <rPr>
        <b/>
        <sz val="26"/>
        <color theme="5"/>
        <rFont val="Century Gothic"/>
        <family val="2"/>
      </rPr>
      <t>MINING COST</t>
    </r>
    <r>
      <rPr>
        <b/>
        <sz val="26"/>
        <color theme="9" tint="-0.249977111117893"/>
        <rFont val="Century Gothic"/>
        <family val="2"/>
      </rPr>
      <t xml:space="preserve"> </t>
    </r>
    <r>
      <rPr>
        <b/>
        <sz val="26"/>
        <color theme="0"/>
        <rFont val="Century Gothic"/>
        <family val="2"/>
      </rPr>
      <t>(MARET)</t>
    </r>
  </si>
  <si>
    <t>DT Hino 700 ZY 385</t>
  </si>
  <si>
    <t>DT Hino 700 ZY 386</t>
  </si>
  <si>
    <t>DT Hino 700 ZY 387</t>
  </si>
  <si>
    <t>DT Hino 700 ZY 388</t>
  </si>
  <si>
    <t>DT Hino 700 ZY 389</t>
  </si>
  <si>
    <t>DT Hino 700 ZY 390</t>
  </si>
  <si>
    <t>DT Hino 700 ZY 391</t>
  </si>
  <si>
    <t>DT Hino 700 ZY 392</t>
  </si>
  <si>
    <t>DT Hino 700 ZY 394</t>
  </si>
  <si>
    <t>produktifitas unit OB menurun diakibatkan karena PA unit loading OB menurun, sehingga mengakibatkan target volume OB tidak tercapai. Dan juga kebutuhan material Quarry yang semakin menignkat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</si>
</sst>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9" tint="-0.249977111117893"/>
      <name val="Century Gothic"/>
      <family val="2"/>
    </font>
    <font>
      <b/>
      <sz val="26"/>
      <color theme="5"/>
      <name val="Century Gothic"/>
      <family val="2"/>
    </font>
    <font>
      <b/>
      <sz val="2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i/>
      <sz val="11"/>
      <color theme="0"/>
      <name val="Century Gothic"/>
      <family val="2"/>
    </font>
    <font>
      <b/>
      <u val="singleAccounting"/>
      <sz val="11"/>
      <color theme="0"/>
      <name val="Century Gothic"/>
      <family val="2"/>
    </font>
    <font>
      <b/>
      <i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1"/>
      <color theme="9"/>
      <name val="Century Gothic"/>
      <family val="2"/>
    </font>
    <font>
      <b/>
      <sz val="14"/>
      <color rgb="FFFFFF00"/>
      <name val="Century Gothic"/>
      <family val="2"/>
    </font>
    <font>
      <b/>
      <sz val="14"/>
      <color theme="0"/>
      <name val="Century Gothic"/>
      <family val="2"/>
    </font>
    <font>
      <b/>
      <sz val="14"/>
      <color rgb="FF00B0F0"/>
      <name val="Century Gothic"/>
      <family val="2"/>
    </font>
    <font>
      <b/>
      <sz val="11"/>
      <color rgb="FF00B0F0"/>
      <name val="Century Gothic"/>
      <family val="2"/>
    </font>
    <font>
      <b/>
      <i/>
      <sz val="16"/>
      <color theme="0"/>
      <name val="Century Gothic"/>
      <family val="2"/>
    </font>
    <font>
      <b/>
      <sz val="28"/>
      <color rgb="FFFF0000"/>
      <name val="Century Gothic"/>
      <family val="2"/>
    </font>
    <font>
      <b/>
      <i/>
      <sz val="10"/>
      <color theme="0"/>
      <name val="Century Gothic"/>
      <family val="2"/>
    </font>
    <font>
      <sz val="11"/>
      <color theme="0"/>
      <name val="Century Gothic"/>
      <family val="2"/>
    </font>
    <font>
      <b/>
      <i/>
      <sz val="20"/>
      <color rgb="FFFFFF00"/>
      <name val="Century Gothic"/>
      <family val="2"/>
    </font>
    <font>
      <b/>
      <u val="singleAccounting"/>
      <sz val="11"/>
      <color rgb="FFFFFF00"/>
      <name val="Century Gothic"/>
      <family val="2"/>
    </font>
    <font>
      <sz val="11"/>
      <color rgb="FFFFFF00"/>
      <name val="Century Gothic"/>
      <family val="2"/>
    </font>
    <font>
      <i/>
      <sz val="10"/>
      <color rgb="FF00B0F0"/>
      <name val="Century Gothic"/>
      <family val="2"/>
    </font>
    <font>
      <sz val="10"/>
      <color rgb="FF00B0F0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19" fillId="0" borderId="0" xfId="2" applyNumberFormat="1" applyFont="1" applyBorder="1" applyAlignment="1">
      <alignment vertical="center"/>
    </xf>
    <xf numFmtId="170" fontId="19" fillId="0" borderId="0" xfId="0" applyNumberFormat="1" applyFont="1" applyAlignment="1">
      <alignment horizontal="center" vertical="center"/>
    </xf>
    <xf numFmtId="173" fontId="19" fillId="0" borderId="0" xfId="2" applyNumberFormat="1" applyFont="1" applyAlignment="1">
      <alignment horizontal="center" vertical="center"/>
    </xf>
    <xf numFmtId="169" fontId="19" fillId="0" borderId="0" xfId="3" applyNumberFormat="1" applyFont="1" applyBorder="1" applyAlignment="1">
      <alignment vertical="center"/>
    </xf>
    <xf numFmtId="169" fontId="19" fillId="0" borderId="0" xfId="13" applyNumberFormat="1" applyFont="1" applyAlignment="1">
      <alignment vertical="center"/>
    </xf>
    <xf numFmtId="169" fontId="19" fillId="0" borderId="0" xfId="13" applyNumberFormat="1" applyFont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165" fontId="19" fillId="0" borderId="0" xfId="2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9" fontId="22" fillId="0" borderId="0" xfId="13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3" fontId="22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5" borderId="0" xfId="0" quotePrefix="1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43" fontId="25" fillId="12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43" fontId="25" fillId="13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43" fontId="25" fillId="4" borderId="0" xfId="0" applyNumberFormat="1" applyFont="1" applyFill="1" applyAlignment="1">
      <alignment horizontal="center" vertical="center"/>
    </xf>
    <xf numFmtId="43" fontId="25" fillId="0" borderId="0" xfId="0" applyNumberFormat="1" applyFont="1" applyAlignment="1">
      <alignment horizontal="center" vertical="center"/>
    </xf>
    <xf numFmtId="170" fontId="25" fillId="0" borderId="0" xfId="0" applyNumberFormat="1" applyFont="1" applyAlignment="1">
      <alignment horizontal="center" vertical="center"/>
    </xf>
    <xf numFmtId="170" fontId="26" fillId="5" borderId="0" xfId="0" applyNumberFormat="1" applyFont="1" applyFill="1" applyAlignment="1">
      <alignment horizontal="center" vertical="center"/>
    </xf>
    <xf numFmtId="9" fontId="25" fillId="0" borderId="0" xfId="3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169" fontId="26" fillId="14" borderId="0" xfId="2" applyNumberFormat="1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9" fontId="26" fillId="15" borderId="0" xfId="3" applyFont="1" applyFill="1" applyAlignment="1">
      <alignment horizontal="center" vertical="center"/>
    </xf>
    <xf numFmtId="9" fontId="24" fillId="15" borderId="0" xfId="3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43" fontId="28" fillId="16" borderId="0" xfId="1" applyFont="1" applyFill="1" applyAlignment="1">
      <alignment horizontal="center" vertical="center"/>
    </xf>
    <xf numFmtId="43" fontId="23" fillId="12" borderId="0" xfId="0" applyNumberFormat="1" applyFont="1" applyFill="1" applyAlignment="1">
      <alignment horizontal="center" vertical="center"/>
    </xf>
    <xf numFmtId="43" fontId="23" fillId="13" borderId="0" xfId="0" applyNumberFormat="1" applyFont="1" applyFill="1" applyAlignment="1">
      <alignment horizontal="center" vertical="center"/>
    </xf>
    <xf numFmtId="43" fontId="23" fillId="4" borderId="0" xfId="0" applyNumberFormat="1" applyFont="1" applyFill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0" fontId="24" fillId="5" borderId="0" xfId="0" applyNumberFormat="1" applyFont="1" applyFill="1" applyAlignment="1">
      <alignment horizontal="center" vertical="center"/>
    </xf>
    <xf numFmtId="43" fontId="27" fillId="16" borderId="0" xfId="1" applyFont="1" applyFill="1" applyAlignment="1">
      <alignment horizontal="center" vertical="center"/>
    </xf>
    <xf numFmtId="9" fontId="23" fillId="0" borderId="0" xfId="3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69" fontId="24" fillId="14" borderId="0" xfId="2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43" fontId="25" fillId="9" borderId="0" xfId="0" applyNumberFormat="1" applyFont="1" applyFill="1" applyAlignment="1">
      <alignment horizontal="center" vertical="center"/>
    </xf>
    <xf numFmtId="43" fontId="23" fillId="9" borderId="0" xfId="0" applyNumberFormat="1" applyFont="1" applyFill="1" applyAlignment="1">
      <alignment horizontal="center" vertical="center"/>
    </xf>
    <xf numFmtId="165" fontId="24" fillId="14" borderId="0" xfId="2" applyFont="1" applyFill="1" applyAlignment="1">
      <alignment horizontal="center" vertical="center"/>
    </xf>
    <xf numFmtId="165" fontId="25" fillId="0" borderId="0" xfId="2" applyFont="1" applyAlignment="1">
      <alignment horizontal="center" vertical="center"/>
    </xf>
    <xf numFmtId="10" fontId="25" fillId="0" borderId="0" xfId="3" applyNumberFormat="1" applyFont="1" applyAlignment="1">
      <alignment horizontal="center" vertical="center"/>
    </xf>
    <xf numFmtId="10" fontId="23" fillId="0" borderId="0" xfId="3" applyNumberFormat="1" applyFont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0" fontId="28" fillId="16" borderId="0" xfId="1" applyNumberFormat="1" applyFont="1" applyFill="1" applyAlignment="1">
      <alignment horizontal="center" vertical="center"/>
    </xf>
    <xf numFmtId="10" fontId="27" fillId="16" borderId="0" xfId="3" applyNumberFormat="1" applyFont="1" applyFill="1" applyAlignment="1">
      <alignment horizontal="center" vertical="center"/>
    </xf>
    <xf numFmtId="10" fontId="25" fillId="0" borderId="0" xfId="3" applyNumberFormat="1" applyFont="1" applyFill="1" applyAlignment="1">
      <alignment horizontal="center" vertical="center"/>
    </xf>
    <xf numFmtId="10" fontId="25" fillId="0" borderId="0" xfId="0" applyNumberFormat="1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0" fontId="28" fillId="16" borderId="0" xfId="3" applyNumberFormat="1" applyFont="1" applyFill="1" applyAlignment="1">
      <alignment horizontal="center" vertical="center"/>
    </xf>
    <xf numFmtId="170" fontId="16" fillId="0" borderId="0" xfId="0" applyNumberFormat="1" applyFont="1" applyAlignment="1">
      <alignment horizontal="center" vertical="center"/>
    </xf>
    <xf numFmtId="165" fontId="16" fillId="0" borderId="0" xfId="3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6" fillId="0" borderId="0" xfId="2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5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37" fillId="5" borderId="0" xfId="0" applyFont="1" applyFill="1" applyAlignment="1">
      <alignment horizontal="right" vertical="center"/>
    </xf>
    <xf numFmtId="0" fontId="36" fillId="5" borderId="0" xfId="0" applyFont="1" applyFill="1" applyAlignment="1">
      <alignment horizontal="right" vertical="center"/>
    </xf>
    <xf numFmtId="9" fontId="37" fillId="5" borderId="0" xfId="0" applyNumberFormat="1" applyFont="1" applyFill="1" applyAlignment="1">
      <alignment vertical="center"/>
    </xf>
    <xf numFmtId="9" fontId="37" fillId="5" borderId="0" xfId="0" applyNumberFormat="1" applyFont="1" applyFill="1" applyAlignment="1">
      <alignment horizontal="right" vertical="center"/>
    </xf>
    <xf numFmtId="0" fontId="38" fillId="5" borderId="0" xfId="0" applyFont="1" applyFill="1" applyAlignment="1">
      <alignment horizontal="left" vertical="center"/>
    </xf>
    <xf numFmtId="43" fontId="37" fillId="5" borderId="0" xfId="1" applyFont="1" applyFill="1" applyBorder="1" applyAlignment="1">
      <alignment vertical="center"/>
    </xf>
    <xf numFmtId="0" fontId="36" fillId="5" borderId="4" xfId="0" applyFont="1" applyFill="1" applyBorder="1" applyAlignment="1">
      <alignment horizontal="right" vertical="center"/>
    </xf>
    <xf numFmtId="171" fontId="37" fillId="5" borderId="0" xfId="1" applyNumberFormat="1" applyFont="1" applyFill="1" applyBorder="1" applyAlignment="1">
      <alignment vertical="center"/>
    </xf>
    <xf numFmtId="0" fontId="37" fillId="5" borderId="0" xfId="0" applyFont="1" applyFill="1" applyAlignment="1">
      <alignment horizontal="center" vertical="center"/>
    </xf>
    <xf numFmtId="4" fontId="39" fillId="5" borderId="0" xfId="0" applyNumberFormat="1" applyFont="1" applyFill="1" applyAlignment="1">
      <alignment horizontal="right" vertical="center"/>
    </xf>
    <xf numFmtId="169" fontId="36" fillId="5" borderId="0" xfId="2" applyNumberFormat="1" applyFont="1" applyFill="1" applyBorder="1" applyAlignment="1">
      <alignment horizontal="center" vertical="center"/>
    </xf>
    <xf numFmtId="169" fontId="40" fillId="5" borderId="0" xfId="0" applyNumberFormat="1" applyFont="1" applyFill="1" applyAlignment="1">
      <alignment horizontal="right" vertical="center"/>
    </xf>
    <xf numFmtId="0" fontId="41" fillId="5" borderId="0" xfId="0" applyFont="1" applyFill="1" applyAlignment="1">
      <alignment vertical="center"/>
    </xf>
    <xf numFmtId="4" fontId="41" fillId="5" borderId="0" xfId="0" applyNumberFormat="1" applyFont="1" applyFill="1" applyAlignment="1">
      <alignment horizontal="right" vertical="center"/>
    </xf>
    <xf numFmtId="169" fontId="42" fillId="5" borderId="0" xfId="2" applyNumberFormat="1" applyFont="1" applyFill="1" applyBorder="1" applyAlignment="1">
      <alignment horizontal="center" vertical="center"/>
    </xf>
    <xf numFmtId="166" fontId="43" fillId="5" borderId="0" xfId="1" applyNumberFormat="1" applyFont="1" applyFill="1" applyBorder="1" applyAlignment="1">
      <alignment horizontal="left" vertical="center"/>
    </xf>
    <xf numFmtId="0" fontId="44" fillId="5" borderId="0" xfId="0" applyFont="1" applyFill="1" applyAlignment="1">
      <alignment vertical="center"/>
    </xf>
    <xf numFmtId="0" fontId="42" fillId="5" borderId="0" xfId="0" applyFont="1" applyFill="1" applyAlignment="1">
      <alignment horizontal="right" vertical="center"/>
    </xf>
    <xf numFmtId="0" fontId="42" fillId="5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169" fontId="45" fillId="5" borderId="0" xfId="2" applyNumberFormat="1" applyFont="1" applyFill="1" applyBorder="1" applyAlignment="1">
      <alignment horizontal="right" vertical="center"/>
    </xf>
    <xf numFmtId="43" fontId="35" fillId="0" borderId="0" xfId="0" applyNumberFormat="1" applyFont="1" applyAlignment="1">
      <alignment vertical="center"/>
    </xf>
    <xf numFmtId="0" fontId="49" fillId="5" borderId="0" xfId="0" applyFont="1" applyFill="1" applyAlignment="1">
      <alignment horizontal="left" vertical="center"/>
    </xf>
    <xf numFmtId="43" fontId="50" fillId="5" borderId="5" xfId="1" applyFont="1" applyFill="1" applyBorder="1" applyAlignment="1">
      <alignment vertical="center"/>
    </xf>
    <xf numFmtId="10" fontId="36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10" fontId="36" fillId="5" borderId="4" xfId="3" applyNumberFormat="1" applyFont="1" applyFill="1" applyBorder="1" applyAlignment="1">
      <alignment vertical="center"/>
    </xf>
    <xf numFmtId="2" fontId="50" fillId="5" borderId="4" xfId="1" applyNumberFormat="1" applyFont="1" applyFill="1" applyBorder="1" applyAlignment="1">
      <alignment vertical="center"/>
    </xf>
    <xf numFmtId="9" fontId="36" fillId="5" borderId="0" xfId="0" applyNumberFormat="1" applyFont="1" applyFill="1" applyAlignment="1">
      <alignment vertical="center"/>
    </xf>
    <xf numFmtId="9" fontId="36" fillId="5" borderId="0" xfId="0" applyNumberFormat="1" applyFont="1" applyFill="1" applyAlignment="1">
      <alignment horizontal="right" vertical="center"/>
    </xf>
    <xf numFmtId="165" fontId="36" fillId="5" borderId="0" xfId="2" applyFont="1" applyFill="1" applyBorder="1" applyAlignment="1">
      <alignment horizontal="right" vertical="center"/>
    </xf>
    <xf numFmtId="43" fontId="36" fillId="5" borderId="0" xfId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10" fontId="36" fillId="5" borderId="0" xfId="3" applyNumberFormat="1" applyFont="1" applyFill="1" applyBorder="1" applyAlignment="1">
      <alignment vertical="center"/>
    </xf>
    <xf numFmtId="43" fontId="50" fillId="5" borderId="4" xfId="0" applyNumberFormat="1" applyFont="1" applyFill="1" applyBorder="1" applyAlignment="1">
      <alignment vertical="center"/>
    </xf>
    <xf numFmtId="0" fontId="36" fillId="5" borderId="4" xfId="0" applyFont="1" applyFill="1" applyBorder="1" applyAlignment="1">
      <alignment horizontal="left" vertical="center"/>
    </xf>
    <xf numFmtId="4" fontId="36" fillId="5" borderId="4" xfId="0" applyNumberFormat="1" applyFont="1" applyFill="1" applyBorder="1" applyAlignment="1">
      <alignment vertical="center"/>
    </xf>
    <xf numFmtId="43" fontId="52" fillId="5" borderId="0" xfId="1" applyFont="1" applyFill="1" applyBorder="1" applyAlignment="1">
      <alignment vertical="center"/>
    </xf>
    <xf numFmtId="43" fontId="41" fillId="5" borderId="0" xfId="1" applyFont="1" applyFill="1" applyBorder="1" applyAlignment="1">
      <alignment horizontal="center" vertical="center"/>
    </xf>
    <xf numFmtId="43" fontId="41" fillId="5" borderId="0" xfId="1" applyFont="1" applyFill="1" applyBorder="1" applyAlignment="1">
      <alignment vertical="center"/>
    </xf>
    <xf numFmtId="4" fontId="41" fillId="5" borderId="0" xfId="1" applyNumberFormat="1" applyFont="1" applyFill="1" applyBorder="1" applyAlignment="1">
      <alignment horizontal="right" vertical="center"/>
    </xf>
    <xf numFmtId="166" fontId="41" fillId="5" borderId="0" xfId="1" applyNumberFormat="1" applyFont="1" applyFill="1" applyBorder="1" applyAlignment="1">
      <alignment horizontal="left" vertical="center"/>
    </xf>
    <xf numFmtId="0" fontId="39" fillId="5" borderId="0" xfId="1" applyNumberFormat="1" applyFont="1" applyFill="1" applyBorder="1" applyAlignment="1">
      <alignment horizontal="left" vertical="center"/>
    </xf>
    <xf numFmtId="10" fontId="36" fillId="5" borderId="0" xfId="3" applyNumberFormat="1" applyFont="1" applyFill="1" applyBorder="1" applyAlignment="1">
      <alignment horizontal="right" vertical="center"/>
    </xf>
    <xf numFmtId="165" fontId="36" fillId="5" borderId="0" xfId="2" applyFont="1" applyFill="1" applyBorder="1" applyAlignment="1">
      <alignment horizontal="left" vertical="center"/>
    </xf>
    <xf numFmtId="0" fontId="36" fillId="5" borderId="0" xfId="0" applyFont="1" applyFill="1" applyAlignment="1">
      <alignment horizontal="left" vertical="center"/>
    </xf>
    <xf numFmtId="10" fontId="38" fillId="5" borderId="0" xfId="0" applyNumberFormat="1" applyFont="1" applyFill="1" applyAlignment="1">
      <alignment horizontal="right" vertical="center"/>
    </xf>
    <xf numFmtId="165" fontId="38" fillId="5" borderId="0" xfId="2" applyFont="1" applyFill="1" applyBorder="1" applyAlignment="1">
      <alignment horizontal="right" vertical="center"/>
    </xf>
    <xf numFmtId="169" fontId="38" fillId="5" borderId="0" xfId="0" applyNumberFormat="1" applyFont="1" applyFill="1" applyAlignment="1">
      <alignment horizontal="right" vertical="center"/>
    </xf>
    <xf numFmtId="165" fontId="42" fillId="5" borderId="0" xfId="2" applyFont="1" applyFill="1" applyBorder="1" applyAlignment="1">
      <alignment horizontal="left" vertical="center"/>
    </xf>
    <xf numFmtId="0" fontId="46" fillId="5" borderId="0" xfId="0" applyFont="1" applyFill="1" applyAlignment="1">
      <alignment vertical="center"/>
    </xf>
    <xf numFmtId="43" fontId="36" fillId="5" borderId="3" xfId="1" applyFont="1" applyFill="1" applyBorder="1" applyAlignment="1">
      <alignment vertical="center"/>
    </xf>
    <xf numFmtId="43" fontId="25" fillId="0" borderId="0" xfId="3" applyNumberFormat="1" applyFont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4" fontId="47" fillId="5" borderId="0" xfId="1" applyNumberFormat="1" applyFont="1" applyFill="1" applyBorder="1" applyAlignment="1">
      <alignment horizontal="right" vertical="center"/>
    </xf>
    <xf numFmtId="0" fontId="47" fillId="5" borderId="0" xfId="0" applyFont="1" applyFill="1" applyAlignment="1">
      <alignment horizontal="center" vertical="center"/>
    </xf>
    <xf numFmtId="165" fontId="41" fillId="5" borderId="0" xfId="2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/>
    </xf>
    <xf numFmtId="169" fontId="46" fillId="5" borderId="0" xfId="2" applyNumberFormat="1" applyFont="1" applyFill="1" applyBorder="1" applyAlignment="1">
      <alignment horizontal="center" vertical="center"/>
    </xf>
    <xf numFmtId="165" fontId="46" fillId="5" borderId="0" xfId="2" applyFont="1" applyFill="1" applyBorder="1" applyAlignment="1">
      <alignment horizontal="center" vertical="center"/>
    </xf>
    <xf numFmtId="169" fontId="42" fillId="5" borderId="0" xfId="2" applyNumberFormat="1" applyFont="1" applyFill="1" applyBorder="1" applyAlignment="1">
      <alignment horizontal="center" vertical="center"/>
    </xf>
    <xf numFmtId="165" fontId="42" fillId="5" borderId="0" xfId="2" applyFont="1" applyFill="1" applyBorder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5" fontId="43" fillId="5" borderId="0" xfId="2" applyFont="1" applyFill="1" applyAlignment="1">
      <alignment horizontal="center" vertical="center"/>
    </xf>
    <xf numFmtId="165" fontId="41" fillId="5" borderId="0" xfId="2" applyFont="1" applyFill="1" applyBorder="1" applyAlignment="1">
      <alignment horizontal="center" vertical="center"/>
    </xf>
    <xf numFmtId="0" fontId="44" fillId="17" borderId="0" xfId="0" applyFont="1" applyFill="1" applyAlignment="1">
      <alignment horizontal="center" vertical="center" wrapText="1"/>
    </xf>
    <xf numFmtId="0" fontId="51" fillId="5" borderId="0" xfId="0" applyFont="1" applyFill="1" applyAlignment="1">
      <alignment horizontal="left" vertical="center"/>
    </xf>
    <xf numFmtId="172" fontId="44" fillId="17" borderId="0" xfId="0" quotePrefix="1" applyNumberFormat="1" applyFont="1" applyFill="1" applyAlignment="1">
      <alignment horizontal="center" vertical="center"/>
    </xf>
    <xf numFmtId="0" fontId="54" fillId="5" borderId="0" xfId="0" applyFont="1" applyFill="1" applyAlignment="1">
      <alignment horizontal="center" vertical="center" wrapText="1"/>
    </xf>
    <xf numFmtId="0" fontId="55" fillId="5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165" fontId="18" fillId="10" borderId="0" xfId="0" applyNumberFormat="1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20512</c:v>
                </c:pt>
                <c:pt idx="1">
                  <c:v>12471</c:v>
                </c:pt>
                <c:pt idx="2">
                  <c:v>39375.800000000003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  <c:pt idx="2">
                  <c:v>55038.850000000006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0.26021804932877651</c:v>
                </c:pt>
                <c:pt idx="1">
                  <c:v>0.13410836807827259</c:v>
                </c:pt>
                <c:pt idx="2">
                  <c:v>0.71541829089815645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4002946224.4452925</c:v>
                </c:pt>
                <c:pt idx="1">
                  <c:v>4839731222.2646236</c:v>
                </c:pt>
                <c:pt idx="2">
                  <c:v>5741865190.8084831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9363291340.7999973</c:v>
                </c:pt>
                <c:pt idx="1">
                  <c:v>11045956976.639999</c:v>
                </c:pt>
                <c:pt idx="2">
                  <c:v>6537734758.4000006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0.57248513596894213</c:v>
                </c:pt>
                <c:pt idx="1">
                  <c:v>0.56185496354008146</c:v>
                </c:pt>
                <c:pt idx="2">
                  <c:v>0.12173475936278164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140386.8047679349</c:v>
                </c:pt>
                <c:pt idx="1">
                  <c:v>151419.80335051549</c:v>
                </c:pt>
                <c:pt idx="2">
                  <c:v>150554.06666666665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  <c:pt idx="2">
                  <c:v>55038.850000000006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1.7809662874518235</c:v>
                </c:pt>
                <c:pt idx="1">
                  <c:v>1.6283106985863671</c:v>
                </c:pt>
                <c:pt idx="2">
                  <c:v>2.7354144693551308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3.420118912248463</c:v>
                </c:pt>
                <c:pt idx="1">
                  <c:v>3.5051602916793483</c:v>
                </c:pt>
                <c:pt idx="2">
                  <c:v>7.0261219250977467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1.1016869043629207</c:v>
                </c:pt>
                <c:pt idx="1">
                  <c:v>0.33692296370309549</c:v>
                </c:pt>
                <c:pt idx="2">
                  <c:v>0.61821824439508433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1.260908391125221</c:v>
                </c:pt>
                <c:pt idx="1">
                  <c:v>1.1134909787793952</c:v>
                </c:pt>
                <c:pt idx="2">
                  <c:v>0.65903829704624273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1.8784857390841045</c:v>
                </c:pt>
                <c:pt idx="1">
                  <c:v>4.6503753116310023</c:v>
                </c:pt>
                <c:pt idx="2">
                  <c:v>0.7308285856270722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>
                  <c:v>1.0344584547404849</c:v>
                </c:pt>
                <c:pt idx="1">
                  <c:v>0.9985707805339975</c:v>
                </c:pt>
                <c:pt idx="2">
                  <c:v>0.54806606877718622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>
                  <c:v>0.82040730478234458</c:v>
                </c:pt>
                <c:pt idx="1">
                  <c:v>0.89679287894063342</c:v>
                </c:pt>
                <c:pt idx="2">
                  <c:v>0.83161490194663168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 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505133</xdr:colOff>
      <xdr:row>4</xdr:row>
      <xdr:rowOff>46084</xdr:rowOff>
    </xdr:from>
    <xdr:to>
      <xdr:col>9</xdr:col>
      <xdr:colOff>1163718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2592" y="906696"/>
          <a:ext cx="658585" cy="413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550333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658707</xdr:colOff>
      <xdr:row>31</xdr:row>
      <xdr:rowOff>0</xdr:rowOff>
    </xdr:from>
    <xdr:to>
      <xdr:col>8</xdr:col>
      <xdr:colOff>154094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276014</xdr:colOff>
      <xdr:row>31</xdr:row>
      <xdr:rowOff>0</xdr:rowOff>
    </xdr:from>
    <xdr:to>
      <xdr:col>11</xdr:col>
      <xdr:colOff>856827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978747</xdr:colOff>
      <xdr:row>31</xdr:row>
      <xdr:rowOff>0</xdr:rowOff>
    </xdr:from>
    <xdr:to>
      <xdr:col>15</xdr:col>
      <xdr:colOff>471086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9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8" totalsRowShown="0" headerRowDxfId="26" dataDxfId="25">
  <autoFilter ref="A3:K28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1:C36" totalsRowShown="0" headerRowDxfId="13" dataDxfId="11" headerRowBorderDxfId="12">
  <autoFilter ref="A31:C36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zoomScale="85" zoomScaleNormal="85" workbookViewId="0">
      <selection activeCell="N26" sqref="N26"/>
    </sheetView>
  </sheetViews>
  <sheetFormatPr defaultRowHeight="13.8" x14ac:dyDescent="0.3"/>
  <cols>
    <col min="1" max="1" width="8.88671875" style="121"/>
    <col min="2" max="2" width="5.77734375" style="121" customWidth="1"/>
    <col min="3" max="3" width="31.5546875" style="121" bestFit="1" customWidth="1"/>
    <col min="4" max="5" width="14.77734375" style="121" customWidth="1"/>
    <col min="6" max="6" width="13.77734375" style="121" customWidth="1"/>
    <col min="7" max="7" width="3.6640625" style="121" customWidth="1"/>
    <col min="8" max="8" width="28.109375" style="121" customWidth="1"/>
    <col min="9" max="9" width="10.44140625" style="121" customWidth="1"/>
    <col min="10" max="10" width="17.6640625" style="121" customWidth="1"/>
    <col min="11" max="11" width="9.109375" style="121" customWidth="1"/>
    <col min="12" max="12" width="5.77734375" style="121" customWidth="1"/>
    <col min="13" max="13" width="8.88671875" style="121"/>
    <col min="14" max="14" width="13.5546875" style="121" customWidth="1"/>
    <col min="15" max="16384" width="8.88671875" style="121"/>
  </cols>
  <sheetData>
    <row r="2" spans="2:12" ht="19.95" customHeight="1" x14ac:dyDescent="0.3">
      <c r="B2" s="181" t="s">
        <v>358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</row>
    <row r="3" spans="2:12" ht="19.95" customHeight="1" x14ac:dyDescent="0.3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2:12" x14ac:dyDescent="0.3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2:12" ht="15" customHeight="1" x14ac:dyDescent="0.3">
      <c r="B5" s="122"/>
      <c r="C5" s="194" t="s">
        <v>316</v>
      </c>
      <c r="D5" s="196" t="s">
        <v>357</v>
      </c>
      <c r="E5" s="196"/>
      <c r="F5" s="196"/>
      <c r="G5" s="122"/>
      <c r="H5" s="195" t="s">
        <v>297</v>
      </c>
      <c r="I5" s="195"/>
      <c r="J5" s="195"/>
      <c r="K5" s="122"/>
      <c r="L5" s="122"/>
    </row>
    <row r="6" spans="2:12" ht="14.4" customHeight="1" x14ac:dyDescent="0.3">
      <c r="B6" s="122"/>
      <c r="C6" s="194"/>
      <c r="D6" s="196"/>
      <c r="E6" s="196"/>
      <c r="F6" s="196"/>
      <c r="G6" s="122"/>
      <c r="H6" s="195"/>
      <c r="I6" s="195"/>
      <c r="J6" s="195"/>
      <c r="K6" s="122"/>
      <c r="L6" s="122"/>
    </row>
    <row r="7" spans="2:12" ht="14.4" customHeight="1" x14ac:dyDescent="0.3">
      <c r="B7" s="122"/>
      <c r="C7" s="194"/>
      <c r="D7" s="196"/>
      <c r="E7" s="196"/>
      <c r="F7" s="196"/>
      <c r="G7" s="122"/>
      <c r="H7" s="195"/>
      <c r="I7" s="195"/>
      <c r="J7" s="195"/>
      <c r="K7" s="122"/>
      <c r="L7" s="122"/>
    </row>
    <row r="8" spans="2:12" ht="15" x14ac:dyDescent="0.3">
      <c r="B8" s="122"/>
      <c r="C8" s="122"/>
      <c r="D8" s="122"/>
      <c r="E8" s="122"/>
      <c r="F8" s="122"/>
      <c r="G8" s="122"/>
      <c r="H8" s="123"/>
      <c r="I8" s="123"/>
      <c r="J8" s="123"/>
      <c r="K8" s="122"/>
      <c r="L8" s="122"/>
    </row>
    <row r="9" spans="2:12" x14ac:dyDescent="0.3">
      <c r="B9" s="122"/>
      <c r="C9" s="122"/>
      <c r="D9" s="124" t="s">
        <v>306</v>
      </c>
      <c r="E9" s="125" t="s">
        <v>307</v>
      </c>
      <c r="F9" s="124" t="s">
        <v>308</v>
      </c>
      <c r="G9" s="122"/>
      <c r="H9" s="122" t="s">
        <v>73</v>
      </c>
      <c r="I9" s="122"/>
      <c r="J9" s="127">
        <v>31</v>
      </c>
      <c r="K9" s="127" t="s">
        <v>311</v>
      </c>
      <c r="L9" s="122"/>
    </row>
    <row r="10" spans="2:12" x14ac:dyDescent="0.3">
      <c r="B10" s="122"/>
      <c r="C10" s="122" t="s">
        <v>309</v>
      </c>
      <c r="D10" s="150">
        <v>63692.394</v>
      </c>
      <c r="E10" s="179">
        <v>39375.800000000003</v>
      </c>
      <c r="F10" s="151">
        <f>IFERROR(E10/D10,0)</f>
        <v>0.61821824439508433</v>
      </c>
      <c r="G10" s="122"/>
      <c r="H10" s="122" t="s">
        <v>74</v>
      </c>
      <c r="I10" s="122"/>
      <c r="J10" s="127">
        <f>9*J9</f>
        <v>279</v>
      </c>
      <c r="K10" s="127" t="s">
        <v>312</v>
      </c>
      <c r="L10" s="122"/>
    </row>
    <row r="11" spans="2:12" x14ac:dyDescent="0.3">
      <c r="B11" s="122"/>
      <c r="C11" s="122" t="s">
        <v>75</v>
      </c>
      <c r="D11" s="152">
        <v>83513.887199999997</v>
      </c>
      <c r="E11" s="158">
        <f>'REPORT unit DT HAUL'!E42</f>
        <v>55038.850000000006</v>
      </c>
      <c r="F11" s="153">
        <f t="shared" ref="F11:F12" si="0">E11/D11</f>
        <v>0.65903829704624273</v>
      </c>
      <c r="G11" s="122"/>
      <c r="H11" s="122" t="s">
        <v>314</v>
      </c>
      <c r="I11" s="155"/>
      <c r="J11" s="156">
        <v>0.87</v>
      </c>
      <c r="K11" s="127" t="s">
        <v>313</v>
      </c>
      <c r="L11" s="122"/>
    </row>
    <row r="12" spans="2:12" ht="15" x14ac:dyDescent="0.3">
      <c r="B12" s="122"/>
      <c r="C12" s="122" t="s">
        <v>180</v>
      </c>
      <c r="D12" s="152">
        <v>28661.577300000001</v>
      </c>
      <c r="E12" s="158">
        <v>20946.7</v>
      </c>
      <c r="F12" s="153">
        <f t="shared" si="0"/>
        <v>0.7308285856270722</v>
      </c>
      <c r="G12" s="122"/>
      <c r="H12" s="123"/>
      <c r="I12" s="128"/>
      <c r="J12" s="129"/>
      <c r="K12" s="127"/>
      <c r="L12" s="122"/>
    </row>
    <row r="13" spans="2:12" x14ac:dyDescent="0.3">
      <c r="B13" s="122"/>
      <c r="C13" s="122" t="s">
        <v>77</v>
      </c>
      <c r="D13" s="152">
        <f>D10/D11</f>
        <v>0.76265632142674356</v>
      </c>
      <c r="E13" s="158">
        <f>E10/E11</f>
        <v>0.71541829089815645</v>
      </c>
      <c r="F13" s="153">
        <f>D13/E13</f>
        <v>1.066028547396074</v>
      </c>
      <c r="G13" s="122"/>
      <c r="H13" s="122" t="s">
        <v>85</v>
      </c>
      <c r="I13" s="127"/>
      <c r="J13" s="157">
        <v>0</v>
      </c>
      <c r="K13" s="157"/>
      <c r="L13" s="122"/>
    </row>
    <row r="14" spans="2:12" x14ac:dyDescent="0.3">
      <c r="B14" s="122"/>
      <c r="C14" s="122" t="s">
        <v>310</v>
      </c>
      <c r="D14" s="154">
        <f>J17/D11</f>
        <v>1.4991878546956996</v>
      </c>
      <c r="E14" s="158">
        <f>J18/E11</f>
        <v>2.7354144693551308</v>
      </c>
      <c r="F14" s="153">
        <f>D14/E14</f>
        <v>0.54806606877718622</v>
      </c>
      <c r="G14" s="122"/>
      <c r="H14" s="149" t="s">
        <v>303</v>
      </c>
      <c r="I14" s="127"/>
      <c r="J14" s="158"/>
      <c r="K14" s="122"/>
      <c r="L14" s="122"/>
    </row>
    <row r="15" spans="2:12" ht="15" x14ac:dyDescent="0.3">
      <c r="B15" s="122"/>
      <c r="C15" s="197" t="s">
        <v>368</v>
      </c>
      <c r="D15" s="198"/>
      <c r="E15" s="198"/>
      <c r="F15" s="198"/>
      <c r="G15" s="122"/>
      <c r="H15" s="130"/>
      <c r="I15" s="127"/>
      <c r="J15" s="131"/>
      <c r="K15" s="122"/>
      <c r="L15" s="122"/>
    </row>
    <row r="16" spans="2:12" ht="34.200000000000003" customHeight="1" x14ac:dyDescent="0.3">
      <c r="B16" s="122"/>
      <c r="C16" s="198"/>
      <c r="D16" s="198"/>
      <c r="E16" s="198"/>
      <c r="F16" s="198"/>
      <c r="G16" s="122"/>
      <c r="H16" s="130"/>
      <c r="I16" s="127"/>
      <c r="J16" s="131"/>
      <c r="K16" s="122"/>
      <c r="L16" s="122"/>
    </row>
    <row r="17" spans="2:12" ht="15" x14ac:dyDescent="0.3">
      <c r="B17" s="122"/>
      <c r="C17" s="122" t="s">
        <v>323</v>
      </c>
      <c r="D17" s="159"/>
      <c r="E17" s="160"/>
      <c r="F17" s="161"/>
      <c r="G17" s="122"/>
      <c r="H17" s="191" t="s">
        <v>139</v>
      </c>
      <c r="I17" s="163" t="s">
        <v>306</v>
      </c>
      <c r="J17" s="164">
        <v>125203.00538866664</v>
      </c>
      <c r="K17" s="132" t="s">
        <v>140</v>
      </c>
      <c r="L17" s="126"/>
    </row>
    <row r="18" spans="2:12" x14ac:dyDescent="0.3">
      <c r="B18" s="122"/>
      <c r="C18" s="122" t="s">
        <v>324</v>
      </c>
      <c r="D18" s="162">
        <v>63.199999999999996</v>
      </c>
      <c r="E18" s="158">
        <v>67.65601374570447</v>
      </c>
      <c r="F18" s="153">
        <f t="shared" ref="F18" si="1">E18/D18</f>
        <v>1.070506546609248</v>
      </c>
      <c r="G18" s="122"/>
      <c r="H18" s="191"/>
      <c r="I18" s="163" t="s">
        <v>307</v>
      </c>
      <c r="J18" s="164">
        <f>'REPORT unit OB'!H22+'REPORT unit QUARRY'!H20+'REPORT unit DEVELOP'!H12+'REPORT unit ORE GETTING'!H19+'REPORT unit DT HAUL'!I42+'REPORT unit LV &amp; support'!F10</f>
        <v>150554.06666666665</v>
      </c>
      <c r="K18" s="132" t="s">
        <v>140</v>
      </c>
      <c r="L18" s="122"/>
    </row>
    <row r="19" spans="2:12" ht="15" x14ac:dyDescent="0.3">
      <c r="B19" s="122"/>
      <c r="C19" s="123"/>
      <c r="D19" s="123"/>
      <c r="E19" s="133"/>
      <c r="F19" s="122"/>
      <c r="G19" s="122"/>
      <c r="H19" s="191"/>
      <c r="I19" s="163" t="s">
        <v>308</v>
      </c>
      <c r="J19" s="153">
        <f>J17/J18</f>
        <v>0.83161490194663168</v>
      </c>
      <c r="K19" s="132"/>
      <c r="L19" s="122"/>
    </row>
    <row r="20" spans="2:12" ht="7.95" customHeight="1" x14ac:dyDescent="0.3">
      <c r="B20" s="122"/>
      <c r="C20" s="123"/>
      <c r="D20" s="123"/>
      <c r="E20" s="133"/>
      <c r="F20" s="122"/>
      <c r="G20" s="122"/>
      <c r="H20" s="134"/>
      <c r="I20" s="126"/>
      <c r="J20" s="135"/>
      <c r="K20" s="127"/>
      <c r="L20" s="122"/>
    </row>
    <row r="21" spans="2:12" ht="17.399999999999999" x14ac:dyDescent="0.3">
      <c r="B21" s="122"/>
      <c r="C21" s="165" t="s">
        <v>168</v>
      </c>
      <c r="D21" s="165"/>
      <c r="E21" s="166"/>
      <c r="F21" s="122"/>
      <c r="G21" s="122"/>
      <c r="H21" s="170" t="s">
        <v>315</v>
      </c>
      <c r="I21" s="127"/>
      <c r="J21" s="135"/>
      <c r="K21" s="122"/>
      <c r="L21" s="122"/>
    </row>
    <row r="22" spans="2:12" x14ac:dyDescent="0.3">
      <c r="B22" s="122"/>
      <c r="C22" s="167" t="s">
        <v>169</v>
      </c>
      <c r="D22" s="190">
        <f>'REPORT unit OB'!K22</f>
        <v>1327295141.470861</v>
      </c>
      <c r="E22" s="190"/>
      <c r="F22" s="190"/>
      <c r="G22" s="122"/>
      <c r="H22" s="122" t="s">
        <v>178</v>
      </c>
      <c r="I22" s="171">
        <f>J22/$J$30</f>
        <v>0.23116097249994322</v>
      </c>
      <c r="J22" s="172">
        <f>D22/E11</f>
        <v>24115.604549710992</v>
      </c>
      <c r="K22" s="136">
        <f>J22/$J$32</f>
        <v>1.6241651771087684</v>
      </c>
      <c r="L22" s="136"/>
    </row>
    <row r="23" spans="2:12" x14ac:dyDescent="0.3">
      <c r="B23" s="122"/>
      <c r="C23" s="167" t="s">
        <v>170</v>
      </c>
      <c r="D23" s="190">
        <f>'REPORT unit QUARRY'!K20</f>
        <v>661810049.33762205</v>
      </c>
      <c r="E23" s="190"/>
      <c r="F23" s="190"/>
      <c r="G23" s="122"/>
      <c r="H23" s="122" t="s">
        <v>179</v>
      </c>
      <c r="I23" s="171">
        <f t="shared" ref="I23:I27" si="2">J23/$J$30</f>
        <v>0.11526046456072157</v>
      </c>
      <c r="J23" s="172">
        <f>D23/E11</f>
        <v>12024.416377479216</v>
      </c>
      <c r="K23" s="136">
        <f t="shared" ref="K23:K27" si="3">J23/$J$32</f>
        <v>0.8098340771470377</v>
      </c>
      <c r="L23" s="136"/>
    </row>
    <row r="24" spans="2:12" x14ac:dyDescent="0.3">
      <c r="B24" s="122"/>
      <c r="C24" s="167" t="s">
        <v>171</v>
      </c>
      <c r="D24" s="190">
        <f>'REPORT unit DEVELOP'!K12</f>
        <v>0</v>
      </c>
      <c r="E24" s="190"/>
      <c r="F24" s="190"/>
      <c r="G24" s="122"/>
      <c r="H24" s="122" t="s">
        <v>174</v>
      </c>
      <c r="I24" s="171">
        <f t="shared" si="2"/>
        <v>0</v>
      </c>
      <c r="J24" s="172">
        <f>D24/E11</f>
        <v>0</v>
      </c>
      <c r="K24" s="136">
        <f t="shared" si="3"/>
        <v>0</v>
      </c>
      <c r="L24" s="136"/>
    </row>
    <row r="25" spans="2:12" x14ac:dyDescent="0.3">
      <c r="B25" s="122"/>
      <c r="C25" s="167" t="s">
        <v>172</v>
      </c>
      <c r="D25" s="190">
        <f>'REPORT unit ORE GETTING'!K19</f>
        <v>371550000</v>
      </c>
      <c r="E25" s="190"/>
      <c r="F25" s="190"/>
      <c r="G25" s="122"/>
      <c r="H25" s="122" t="s">
        <v>175</v>
      </c>
      <c r="I25" s="171">
        <f t="shared" si="2"/>
        <v>6.4708938237486538E-2</v>
      </c>
      <c r="J25" s="172">
        <f>D25/E11</f>
        <v>6750.6861062685712</v>
      </c>
      <c r="K25" s="136">
        <f t="shared" si="3"/>
        <v>0.45465288970020012</v>
      </c>
      <c r="L25" s="136"/>
    </row>
    <row r="26" spans="2:12" x14ac:dyDescent="0.3">
      <c r="B26" s="122"/>
      <c r="C26" s="167" t="s">
        <v>173</v>
      </c>
      <c r="D26" s="190">
        <f>'REPORT unit DT HAUL'!N42</f>
        <v>3381000000</v>
      </c>
      <c r="E26" s="190"/>
      <c r="F26" s="190"/>
      <c r="G26" s="122"/>
      <c r="H26" s="122" t="s">
        <v>176</v>
      </c>
      <c r="I26" s="171">
        <f t="shared" si="2"/>
        <v>0.58883305122040641</v>
      </c>
      <c r="J26" s="172">
        <f>D26/E11</f>
        <v>61429.335823695437</v>
      </c>
      <c r="K26" s="136">
        <f t="shared" si="3"/>
        <v>4.137212811401902</v>
      </c>
      <c r="L26" s="136"/>
    </row>
    <row r="27" spans="2:12" x14ac:dyDescent="0.3">
      <c r="B27" s="122"/>
      <c r="C27" s="167" t="s">
        <v>81</v>
      </c>
      <c r="D27" s="190">
        <f>'REPORT unit LV &amp; support'!I10</f>
        <v>210000</v>
      </c>
      <c r="E27" s="190"/>
      <c r="F27" s="190"/>
      <c r="G27" s="122"/>
      <c r="H27" s="122" t="s">
        <v>177</v>
      </c>
      <c r="I27" s="171">
        <f t="shared" si="2"/>
        <v>3.6573481442261265E-5</v>
      </c>
      <c r="J27" s="172">
        <f>D27/E11</f>
        <v>3.8154866971239403</v>
      </c>
      <c r="K27" s="136">
        <f t="shared" si="3"/>
        <v>2.5696973983862744E-4</v>
      </c>
      <c r="L27" s="136"/>
    </row>
    <row r="28" spans="2:12" ht="15" x14ac:dyDescent="0.3">
      <c r="B28" s="122"/>
      <c r="C28" s="167"/>
      <c r="D28" s="167"/>
      <c r="E28" s="168"/>
      <c r="F28" s="122"/>
      <c r="G28" s="122"/>
      <c r="H28" s="173"/>
      <c r="I28" s="174">
        <f>SUM(I22:I27)</f>
        <v>1</v>
      </c>
      <c r="J28" s="175">
        <f t="shared" ref="J28:K28" si="4">SUM(J22:J27)</f>
        <v>104323.85834385135</v>
      </c>
      <c r="K28" s="176">
        <f t="shared" si="4"/>
        <v>7.0261219250977476</v>
      </c>
      <c r="L28" s="137"/>
    </row>
    <row r="29" spans="2:12" x14ac:dyDescent="0.3">
      <c r="B29" s="122"/>
      <c r="C29" s="138"/>
      <c r="D29" s="138"/>
      <c r="E29" s="139"/>
      <c r="F29" s="122"/>
      <c r="G29" s="122"/>
      <c r="H29" s="144"/>
      <c r="I29" s="171"/>
      <c r="J29" s="177"/>
      <c r="K29" s="140"/>
      <c r="L29" s="140"/>
    </row>
    <row r="30" spans="2:12" ht="17.399999999999999" x14ac:dyDescent="0.3">
      <c r="B30" s="122"/>
      <c r="C30" s="169" t="s">
        <v>46</v>
      </c>
      <c r="D30" s="193">
        <f>SUM(D22:F27)</f>
        <v>5741865190.8084831</v>
      </c>
      <c r="E30" s="193"/>
      <c r="F30" s="193"/>
      <c r="G30" s="142"/>
      <c r="H30" s="144" t="s">
        <v>93</v>
      </c>
      <c r="I30" s="143"/>
      <c r="J30" s="189">
        <f>D30/E11</f>
        <v>104323.85834385135</v>
      </c>
      <c r="K30" s="189"/>
      <c r="L30" s="140"/>
    </row>
    <row r="31" spans="2:12" ht="17.399999999999999" x14ac:dyDescent="0.3">
      <c r="B31" s="122"/>
      <c r="C31" s="169" t="s">
        <v>49</v>
      </c>
      <c r="D31" s="184">
        <f>E11*(J33*J32)</f>
        <v>6537734758.4000006</v>
      </c>
      <c r="E31" s="184"/>
      <c r="F31" s="184"/>
      <c r="G31" s="142"/>
      <c r="H31" s="144" t="s">
        <v>83</v>
      </c>
      <c r="I31" s="143"/>
      <c r="J31" s="188">
        <f>J30/J32</f>
        <v>7.0261219250977467</v>
      </c>
      <c r="K31" s="188"/>
      <c r="L31" s="144"/>
    </row>
    <row r="32" spans="2:12" ht="17.399999999999999" x14ac:dyDescent="0.3">
      <c r="B32" s="122"/>
      <c r="C32" s="141"/>
      <c r="D32" s="192"/>
      <c r="E32" s="192"/>
      <c r="F32" s="192"/>
      <c r="G32" s="142"/>
      <c r="H32" s="178" t="s">
        <v>78</v>
      </c>
      <c r="I32" s="146"/>
      <c r="J32" s="187">
        <v>14848</v>
      </c>
      <c r="K32" s="187"/>
      <c r="L32" s="122"/>
    </row>
    <row r="33" spans="2:12" x14ac:dyDescent="0.3">
      <c r="B33" s="122"/>
      <c r="C33" s="183" t="s">
        <v>79</v>
      </c>
      <c r="D33" s="182">
        <f>D31-D30</f>
        <v>795869567.59151745</v>
      </c>
      <c r="E33" s="182"/>
      <c r="F33" s="182"/>
      <c r="G33" s="122"/>
      <c r="H33" s="178" t="s">
        <v>84</v>
      </c>
      <c r="I33" s="146"/>
      <c r="J33" s="186">
        <v>8</v>
      </c>
      <c r="K33" s="186"/>
      <c r="L33" s="122"/>
    </row>
    <row r="34" spans="2:12" ht="17.399999999999999" x14ac:dyDescent="0.3">
      <c r="B34" s="122"/>
      <c r="C34" s="183"/>
      <c r="D34" s="182"/>
      <c r="E34" s="182"/>
      <c r="F34" s="182"/>
      <c r="G34" s="122"/>
      <c r="H34" s="145"/>
      <c r="I34" s="146"/>
      <c r="J34" s="147"/>
      <c r="K34" s="122"/>
      <c r="L34" s="122"/>
    </row>
    <row r="35" spans="2:12" ht="14.4" customHeight="1" x14ac:dyDescent="0.3">
      <c r="B35" s="185" t="str">
        <f>IF(D31&lt;D30,("….RUGI …..!!!!!"),("OKE….."))</f>
        <v>OKE…..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</row>
    <row r="36" spans="2:12" ht="14.4" customHeight="1" x14ac:dyDescent="0.3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</row>
    <row r="37" spans="2:12" ht="14.4" customHeight="1" x14ac:dyDescent="0.3"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</row>
    <row r="39" spans="2:12" x14ac:dyDescent="0.3">
      <c r="H39" s="148"/>
    </row>
  </sheetData>
  <mergeCells count="22">
    <mergeCell ref="D26:F26"/>
    <mergeCell ref="D25:F25"/>
    <mergeCell ref="C5:C7"/>
    <mergeCell ref="H5:J7"/>
    <mergeCell ref="D5:F7"/>
    <mergeCell ref="C15:F16"/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2"/>
  <sheetViews>
    <sheetView topLeftCell="A102" workbookViewId="0">
      <selection activeCell="M130" sqref="M130"/>
    </sheetView>
  </sheetViews>
  <sheetFormatPr defaultColWidth="8.88671875" defaultRowHeight="13.8" x14ac:dyDescent="0.3"/>
  <cols>
    <col min="1" max="1" width="8.88671875" style="63"/>
    <col min="2" max="2" width="16.109375" style="63" customWidth="1"/>
    <col min="3" max="3" width="8.88671875" style="63"/>
    <col min="4" max="6" width="16.6640625" style="63" customWidth="1"/>
    <col min="7" max="7" width="12.33203125" style="63" customWidth="1"/>
    <col min="8" max="8" width="15.5546875" style="63" bestFit="1" customWidth="1"/>
    <col min="9" max="10" width="14.5546875" style="63" bestFit="1" customWidth="1"/>
    <col min="11" max="11" width="16.109375" style="63" customWidth="1"/>
    <col min="12" max="14" width="8.88671875" style="63"/>
    <col min="15" max="15" width="23.6640625" style="63" bestFit="1" customWidth="1"/>
    <col min="16" max="16" width="15.6640625" style="63" customWidth="1"/>
    <col min="17" max="16384" width="8.88671875" style="63"/>
  </cols>
  <sheetData>
    <row r="1" spans="1:16" ht="33.75" customHeight="1" x14ac:dyDescent="0.3">
      <c r="K1" s="63" t="s">
        <v>94</v>
      </c>
    </row>
    <row r="2" spans="1:16" x14ac:dyDescent="0.3"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O2" s="63" t="s">
        <v>292</v>
      </c>
      <c r="P2" s="63" t="s">
        <v>293</v>
      </c>
    </row>
    <row r="3" spans="1:16" x14ac:dyDescent="0.3">
      <c r="A3" s="63" t="s">
        <v>1</v>
      </c>
      <c r="B3" s="63" t="s">
        <v>86</v>
      </c>
      <c r="C3" s="63" t="s">
        <v>95</v>
      </c>
      <c r="D3" s="63" t="s">
        <v>96</v>
      </c>
      <c r="E3" s="63" t="s">
        <v>97</v>
      </c>
      <c r="F3" s="63" t="s">
        <v>98</v>
      </c>
      <c r="G3" s="63" t="s">
        <v>99</v>
      </c>
      <c r="H3" s="63" t="s">
        <v>100</v>
      </c>
      <c r="I3" s="63" t="s">
        <v>101</v>
      </c>
      <c r="J3" s="63" t="s">
        <v>102</v>
      </c>
      <c r="K3" s="63" t="s">
        <v>103</v>
      </c>
      <c r="O3" s="63" t="s">
        <v>181</v>
      </c>
      <c r="P3" s="63" t="s">
        <v>148</v>
      </c>
    </row>
    <row r="4" spans="1:16" x14ac:dyDescent="0.3"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O4" s="63" t="s">
        <v>182</v>
      </c>
      <c r="P4" s="63" t="s">
        <v>148</v>
      </c>
    </row>
    <row r="5" spans="1:16" x14ac:dyDescent="0.3">
      <c r="D5" s="63" t="s">
        <v>104</v>
      </c>
      <c r="E5" s="63" t="s">
        <v>105</v>
      </c>
      <c r="F5" s="63" t="s">
        <v>106</v>
      </c>
      <c r="O5" s="63" t="s">
        <v>183</v>
      </c>
      <c r="P5" s="63" t="s">
        <v>148</v>
      </c>
    </row>
    <row r="6" spans="1:16" x14ac:dyDescent="0.3">
      <c r="A6" s="63">
        <v>1</v>
      </c>
      <c r="B6" s="63" t="s">
        <v>107</v>
      </c>
      <c r="C6" s="63">
        <v>20</v>
      </c>
      <c r="D6" s="51">
        <v>16.543152168668435</v>
      </c>
      <c r="E6" s="51">
        <v>19.508378654264426</v>
      </c>
      <c r="F6" s="51">
        <v>35.370447619781672</v>
      </c>
      <c r="G6" s="63" t="s">
        <v>108</v>
      </c>
      <c r="H6" s="52">
        <v>239875.70644569231</v>
      </c>
      <c r="I6" s="52">
        <v>282871.4904868342</v>
      </c>
      <c r="J6" s="52">
        <v>512871.49048683426</v>
      </c>
      <c r="K6" s="53">
        <v>275000</v>
      </c>
      <c r="M6" s="63">
        <v>200</v>
      </c>
      <c r="O6" s="63" t="s">
        <v>232</v>
      </c>
      <c r="P6" s="63" t="s">
        <v>148</v>
      </c>
    </row>
    <row r="7" spans="1:16" x14ac:dyDescent="0.3">
      <c r="A7" s="63">
        <v>2</v>
      </c>
      <c r="B7" s="63" t="s">
        <v>109</v>
      </c>
      <c r="C7" s="63">
        <v>22</v>
      </c>
      <c r="D7" s="54">
        <v>23.225358812897611</v>
      </c>
      <c r="E7" s="54">
        <v>26.190585298493609</v>
      </c>
      <c r="F7" s="54">
        <v>43.638861160562577</v>
      </c>
      <c r="G7" s="63" t="s">
        <v>108</v>
      </c>
      <c r="H7" s="52">
        <v>336767.70278701535</v>
      </c>
      <c r="I7" s="52">
        <v>379763.48682815733</v>
      </c>
      <c r="J7" s="52">
        <v>632763.48682815733</v>
      </c>
      <c r="K7" s="53">
        <v>275000</v>
      </c>
      <c r="M7" s="63">
        <v>200</v>
      </c>
      <c r="O7" s="63" t="s">
        <v>240</v>
      </c>
      <c r="P7" s="63" t="s">
        <v>111</v>
      </c>
    </row>
    <row r="8" spans="1:16" x14ac:dyDescent="0.3">
      <c r="A8" s="63">
        <v>3</v>
      </c>
      <c r="B8" s="63" t="s">
        <v>110</v>
      </c>
      <c r="C8" s="63">
        <v>30</v>
      </c>
      <c r="D8" s="51">
        <v>41.215220187976122</v>
      </c>
      <c r="E8" s="51">
        <v>44.180446673572121</v>
      </c>
      <c r="F8" s="51">
        <v>69.559757018399708</v>
      </c>
      <c r="G8" s="63" t="s">
        <v>108</v>
      </c>
      <c r="H8" s="52">
        <v>597620.69272565376</v>
      </c>
      <c r="I8" s="52">
        <v>640616.47676679573</v>
      </c>
      <c r="J8" s="52">
        <v>1008616.4767667957</v>
      </c>
      <c r="K8" s="53">
        <v>400000</v>
      </c>
      <c r="M8" s="63">
        <v>300</v>
      </c>
      <c r="O8" s="63" t="s">
        <v>266</v>
      </c>
      <c r="P8" s="63" t="s">
        <v>111</v>
      </c>
    </row>
    <row r="9" spans="1:16" x14ac:dyDescent="0.3">
      <c r="A9" s="63">
        <v>4</v>
      </c>
      <c r="B9" s="63" t="s">
        <v>111</v>
      </c>
      <c r="C9" s="63">
        <v>38</v>
      </c>
      <c r="D9" s="55">
        <v>58.29</v>
      </c>
      <c r="E9" s="55">
        <v>61.6</v>
      </c>
      <c r="F9" s="55">
        <v>87.81</v>
      </c>
      <c r="G9" s="63" t="s">
        <v>108</v>
      </c>
      <c r="H9" s="52">
        <v>845205</v>
      </c>
      <c r="I9" s="52">
        <v>893200</v>
      </c>
      <c r="J9" s="52">
        <v>1273245</v>
      </c>
      <c r="K9" s="52">
        <v>950000</v>
      </c>
      <c r="M9" s="63">
        <v>400</v>
      </c>
      <c r="O9" s="63" t="s">
        <v>233</v>
      </c>
      <c r="P9" s="63" t="s">
        <v>111</v>
      </c>
    </row>
    <row r="10" spans="1:16" x14ac:dyDescent="0.3">
      <c r="A10" s="63">
        <v>5</v>
      </c>
      <c r="B10" s="64" t="s">
        <v>148</v>
      </c>
      <c r="C10" s="64">
        <v>45</v>
      </c>
      <c r="D10" s="65">
        <v>63.54</v>
      </c>
      <c r="E10" s="65">
        <v>66.849999999999994</v>
      </c>
      <c r="F10" s="65">
        <v>98.05</v>
      </c>
      <c r="G10" s="64" t="s">
        <v>108</v>
      </c>
      <c r="H10" s="52">
        <v>921330</v>
      </c>
      <c r="I10" s="52">
        <v>969324.99999999988</v>
      </c>
      <c r="J10" s="52">
        <v>1421725</v>
      </c>
      <c r="K10" s="66">
        <v>1000000</v>
      </c>
      <c r="O10" s="63" t="s">
        <v>184</v>
      </c>
      <c r="P10" s="63" t="s">
        <v>111</v>
      </c>
    </row>
    <row r="11" spans="1:16" x14ac:dyDescent="0.3">
      <c r="A11" s="63">
        <v>6</v>
      </c>
      <c r="B11" s="63" t="s">
        <v>112</v>
      </c>
      <c r="C11" s="63">
        <v>20</v>
      </c>
      <c r="D11" s="55">
        <v>17.650196458586205</v>
      </c>
      <c r="E11" s="55">
        <v>20.6154229441822</v>
      </c>
      <c r="F11" s="55">
        <v>36.477491909699445</v>
      </c>
      <c r="G11" s="63" t="s">
        <v>108</v>
      </c>
      <c r="H11" s="52">
        <v>255927.84864949997</v>
      </c>
      <c r="I11" s="52">
        <v>298923.63269064191</v>
      </c>
      <c r="J11" s="52">
        <v>528923.63269064191</v>
      </c>
      <c r="K11" s="53">
        <v>275000</v>
      </c>
      <c r="M11" s="63">
        <v>200</v>
      </c>
      <c r="O11" s="63" t="s">
        <v>241</v>
      </c>
      <c r="P11" s="63" t="s">
        <v>111</v>
      </c>
    </row>
    <row r="12" spans="1:16" x14ac:dyDescent="0.3">
      <c r="A12" s="63">
        <v>7</v>
      </c>
      <c r="B12" s="63" t="s">
        <v>113</v>
      </c>
      <c r="C12" s="63">
        <v>28</v>
      </c>
      <c r="D12" s="55">
        <v>34.235023413986731</v>
      </c>
      <c r="E12" s="55">
        <v>37.20024989958273</v>
      </c>
      <c r="F12" s="55">
        <v>59.407146451306865</v>
      </c>
      <c r="G12" s="63" t="s">
        <v>108</v>
      </c>
      <c r="H12" s="52">
        <v>496407.83950280759</v>
      </c>
      <c r="I12" s="52">
        <v>539403.62354394956</v>
      </c>
      <c r="J12" s="52">
        <v>861403.62354394956</v>
      </c>
      <c r="K12" s="53">
        <v>400000</v>
      </c>
      <c r="O12" s="63" t="s">
        <v>185</v>
      </c>
      <c r="P12" s="63" t="s">
        <v>110</v>
      </c>
    </row>
    <row r="13" spans="1:16" x14ac:dyDescent="0.3">
      <c r="A13" s="63">
        <v>8</v>
      </c>
      <c r="B13" s="63" t="s">
        <v>114</v>
      </c>
      <c r="C13" s="63">
        <v>30</v>
      </c>
      <c r="D13" s="55">
        <v>98.227887364718683</v>
      </c>
      <c r="E13" s="55">
        <v>101.53794143652156</v>
      </c>
      <c r="F13" s="55">
        <v>127.71035522962501</v>
      </c>
      <c r="G13" s="63" t="s">
        <v>115</v>
      </c>
      <c r="H13" s="52">
        <v>1424304.3667884208</v>
      </c>
      <c r="I13" s="52">
        <v>1472300.1508295627</v>
      </c>
      <c r="J13" s="52">
        <v>1851800.1508295627</v>
      </c>
      <c r="K13" s="52">
        <v>1424304.3667884208</v>
      </c>
      <c r="O13" s="63" t="s">
        <v>288</v>
      </c>
      <c r="P13" s="63" t="s">
        <v>110</v>
      </c>
    </row>
    <row r="14" spans="1:16" x14ac:dyDescent="0.3">
      <c r="A14" s="63">
        <v>9</v>
      </c>
      <c r="B14" s="63" t="s">
        <v>116</v>
      </c>
      <c r="C14" s="63">
        <v>30</v>
      </c>
      <c r="D14" s="55">
        <v>42.330991099155035</v>
      </c>
      <c r="E14" s="55">
        <v>45.296217584751034</v>
      </c>
      <c r="F14" s="55">
        <v>69.089321033026891</v>
      </c>
      <c r="G14" s="63" t="s">
        <v>117</v>
      </c>
      <c r="H14" s="52">
        <v>613799.370937748</v>
      </c>
      <c r="I14" s="52">
        <v>656795.15497888997</v>
      </c>
      <c r="J14" s="52">
        <v>1001795.15497889</v>
      </c>
      <c r="K14" s="53">
        <v>425000</v>
      </c>
      <c r="O14" s="63" t="s">
        <v>255</v>
      </c>
      <c r="P14" s="63" t="s">
        <v>110</v>
      </c>
    </row>
    <row r="15" spans="1:16" x14ac:dyDescent="0.3">
      <c r="A15" s="63">
        <v>10</v>
      </c>
      <c r="B15" s="63" t="s">
        <v>118</v>
      </c>
      <c r="C15" s="63">
        <v>33</v>
      </c>
      <c r="D15" s="55">
        <v>42.779234898714847</v>
      </c>
      <c r="E15" s="55">
        <v>45.744461384310853</v>
      </c>
      <c r="F15" s="55">
        <v>71.916875177414298</v>
      </c>
      <c r="G15" s="63" t="s">
        <v>117</v>
      </c>
      <c r="H15" s="52">
        <v>620298.90603136527</v>
      </c>
      <c r="I15" s="52">
        <v>663294.69007250736</v>
      </c>
      <c r="J15" s="52">
        <v>1042794.6900725074</v>
      </c>
      <c r="K15" s="53">
        <v>425000</v>
      </c>
      <c r="O15" s="63" t="s">
        <v>242</v>
      </c>
      <c r="P15" s="63" t="s">
        <v>110</v>
      </c>
    </row>
    <row r="16" spans="1:16" x14ac:dyDescent="0.3">
      <c r="A16" s="63">
        <v>11</v>
      </c>
      <c r="B16" s="63" t="s">
        <v>119</v>
      </c>
      <c r="C16" s="63">
        <v>15</v>
      </c>
      <c r="D16" s="55">
        <v>32.851040611188708</v>
      </c>
      <c r="E16" s="55">
        <v>35.816267096784706</v>
      </c>
      <c r="F16" s="55">
        <v>47.712818820922635</v>
      </c>
      <c r="G16" s="63" t="s">
        <v>120</v>
      </c>
      <c r="H16" s="52">
        <v>476340.08886223624</v>
      </c>
      <c r="I16" s="52">
        <v>519335.87290337821</v>
      </c>
      <c r="J16" s="52">
        <v>691835.87290337821</v>
      </c>
      <c r="K16" s="53">
        <v>350000</v>
      </c>
      <c r="O16" s="63" t="s">
        <v>256</v>
      </c>
      <c r="P16" s="63" t="s">
        <v>110</v>
      </c>
    </row>
    <row r="17" spans="1:16" x14ac:dyDescent="0.3">
      <c r="A17" s="63">
        <v>12</v>
      </c>
      <c r="B17" s="63" t="s">
        <v>121</v>
      </c>
      <c r="C17" s="63">
        <v>11</v>
      </c>
      <c r="D17" s="55">
        <v>13.198075497496305</v>
      </c>
      <c r="E17" s="55">
        <v>16.1633019830923</v>
      </c>
      <c r="F17" s="55">
        <v>24.094336465850922</v>
      </c>
      <c r="G17" s="63" t="s">
        <v>122</v>
      </c>
      <c r="H17" s="52">
        <v>191372.09471369642</v>
      </c>
      <c r="I17" s="52">
        <v>234367.87875483834</v>
      </c>
      <c r="J17" s="52">
        <v>349367.87875483837</v>
      </c>
      <c r="K17" s="53">
        <v>220000</v>
      </c>
      <c r="O17" s="63" t="s">
        <v>257</v>
      </c>
      <c r="P17" s="63" t="s">
        <v>110</v>
      </c>
    </row>
    <row r="18" spans="1:16" x14ac:dyDescent="0.3">
      <c r="A18" s="63">
        <v>13</v>
      </c>
      <c r="B18" s="63" t="s">
        <v>123</v>
      </c>
      <c r="C18" s="63">
        <v>11</v>
      </c>
      <c r="D18" s="55">
        <v>9.9396573133956743</v>
      </c>
      <c r="E18" s="55">
        <v>12.904883798991671</v>
      </c>
      <c r="F18" s="55">
        <v>20.835918281750292</v>
      </c>
      <c r="G18" s="63" t="s">
        <v>122</v>
      </c>
      <c r="H18" s="52">
        <v>144125.03104423729</v>
      </c>
      <c r="I18" s="52">
        <v>187120.81508537923</v>
      </c>
      <c r="J18" s="52">
        <v>302120.81508537923</v>
      </c>
      <c r="K18" s="53">
        <v>220000</v>
      </c>
      <c r="O18" s="63" t="s">
        <v>267</v>
      </c>
      <c r="P18" s="63" t="s">
        <v>110</v>
      </c>
    </row>
    <row r="19" spans="1:16" x14ac:dyDescent="0.3">
      <c r="A19" s="63">
        <v>14</v>
      </c>
      <c r="B19" s="63" t="s">
        <v>124</v>
      </c>
      <c r="C19" s="63">
        <v>11</v>
      </c>
      <c r="D19" s="55">
        <v>8.6243115698869737</v>
      </c>
      <c r="E19" s="55">
        <v>11.58953805548297</v>
      </c>
      <c r="F19" s="55">
        <v>19.520572538241591</v>
      </c>
      <c r="G19" s="63" t="s">
        <v>122</v>
      </c>
      <c r="H19" s="52">
        <v>125052.51776336112</v>
      </c>
      <c r="I19" s="52">
        <v>168048.30180450308</v>
      </c>
      <c r="J19" s="52">
        <v>283048.30180450308</v>
      </c>
      <c r="O19" s="63" t="s">
        <v>186</v>
      </c>
      <c r="P19" s="63" t="s">
        <v>113</v>
      </c>
    </row>
    <row r="20" spans="1:16" x14ac:dyDescent="0.3">
      <c r="A20" s="63">
        <v>15</v>
      </c>
      <c r="B20" s="63" t="s">
        <v>125</v>
      </c>
      <c r="C20" s="63">
        <v>20</v>
      </c>
      <c r="D20" s="55">
        <v>12.869935559578513</v>
      </c>
      <c r="E20" s="55">
        <v>15.835162045174506</v>
      </c>
      <c r="F20" s="55">
        <v>31.697231010691752</v>
      </c>
      <c r="G20" s="63" t="s">
        <v>126</v>
      </c>
      <c r="H20" s="52">
        <v>186614.06561388844</v>
      </c>
      <c r="I20" s="52">
        <v>229609.84965503035</v>
      </c>
      <c r="J20" s="52">
        <v>459609.84965503041</v>
      </c>
      <c r="O20" s="63" t="s">
        <v>187</v>
      </c>
      <c r="P20" s="63" t="s">
        <v>113</v>
      </c>
    </row>
    <row r="21" spans="1:16" x14ac:dyDescent="0.3">
      <c r="A21" s="63">
        <v>16</v>
      </c>
      <c r="B21" s="63" t="s">
        <v>127</v>
      </c>
      <c r="C21" s="63">
        <v>20</v>
      </c>
      <c r="D21" s="55">
        <v>34.014481497007949</v>
      </c>
      <c r="E21" s="55">
        <v>36.979707982603948</v>
      </c>
      <c r="F21" s="55">
        <v>52.841776948121193</v>
      </c>
      <c r="G21" s="63" t="s">
        <v>126</v>
      </c>
      <c r="H21" s="52">
        <v>493209.98170661525</v>
      </c>
      <c r="I21" s="52">
        <v>536205.76574775728</v>
      </c>
      <c r="J21" s="52">
        <v>766205.76574775728</v>
      </c>
      <c r="O21" s="63" t="s">
        <v>258</v>
      </c>
      <c r="P21" s="63" t="s">
        <v>109</v>
      </c>
    </row>
    <row r="22" spans="1:16" x14ac:dyDescent="0.3">
      <c r="A22" s="63">
        <v>17</v>
      </c>
      <c r="B22" s="63" t="s">
        <v>128</v>
      </c>
      <c r="C22" s="63">
        <v>15</v>
      </c>
      <c r="D22" s="55">
        <v>17.340346563348103</v>
      </c>
      <c r="E22" s="55">
        <v>18.94828557481604</v>
      </c>
      <c r="F22" s="55">
        <v>30.051733850678108</v>
      </c>
      <c r="G22" s="63" t="s">
        <v>129</v>
      </c>
      <c r="H22" s="52">
        <v>251435.02516854749</v>
      </c>
      <c r="I22" s="52">
        <v>274750.14083483256</v>
      </c>
      <c r="J22" s="52">
        <v>435750.14083483256</v>
      </c>
      <c r="K22" s="53">
        <v>210000</v>
      </c>
      <c r="O22" s="63" t="s">
        <v>259</v>
      </c>
      <c r="P22" s="63" t="s">
        <v>109</v>
      </c>
    </row>
    <row r="23" spans="1:16" x14ac:dyDescent="0.3">
      <c r="A23" s="63">
        <v>18</v>
      </c>
      <c r="B23" s="63" t="s">
        <v>130</v>
      </c>
      <c r="C23" s="63">
        <v>20</v>
      </c>
      <c r="D23" s="55">
        <v>31.171772542920422</v>
      </c>
      <c r="E23" s="55">
        <v>32.952125347491801</v>
      </c>
      <c r="F23" s="55">
        <v>48.814194313009047</v>
      </c>
      <c r="G23" s="63" t="s">
        <v>129</v>
      </c>
      <c r="H23" s="52">
        <v>451990.70187234611</v>
      </c>
      <c r="I23" s="52">
        <v>477805.81753863109</v>
      </c>
      <c r="J23" s="52">
        <v>707805.81753863115</v>
      </c>
      <c r="K23" s="53">
        <v>460000</v>
      </c>
      <c r="O23" s="63" t="s">
        <v>260</v>
      </c>
      <c r="P23" s="63" t="s">
        <v>109</v>
      </c>
    </row>
    <row r="24" spans="1:16" x14ac:dyDescent="0.3">
      <c r="A24" s="63">
        <v>19</v>
      </c>
      <c r="B24" s="64" t="s">
        <v>149</v>
      </c>
      <c r="C24" s="64">
        <v>28</v>
      </c>
      <c r="D24" s="65">
        <v>32.42</v>
      </c>
      <c r="E24" s="65">
        <v>34.21</v>
      </c>
      <c r="F24" s="65">
        <v>53.52</v>
      </c>
      <c r="G24" s="64" t="s">
        <v>129</v>
      </c>
      <c r="H24" s="52">
        <v>470090</v>
      </c>
      <c r="I24" s="52">
        <v>496045</v>
      </c>
      <c r="J24" s="52">
        <v>776040</v>
      </c>
      <c r="K24" s="67">
        <v>500000</v>
      </c>
      <c r="O24" s="63" t="s">
        <v>261</v>
      </c>
      <c r="P24" s="63" t="s">
        <v>109</v>
      </c>
    </row>
    <row r="25" spans="1:16" x14ac:dyDescent="0.3">
      <c r="A25" s="63">
        <v>20</v>
      </c>
      <c r="B25" s="63" t="s">
        <v>328</v>
      </c>
      <c r="C25" s="114">
        <v>28</v>
      </c>
      <c r="D25" s="65">
        <v>32.42</v>
      </c>
      <c r="E25" s="65">
        <v>34.21</v>
      </c>
      <c r="F25" s="65">
        <v>53.52</v>
      </c>
      <c r="G25" s="64" t="s">
        <v>129</v>
      </c>
      <c r="H25" s="52">
        <v>470090</v>
      </c>
      <c r="I25" s="52">
        <v>496045</v>
      </c>
      <c r="J25" s="52">
        <v>776040</v>
      </c>
      <c r="K25" s="67">
        <v>500000</v>
      </c>
    </row>
    <row r="26" spans="1:16" x14ac:dyDescent="0.3">
      <c r="A26" s="63">
        <v>21</v>
      </c>
      <c r="B26" s="63" t="s">
        <v>38</v>
      </c>
      <c r="C26" s="63">
        <v>10</v>
      </c>
      <c r="D26" s="56"/>
      <c r="E26" s="56"/>
      <c r="F26" s="56"/>
      <c r="H26" s="52">
        <v>8000000</v>
      </c>
      <c r="I26" s="52"/>
      <c r="J26" s="52"/>
      <c r="K26" s="52">
        <v>8000000</v>
      </c>
      <c r="O26" s="63" t="s">
        <v>262</v>
      </c>
      <c r="P26" s="63" t="s">
        <v>109</v>
      </c>
    </row>
    <row r="27" spans="1:16" x14ac:dyDescent="0.3">
      <c r="A27" s="63">
        <v>22</v>
      </c>
      <c r="B27" s="63" t="s">
        <v>131</v>
      </c>
      <c r="C27" s="63">
        <v>4</v>
      </c>
      <c r="D27" s="56"/>
      <c r="E27" s="56"/>
      <c r="F27" s="56"/>
      <c r="H27" s="52">
        <v>3000000</v>
      </c>
      <c r="I27" s="52"/>
      <c r="J27" s="52"/>
      <c r="K27" s="52">
        <v>3000000</v>
      </c>
      <c r="O27" s="63" t="s">
        <v>188</v>
      </c>
      <c r="P27" s="63" t="s">
        <v>109</v>
      </c>
    </row>
    <row r="28" spans="1:16" x14ac:dyDescent="0.3">
      <c r="A28" s="63">
        <v>23</v>
      </c>
      <c r="B28" s="63" t="s">
        <v>150</v>
      </c>
      <c r="C28" s="64">
        <v>10</v>
      </c>
      <c r="D28" s="64"/>
      <c r="E28" s="64"/>
      <c r="F28" s="64"/>
      <c r="G28" s="64"/>
      <c r="H28" s="52">
        <v>12000000</v>
      </c>
      <c r="K28" s="52">
        <f>Table2[[#This Row],[Column4]]</f>
        <v>12000000</v>
      </c>
      <c r="O28" s="63" t="s">
        <v>189</v>
      </c>
      <c r="P28" s="63" t="s">
        <v>109</v>
      </c>
    </row>
    <row r="29" spans="1:16" x14ac:dyDescent="0.3">
      <c r="A29" s="209" t="s">
        <v>132</v>
      </c>
      <c r="B29" s="209"/>
      <c r="C29" s="209"/>
      <c r="O29" s="63" t="s">
        <v>298</v>
      </c>
      <c r="P29" s="63" t="s">
        <v>109</v>
      </c>
    </row>
    <row r="30" spans="1:16" x14ac:dyDescent="0.3">
      <c r="J30" s="108" t="s">
        <v>296</v>
      </c>
      <c r="O30" s="63" t="s">
        <v>299</v>
      </c>
      <c r="P30" s="63" t="s">
        <v>109</v>
      </c>
    </row>
    <row r="31" spans="1:16" ht="14.4" thickBot="1" x14ac:dyDescent="0.35">
      <c r="A31" s="57" t="s">
        <v>1</v>
      </c>
      <c r="B31" s="58" t="s">
        <v>86</v>
      </c>
      <c r="C31" s="58" t="s">
        <v>133</v>
      </c>
      <c r="O31" s="63" t="s">
        <v>289</v>
      </c>
      <c r="P31" s="63" t="s">
        <v>109</v>
      </c>
    </row>
    <row r="32" spans="1:16" ht="14.4" thickTop="1" x14ac:dyDescent="0.3">
      <c r="A32" s="63">
        <v>1</v>
      </c>
      <c r="B32" s="63" t="s">
        <v>134</v>
      </c>
      <c r="C32" s="59">
        <v>24</v>
      </c>
      <c r="O32" s="63" t="s">
        <v>190</v>
      </c>
      <c r="P32" s="63" t="s">
        <v>107</v>
      </c>
    </row>
    <row r="33" spans="1:16" x14ac:dyDescent="0.3">
      <c r="A33" s="63">
        <v>2</v>
      </c>
      <c r="B33" s="63" t="s">
        <v>135</v>
      </c>
      <c r="C33" s="59">
        <v>16</v>
      </c>
      <c r="O33" s="63" t="s">
        <v>191</v>
      </c>
      <c r="P33" s="63" t="s">
        <v>112</v>
      </c>
    </row>
    <row r="34" spans="1:16" x14ac:dyDescent="0.3">
      <c r="A34" s="63">
        <v>3</v>
      </c>
      <c r="B34" s="60" t="s">
        <v>136</v>
      </c>
      <c r="C34" s="59">
        <v>8</v>
      </c>
      <c r="O34" s="63" t="s">
        <v>243</v>
      </c>
      <c r="P34" s="63" t="s">
        <v>112</v>
      </c>
    </row>
    <row r="35" spans="1:16" x14ac:dyDescent="0.3">
      <c r="A35" s="63">
        <v>4</v>
      </c>
      <c r="B35" s="63" t="s">
        <v>137</v>
      </c>
      <c r="C35" s="59">
        <v>16</v>
      </c>
      <c r="O35" s="63" t="s">
        <v>192</v>
      </c>
      <c r="P35" s="63" t="s">
        <v>112</v>
      </c>
    </row>
    <row r="36" spans="1:16" x14ac:dyDescent="0.3">
      <c r="A36" s="63">
        <v>5</v>
      </c>
      <c r="B36" s="63" t="s">
        <v>138</v>
      </c>
      <c r="C36" s="59">
        <v>8</v>
      </c>
      <c r="O36" s="63" t="s">
        <v>193</v>
      </c>
      <c r="P36" s="63" t="s">
        <v>112</v>
      </c>
    </row>
    <row r="37" spans="1:16" x14ac:dyDescent="0.3">
      <c r="O37" s="63" t="s">
        <v>194</v>
      </c>
      <c r="P37" s="63" t="s">
        <v>112</v>
      </c>
    </row>
    <row r="38" spans="1:16" x14ac:dyDescent="0.3">
      <c r="O38" s="63" t="s">
        <v>195</v>
      </c>
      <c r="P38" s="63" t="s">
        <v>112</v>
      </c>
    </row>
    <row r="39" spans="1:16" x14ac:dyDescent="0.3">
      <c r="B39" s="63">
        <v>14652.34</v>
      </c>
      <c r="O39" s="63" t="s">
        <v>196</v>
      </c>
      <c r="P39" s="63" t="s">
        <v>112</v>
      </c>
    </row>
    <row r="40" spans="1:16" x14ac:dyDescent="0.3">
      <c r="O40" s="63" t="s">
        <v>197</v>
      </c>
      <c r="P40" s="63" t="s">
        <v>112</v>
      </c>
    </row>
    <row r="41" spans="1:16" x14ac:dyDescent="0.3">
      <c r="O41" s="63" t="s">
        <v>198</v>
      </c>
      <c r="P41" s="63" t="s">
        <v>112</v>
      </c>
    </row>
    <row r="42" spans="1:16" x14ac:dyDescent="0.3">
      <c r="O42" s="63" t="s">
        <v>199</v>
      </c>
      <c r="P42" s="63" t="s">
        <v>112</v>
      </c>
    </row>
    <row r="43" spans="1:16" x14ac:dyDescent="0.3">
      <c r="O43" s="63" t="s">
        <v>253</v>
      </c>
      <c r="P43" s="63" t="s">
        <v>114</v>
      </c>
    </row>
    <row r="44" spans="1:16" x14ac:dyDescent="0.3">
      <c r="O44" s="63" t="s">
        <v>271</v>
      </c>
      <c r="P44" s="63" t="s">
        <v>114</v>
      </c>
    </row>
    <row r="45" spans="1:16" x14ac:dyDescent="0.3">
      <c r="O45" s="63" t="s">
        <v>244</v>
      </c>
      <c r="P45" s="63" t="s">
        <v>114</v>
      </c>
    </row>
    <row r="46" spans="1:16" x14ac:dyDescent="0.3">
      <c r="O46" s="63" t="s">
        <v>254</v>
      </c>
      <c r="P46" s="63" t="s">
        <v>114</v>
      </c>
    </row>
    <row r="47" spans="1:16" x14ac:dyDescent="0.3">
      <c r="O47" s="63" t="s">
        <v>245</v>
      </c>
      <c r="P47" s="63" t="s">
        <v>114</v>
      </c>
    </row>
    <row r="48" spans="1:16" x14ac:dyDescent="0.3">
      <c r="O48" s="63" t="s">
        <v>246</v>
      </c>
      <c r="P48" s="63" t="s">
        <v>114</v>
      </c>
    </row>
    <row r="49" spans="15:16" x14ac:dyDescent="0.3">
      <c r="O49" s="63" t="s">
        <v>247</v>
      </c>
      <c r="P49" s="63" t="s">
        <v>114</v>
      </c>
    </row>
    <row r="50" spans="15:16" x14ac:dyDescent="0.3">
      <c r="O50" s="63" t="s">
        <v>200</v>
      </c>
      <c r="P50" s="63" t="s">
        <v>114</v>
      </c>
    </row>
    <row r="51" spans="15:16" x14ac:dyDescent="0.3">
      <c r="O51" s="63" t="s">
        <v>201</v>
      </c>
      <c r="P51" s="63" t="s">
        <v>114</v>
      </c>
    </row>
    <row r="52" spans="15:16" x14ac:dyDescent="0.3">
      <c r="O52" s="63" t="s">
        <v>202</v>
      </c>
      <c r="P52" s="63" t="s">
        <v>114</v>
      </c>
    </row>
    <row r="53" spans="15:16" x14ac:dyDescent="0.3">
      <c r="O53" s="63" t="s">
        <v>203</v>
      </c>
      <c r="P53" s="63" t="s">
        <v>114</v>
      </c>
    </row>
    <row r="54" spans="15:16" x14ac:dyDescent="0.3">
      <c r="O54" s="63" t="s">
        <v>204</v>
      </c>
      <c r="P54" s="63" t="s">
        <v>114</v>
      </c>
    </row>
    <row r="55" spans="15:16" x14ac:dyDescent="0.3">
      <c r="O55" s="63" t="s">
        <v>205</v>
      </c>
      <c r="P55" s="63" t="s">
        <v>114</v>
      </c>
    </row>
    <row r="56" spans="15:16" x14ac:dyDescent="0.3">
      <c r="O56" s="63" t="s">
        <v>206</v>
      </c>
      <c r="P56" s="63" t="s">
        <v>114</v>
      </c>
    </row>
    <row r="57" spans="15:16" x14ac:dyDescent="0.3">
      <c r="O57" s="63" t="s">
        <v>207</v>
      </c>
      <c r="P57" s="63" t="s">
        <v>114</v>
      </c>
    </row>
    <row r="58" spans="15:16" x14ac:dyDescent="0.3">
      <c r="O58" s="63" t="s">
        <v>208</v>
      </c>
      <c r="P58" s="63" t="s">
        <v>114</v>
      </c>
    </row>
    <row r="59" spans="15:16" x14ac:dyDescent="0.3">
      <c r="O59" s="63" t="s">
        <v>209</v>
      </c>
      <c r="P59" s="63" t="s">
        <v>114</v>
      </c>
    </row>
    <row r="60" spans="15:16" x14ac:dyDescent="0.3">
      <c r="O60" s="63" t="s">
        <v>210</v>
      </c>
      <c r="P60" s="63" t="s">
        <v>114</v>
      </c>
    </row>
    <row r="61" spans="15:16" x14ac:dyDescent="0.3">
      <c r="O61" s="63" t="s">
        <v>211</v>
      </c>
      <c r="P61" s="63" t="s">
        <v>114</v>
      </c>
    </row>
    <row r="62" spans="15:16" x14ac:dyDescent="0.3">
      <c r="O62" s="63" t="s">
        <v>212</v>
      </c>
      <c r="P62" s="63" t="s">
        <v>114</v>
      </c>
    </row>
    <row r="63" spans="15:16" x14ac:dyDescent="0.3">
      <c r="O63" s="63" t="s">
        <v>213</v>
      </c>
      <c r="P63" s="63" t="s">
        <v>114</v>
      </c>
    </row>
    <row r="64" spans="15:16" x14ac:dyDescent="0.3">
      <c r="O64" s="63" t="s">
        <v>234</v>
      </c>
      <c r="P64" s="63" t="s">
        <v>114</v>
      </c>
    </row>
    <row r="65" spans="15:16" x14ac:dyDescent="0.3">
      <c r="O65" s="63" t="s">
        <v>235</v>
      </c>
      <c r="P65" s="63" t="s">
        <v>114</v>
      </c>
    </row>
    <row r="66" spans="15:16" x14ac:dyDescent="0.3">
      <c r="O66" s="63" t="s">
        <v>236</v>
      </c>
      <c r="P66" s="63" t="s">
        <v>114</v>
      </c>
    </row>
    <row r="67" spans="15:16" x14ac:dyDescent="0.3">
      <c r="O67" s="63" t="s">
        <v>278</v>
      </c>
      <c r="P67" s="63" t="s">
        <v>118</v>
      </c>
    </row>
    <row r="68" spans="15:16" x14ac:dyDescent="0.3">
      <c r="O68" s="63" t="s">
        <v>248</v>
      </c>
      <c r="P68" s="63" t="s">
        <v>118</v>
      </c>
    </row>
    <row r="69" spans="15:16" x14ac:dyDescent="0.3">
      <c r="O69" s="63" t="s">
        <v>249</v>
      </c>
      <c r="P69" s="63" t="s">
        <v>118</v>
      </c>
    </row>
    <row r="70" spans="15:16" x14ac:dyDescent="0.3">
      <c r="O70" s="63" t="s">
        <v>214</v>
      </c>
      <c r="P70" s="63" t="s">
        <v>118</v>
      </c>
    </row>
    <row r="71" spans="15:16" x14ac:dyDescent="0.3">
      <c r="O71" s="63" t="s">
        <v>215</v>
      </c>
      <c r="P71" s="63" t="s">
        <v>118</v>
      </c>
    </row>
    <row r="72" spans="15:16" x14ac:dyDescent="0.3">
      <c r="O72" s="63" t="s">
        <v>216</v>
      </c>
      <c r="P72" s="63" t="s">
        <v>118</v>
      </c>
    </row>
    <row r="73" spans="15:16" x14ac:dyDescent="0.3">
      <c r="O73" s="63" t="s">
        <v>217</v>
      </c>
      <c r="P73" s="63" t="s">
        <v>118</v>
      </c>
    </row>
    <row r="74" spans="15:16" x14ac:dyDescent="0.3">
      <c r="O74" s="63" t="s">
        <v>237</v>
      </c>
      <c r="P74" s="63" t="s">
        <v>118</v>
      </c>
    </row>
    <row r="75" spans="15:16" x14ac:dyDescent="0.3">
      <c r="O75" s="63" t="s">
        <v>263</v>
      </c>
      <c r="P75" s="63" t="s">
        <v>116</v>
      </c>
    </row>
    <row r="76" spans="15:16" x14ac:dyDescent="0.3">
      <c r="O76" s="63" t="s">
        <v>218</v>
      </c>
      <c r="P76" s="63" t="s">
        <v>116</v>
      </c>
    </row>
    <row r="77" spans="15:16" x14ac:dyDescent="0.3">
      <c r="O77" s="63" t="s">
        <v>250</v>
      </c>
      <c r="P77" s="63" t="s">
        <v>116</v>
      </c>
    </row>
    <row r="78" spans="15:16" x14ac:dyDescent="0.3">
      <c r="O78" s="63" t="s">
        <v>219</v>
      </c>
      <c r="P78" s="63" t="s">
        <v>116</v>
      </c>
    </row>
    <row r="79" spans="15:16" x14ac:dyDescent="0.3">
      <c r="O79" s="63" t="s">
        <v>238</v>
      </c>
      <c r="P79" s="63" t="s">
        <v>116</v>
      </c>
    </row>
    <row r="80" spans="15:16" x14ac:dyDescent="0.3">
      <c r="O80" s="63" t="s">
        <v>220</v>
      </c>
      <c r="P80" s="63" t="s">
        <v>119</v>
      </c>
    </row>
    <row r="81" spans="15:16" x14ac:dyDescent="0.3">
      <c r="O81" s="63" t="s">
        <v>268</v>
      </c>
      <c r="P81" s="63" t="s">
        <v>127</v>
      </c>
    </row>
    <row r="82" spans="15:16" x14ac:dyDescent="0.3">
      <c r="O82" s="63" t="s">
        <v>305</v>
      </c>
      <c r="P82" s="63" t="s">
        <v>121</v>
      </c>
    </row>
    <row r="83" spans="15:16" x14ac:dyDescent="0.3">
      <c r="O83" s="63" t="s">
        <v>269</v>
      </c>
      <c r="P83" s="63" t="s">
        <v>121</v>
      </c>
    </row>
    <row r="84" spans="15:16" x14ac:dyDescent="0.3">
      <c r="O84" s="63" t="s">
        <v>279</v>
      </c>
      <c r="P84" s="63" t="s">
        <v>121</v>
      </c>
    </row>
    <row r="85" spans="15:16" x14ac:dyDescent="0.3">
      <c r="O85" s="63" t="s">
        <v>221</v>
      </c>
      <c r="P85" s="63" t="s">
        <v>121</v>
      </c>
    </row>
    <row r="86" spans="15:16" x14ac:dyDescent="0.3">
      <c r="O86" s="63" t="s">
        <v>283</v>
      </c>
      <c r="P86" s="63" t="s">
        <v>38</v>
      </c>
    </row>
    <row r="87" spans="15:16" x14ac:dyDescent="0.3">
      <c r="O87" s="63" t="s">
        <v>224</v>
      </c>
      <c r="P87" s="63" t="s">
        <v>38</v>
      </c>
    </row>
    <row r="88" spans="15:16" x14ac:dyDescent="0.3">
      <c r="O88" s="63" t="s">
        <v>225</v>
      </c>
      <c r="P88" s="63" t="s">
        <v>38</v>
      </c>
    </row>
    <row r="89" spans="15:16" x14ac:dyDescent="0.3">
      <c r="O89" s="63" t="s">
        <v>226</v>
      </c>
      <c r="P89" s="63" t="s">
        <v>38</v>
      </c>
    </row>
    <row r="90" spans="15:16" x14ac:dyDescent="0.3">
      <c r="O90" s="63" t="s">
        <v>239</v>
      </c>
      <c r="P90" s="63" t="s">
        <v>38</v>
      </c>
    </row>
    <row r="91" spans="15:16" x14ac:dyDescent="0.3">
      <c r="O91" s="63" t="s">
        <v>284</v>
      </c>
      <c r="P91" s="63" t="s">
        <v>38</v>
      </c>
    </row>
    <row r="92" spans="15:16" x14ac:dyDescent="0.3">
      <c r="O92" s="63" t="s">
        <v>222</v>
      </c>
      <c r="P92" s="63" t="s">
        <v>38</v>
      </c>
    </row>
    <row r="93" spans="15:16" x14ac:dyDescent="0.3">
      <c r="O93" s="63" t="s">
        <v>265</v>
      </c>
      <c r="P93" s="63" t="s">
        <v>38</v>
      </c>
    </row>
    <row r="94" spans="15:16" x14ac:dyDescent="0.3">
      <c r="O94" s="63" t="s">
        <v>272</v>
      </c>
      <c r="P94" s="63" t="s">
        <v>38</v>
      </c>
    </row>
    <row r="95" spans="15:16" x14ac:dyDescent="0.3">
      <c r="O95" s="63" t="s">
        <v>290</v>
      </c>
      <c r="P95" s="63" t="s">
        <v>38</v>
      </c>
    </row>
    <row r="96" spans="15:16" x14ac:dyDescent="0.3">
      <c r="O96" s="63" t="s">
        <v>273</v>
      </c>
      <c r="P96" s="63" t="s">
        <v>38</v>
      </c>
    </row>
    <row r="97" spans="15:16" x14ac:dyDescent="0.3">
      <c r="O97" s="63" t="s">
        <v>274</v>
      </c>
      <c r="P97" s="63" t="s">
        <v>38</v>
      </c>
    </row>
    <row r="98" spans="15:16" x14ac:dyDescent="0.3">
      <c r="O98" s="63" t="s">
        <v>275</v>
      </c>
      <c r="P98" s="63" t="s">
        <v>38</v>
      </c>
    </row>
    <row r="99" spans="15:16" x14ac:dyDescent="0.3">
      <c r="O99" s="63" t="s">
        <v>295</v>
      </c>
      <c r="P99" s="63" t="s">
        <v>38</v>
      </c>
    </row>
    <row r="100" spans="15:16" x14ac:dyDescent="0.3">
      <c r="O100" s="63" t="s">
        <v>223</v>
      </c>
      <c r="P100" s="63" t="s">
        <v>38</v>
      </c>
    </row>
    <row r="101" spans="15:16" x14ac:dyDescent="0.3">
      <c r="O101" s="63" t="s">
        <v>276</v>
      </c>
      <c r="P101" s="63" t="s">
        <v>38</v>
      </c>
    </row>
    <row r="102" spans="15:16" x14ac:dyDescent="0.3">
      <c r="O102" s="63" t="s">
        <v>291</v>
      </c>
      <c r="P102" s="63" t="s">
        <v>38</v>
      </c>
    </row>
    <row r="103" spans="15:16" x14ac:dyDescent="0.3">
      <c r="O103" s="63" t="s">
        <v>251</v>
      </c>
      <c r="P103" s="63" t="s">
        <v>38</v>
      </c>
    </row>
    <row r="104" spans="15:16" x14ac:dyDescent="0.3">
      <c r="O104" s="63" t="s">
        <v>264</v>
      </c>
      <c r="P104" s="63" t="s">
        <v>38</v>
      </c>
    </row>
    <row r="105" spans="15:16" x14ac:dyDescent="0.3">
      <c r="O105" s="63" t="s">
        <v>277</v>
      </c>
      <c r="P105" s="63" t="s">
        <v>38</v>
      </c>
    </row>
    <row r="106" spans="15:16" x14ac:dyDescent="0.3">
      <c r="O106" s="63" t="s">
        <v>227</v>
      </c>
      <c r="P106" s="63" t="s">
        <v>128</v>
      </c>
    </row>
    <row r="107" spans="15:16" x14ac:dyDescent="0.3">
      <c r="O107" s="63" t="s">
        <v>280</v>
      </c>
      <c r="P107" s="63" t="s">
        <v>150</v>
      </c>
    </row>
    <row r="108" spans="15:16" x14ac:dyDescent="0.3">
      <c r="O108" s="63" t="s">
        <v>304</v>
      </c>
      <c r="P108" s="63" t="s">
        <v>128</v>
      </c>
    </row>
    <row r="109" spans="15:16" x14ac:dyDescent="0.3">
      <c r="O109" s="63" t="s">
        <v>228</v>
      </c>
      <c r="P109" s="63" t="s">
        <v>128</v>
      </c>
    </row>
    <row r="110" spans="15:16" x14ac:dyDescent="0.3">
      <c r="O110" s="63" t="s">
        <v>229</v>
      </c>
      <c r="P110" s="63" t="s">
        <v>128</v>
      </c>
    </row>
    <row r="111" spans="15:16" x14ac:dyDescent="0.3">
      <c r="O111" s="63" t="s">
        <v>294</v>
      </c>
      <c r="P111" s="63" t="s">
        <v>128</v>
      </c>
    </row>
    <row r="112" spans="15:16" x14ac:dyDescent="0.3">
      <c r="O112" s="63" t="s">
        <v>285</v>
      </c>
      <c r="P112" s="63" t="s">
        <v>150</v>
      </c>
    </row>
    <row r="113" spans="15:16" x14ac:dyDescent="0.3">
      <c r="O113" s="63" t="s">
        <v>230</v>
      </c>
      <c r="P113" s="63" t="s">
        <v>150</v>
      </c>
    </row>
    <row r="114" spans="15:16" x14ac:dyDescent="0.3">
      <c r="O114" s="63" t="s">
        <v>231</v>
      </c>
      <c r="P114" s="63" t="s">
        <v>150</v>
      </c>
    </row>
    <row r="115" spans="15:16" x14ac:dyDescent="0.3">
      <c r="O115" s="63" t="s">
        <v>281</v>
      </c>
      <c r="P115" s="63" t="s">
        <v>150</v>
      </c>
    </row>
    <row r="116" spans="15:16" x14ac:dyDescent="0.3">
      <c r="O116" s="63" t="s">
        <v>287</v>
      </c>
    </row>
    <row r="117" spans="15:16" x14ac:dyDescent="0.3">
      <c r="O117" s="63" t="s">
        <v>300</v>
      </c>
      <c r="P117" s="63" t="s">
        <v>38</v>
      </c>
    </row>
    <row r="118" spans="15:16" x14ac:dyDescent="0.3">
      <c r="O118" s="63" t="s">
        <v>301</v>
      </c>
      <c r="P118" s="63" t="s">
        <v>150</v>
      </c>
    </row>
    <row r="119" spans="15:16" x14ac:dyDescent="0.3">
      <c r="O119" s="63" t="s">
        <v>302</v>
      </c>
      <c r="P119" s="63" t="s">
        <v>150</v>
      </c>
    </row>
    <row r="120" spans="15:16" x14ac:dyDescent="0.3">
      <c r="O120" s="63" t="s">
        <v>322</v>
      </c>
      <c r="P120" s="63" t="s">
        <v>38</v>
      </c>
    </row>
    <row r="121" spans="15:16" x14ac:dyDescent="0.3">
      <c r="O121" s="63" t="s">
        <v>327</v>
      </c>
      <c r="P121" s="63" t="s">
        <v>111</v>
      </c>
    </row>
    <row r="122" spans="15:16" x14ac:dyDescent="0.3">
      <c r="O122" s="63" t="s">
        <v>329</v>
      </c>
      <c r="P122" s="63" t="s">
        <v>109</v>
      </c>
    </row>
  </sheetData>
  <mergeCells count="1">
    <mergeCell ref="A29:C29"/>
  </mergeCells>
  <dataValidations count="1">
    <dataValidation type="list" allowBlank="1" showInputMessage="1" showErrorMessage="1" sqref="P1:P1048576" xr:uid="{36C518E1-E374-4D0C-9CAA-E2513EA46D10}">
      <formula1>$B$6:$B$28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F10" sqref="F10"/>
    </sheetView>
  </sheetViews>
  <sheetFormatPr defaultRowHeight="12" x14ac:dyDescent="0.3"/>
  <cols>
    <col min="1" max="1" width="26" style="68" customWidth="1"/>
    <col min="2" max="3" width="17.77734375" style="68" customWidth="1"/>
    <col min="4" max="4" width="15.77734375" style="73" customWidth="1"/>
    <col min="5" max="6" width="17" style="73" bestFit="1" customWidth="1"/>
    <col min="7" max="10" width="15.77734375" style="73" customWidth="1"/>
    <col min="11" max="11" width="17" style="73" bestFit="1" customWidth="1"/>
    <col min="12" max="12" width="15.77734375" style="73" customWidth="1"/>
    <col min="13" max="15" width="17" style="73" bestFit="1" customWidth="1"/>
    <col min="16" max="16" width="17.77734375" style="73" customWidth="1"/>
    <col min="17" max="16384" width="8.88671875" style="73"/>
  </cols>
  <sheetData>
    <row r="1" spans="1:18" x14ac:dyDescent="0.3">
      <c r="D1" s="73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3">
        <v>12</v>
      </c>
    </row>
    <row r="2" spans="1:18" s="68" customFormat="1" x14ac:dyDescent="0.3">
      <c r="B2" s="69">
        <v>2022</v>
      </c>
      <c r="C2" s="69" t="s">
        <v>352</v>
      </c>
      <c r="D2" s="69" t="s">
        <v>151</v>
      </c>
      <c r="E2" s="69" t="s">
        <v>152</v>
      </c>
      <c r="F2" s="69" t="s">
        <v>153</v>
      </c>
      <c r="G2" s="69" t="s">
        <v>154</v>
      </c>
      <c r="H2" s="69" t="s">
        <v>155</v>
      </c>
      <c r="I2" s="69" t="s">
        <v>156</v>
      </c>
      <c r="J2" s="69" t="s">
        <v>157</v>
      </c>
      <c r="K2" s="69" t="s">
        <v>158</v>
      </c>
      <c r="L2" s="69" t="s">
        <v>159</v>
      </c>
      <c r="M2" s="69" t="s">
        <v>160</v>
      </c>
      <c r="N2" s="69" t="s">
        <v>161</v>
      </c>
      <c r="O2" s="69" t="s">
        <v>162</v>
      </c>
      <c r="P2" s="70" t="s">
        <v>353</v>
      </c>
    </row>
    <row r="3" spans="1:18" x14ac:dyDescent="0.3">
      <c r="A3" s="71" t="s">
        <v>309</v>
      </c>
      <c r="B3" s="90">
        <v>25551.1</v>
      </c>
      <c r="C3" s="90">
        <v>234846.15</v>
      </c>
      <c r="D3" s="72">
        <v>20512</v>
      </c>
      <c r="E3" s="72">
        <v>12471</v>
      </c>
      <c r="F3" s="72">
        <f>SUMMARY!$E10</f>
        <v>39375.800000000003</v>
      </c>
      <c r="G3" s="72"/>
      <c r="H3" s="72"/>
      <c r="I3" s="72"/>
      <c r="J3" s="72"/>
      <c r="K3" s="72"/>
      <c r="L3" s="72"/>
      <c r="M3" s="72"/>
      <c r="N3" s="72"/>
      <c r="O3" s="72"/>
      <c r="P3" s="90">
        <f>SUM(D3:O3)</f>
        <v>72358.8</v>
      </c>
    </row>
    <row r="4" spans="1:18" x14ac:dyDescent="0.3">
      <c r="A4" s="74" t="s">
        <v>75</v>
      </c>
      <c r="B4" s="91">
        <v>125448.88</v>
      </c>
      <c r="C4" s="91">
        <v>897600.33</v>
      </c>
      <c r="D4" s="75">
        <v>78826.199999999983</v>
      </c>
      <c r="E4" s="75">
        <v>92991.959999999992</v>
      </c>
      <c r="F4" s="75">
        <f>SUMMARY!$E11</f>
        <v>55038.850000000006</v>
      </c>
      <c r="G4" s="75"/>
      <c r="H4" s="75"/>
      <c r="I4" s="75"/>
      <c r="J4" s="75"/>
      <c r="K4" s="75"/>
      <c r="L4" s="75"/>
      <c r="M4" s="75"/>
      <c r="N4" s="75"/>
      <c r="O4" s="75"/>
      <c r="P4" s="91">
        <f>SUM(D4:O4)</f>
        <v>226857.00999999998</v>
      </c>
    </row>
    <row r="5" spans="1:18" x14ac:dyDescent="0.3">
      <c r="A5" s="100" t="s">
        <v>180</v>
      </c>
      <c r="B5" s="102">
        <v>12871.52</v>
      </c>
      <c r="C5" s="102">
        <v>49755.05999999999</v>
      </c>
      <c r="D5" s="101">
        <v>4197</v>
      </c>
      <c r="E5" s="101">
        <v>20655.699999999997</v>
      </c>
      <c r="F5" s="101">
        <f>SUMMARY!$E12</f>
        <v>20946.7</v>
      </c>
      <c r="G5" s="101"/>
      <c r="H5" s="101"/>
      <c r="I5" s="101"/>
      <c r="J5" s="101"/>
      <c r="K5" s="101"/>
      <c r="L5" s="101"/>
      <c r="M5" s="101"/>
      <c r="N5" s="101"/>
      <c r="O5" s="101"/>
      <c r="P5" s="102">
        <f>SUM(D5:O5)</f>
        <v>45799.399999999994</v>
      </c>
    </row>
    <row r="6" spans="1:18" x14ac:dyDescent="0.3">
      <c r="A6" s="76" t="s">
        <v>77</v>
      </c>
      <c r="B6" s="92">
        <v>0.2036773863584912</v>
      </c>
      <c r="C6" s="92">
        <v>0.2616377714567017</v>
      </c>
      <c r="D6" s="77">
        <v>0.26021804932877651</v>
      </c>
      <c r="E6" s="77">
        <v>0.13410836807827259</v>
      </c>
      <c r="F6" s="77">
        <f>SUMMARY!$E13</f>
        <v>0.71541829089815645</v>
      </c>
      <c r="G6" s="77"/>
      <c r="H6" s="77"/>
      <c r="I6" s="77"/>
      <c r="J6" s="77"/>
      <c r="K6" s="77"/>
      <c r="L6" s="77"/>
      <c r="M6" s="77"/>
      <c r="N6" s="77"/>
      <c r="O6" s="77"/>
      <c r="P6" s="92">
        <f>P3/P4</f>
        <v>0.31896215153324997</v>
      </c>
    </row>
    <row r="7" spans="1:18" x14ac:dyDescent="0.3">
      <c r="A7" s="68" t="s">
        <v>318</v>
      </c>
      <c r="B7" s="93"/>
      <c r="C7" s="93">
        <v>0.48055605799732221</v>
      </c>
      <c r="D7" s="111">
        <v>1.1016869043629207</v>
      </c>
      <c r="E7" s="111">
        <v>0.33692296370309549</v>
      </c>
      <c r="F7" s="111">
        <f>SUMMARY!$F10</f>
        <v>0.61821824439508433</v>
      </c>
      <c r="G7" s="111"/>
      <c r="H7" s="112"/>
      <c r="I7" s="112"/>
      <c r="J7" s="112"/>
      <c r="K7" s="112"/>
      <c r="L7" s="78"/>
      <c r="M7" s="78"/>
      <c r="N7" s="78"/>
      <c r="O7" s="78"/>
      <c r="P7" s="97">
        <f>AVERAGE(D7:O7)</f>
        <v>0.68560937082036677</v>
      </c>
    </row>
    <row r="8" spans="1:18" x14ac:dyDescent="0.3">
      <c r="A8" s="68" t="s">
        <v>317</v>
      </c>
      <c r="B8" s="93"/>
      <c r="C8" s="93">
        <v>0.92485313234829303</v>
      </c>
      <c r="D8" s="111">
        <v>1.260908391125221</v>
      </c>
      <c r="E8" s="111">
        <v>1.1134909787793952</v>
      </c>
      <c r="F8" s="111">
        <f>SUMMARY!$F11</f>
        <v>0.65903829704624273</v>
      </c>
      <c r="G8" s="111"/>
      <c r="H8" s="112"/>
      <c r="I8" s="112"/>
      <c r="J8" s="112"/>
      <c r="K8" s="112"/>
      <c r="L8" s="78"/>
      <c r="M8" s="78"/>
      <c r="N8" s="78"/>
      <c r="O8" s="78"/>
      <c r="P8" s="97">
        <f>AVERAGE(D8:O8)</f>
        <v>1.0111458889836198</v>
      </c>
    </row>
    <row r="9" spans="1:18" x14ac:dyDescent="0.3">
      <c r="A9" s="68" t="s">
        <v>319</v>
      </c>
      <c r="B9" s="93"/>
      <c r="C9" s="93">
        <v>0.70853266334069032</v>
      </c>
      <c r="D9" s="111">
        <v>1.8784857390841045</v>
      </c>
      <c r="E9" s="111">
        <v>4.6503753116310023</v>
      </c>
      <c r="F9" s="111">
        <f>SUMMARY!$F12</f>
        <v>0.7308285856270722</v>
      </c>
      <c r="G9" s="111"/>
      <c r="H9" s="112"/>
      <c r="I9" s="112"/>
      <c r="J9" s="112"/>
      <c r="K9" s="112"/>
      <c r="L9" s="78"/>
      <c r="M9" s="78"/>
      <c r="N9" s="78"/>
      <c r="O9" s="78"/>
      <c r="P9" s="97">
        <f>AVERAGE(D9:O9)</f>
        <v>2.4198965454473931</v>
      </c>
    </row>
    <row r="10" spans="1:18" x14ac:dyDescent="0.3">
      <c r="A10" s="68" t="s">
        <v>324</v>
      </c>
      <c r="B10" s="93">
        <v>249.91699783903579</v>
      </c>
      <c r="C10" s="93">
        <v>137.3074211513935</v>
      </c>
      <c r="D10" s="78">
        <v>63.199999999999996</v>
      </c>
      <c r="E10" s="78">
        <v>58.396141975308637</v>
      </c>
      <c r="F10" s="180">
        <f>SUMMARY!$E$18</f>
        <v>67.65601374570447</v>
      </c>
      <c r="G10" s="78"/>
      <c r="H10" s="78"/>
      <c r="I10" s="78"/>
      <c r="J10" s="78"/>
      <c r="K10" s="78"/>
      <c r="L10" s="78"/>
      <c r="M10" s="78"/>
      <c r="N10" s="78"/>
      <c r="O10" s="78"/>
      <c r="P10" s="93">
        <f>AVERAGE(D10:O10)</f>
        <v>63.084051907004358</v>
      </c>
    </row>
    <row r="11" spans="1:18" x14ac:dyDescent="0.3">
      <c r="A11" s="93" t="str">
        <f>SUMMARY!C22</f>
        <v>COST OB REMOVAL</v>
      </c>
      <c r="B11" s="94">
        <v>980772683.17614365</v>
      </c>
      <c r="C11" s="94">
        <v>10524898835.250507</v>
      </c>
      <c r="D11" s="79">
        <v>769281224.44529259</v>
      </c>
      <c r="E11" s="79">
        <v>577196222.26462412</v>
      </c>
      <c r="F11" s="79">
        <f>SUMMARY!$D22</f>
        <v>1327295141.470861</v>
      </c>
      <c r="G11" s="79"/>
      <c r="H11" s="79"/>
      <c r="I11" s="79"/>
      <c r="J11" s="79"/>
      <c r="K11" s="79"/>
      <c r="L11" s="79"/>
      <c r="M11" s="79"/>
      <c r="N11" s="79"/>
      <c r="O11" s="79"/>
      <c r="P11" s="94">
        <f t="shared" ref="P11:P27" si="0">SUM(D11:O11)</f>
        <v>2673772588.1807775</v>
      </c>
      <c r="R11" s="105"/>
    </row>
    <row r="12" spans="1:18" x14ac:dyDescent="0.3">
      <c r="A12" s="93" t="str">
        <f>SUMMARY!C23</f>
        <v>COST QUARRY HAULING</v>
      </c>
      <c r="B12" s="94">
        <v>747900000</v>
      </c>
      <c r="C12" s="94">
        <v>2903850000</v>
      </c>
      <c r="D12" s="79">
        <v>304000000</v>
      </c>
      <c r="E12" s="79">
        <v>1179000000</v>
      </c>
      <c r="F12" s="79">
        <f>SUMMARY!$D23</f>
        <v>661810049.33762205</v>
      </c>
      <c r="G12" s="79"/>
      <c r="H12" s="79"/>
      <c r="I12" s="79"/>
      <c r="J12" s="79"/>
      <c r="K12" s="79"/>
      <c r="L12" s="79"/>
      <c r="M12" s="79"/>
      <c r="N12" s="79"/>
      <c r="O12" s="79"/>
      <c r="P12" s="94">
        <f t="shared" si="0"/>
        <v>2144810049.3376222</v>
      </c>
      <c r="R12" s="105"/>
    </row>
    <row r="13" spans="1:18" x14ac:dyDescent="0.3">
      <c r="A13" s="93" t="str">
        <f>SUMMARY!C24</f>
        <v>COST DEVELOP ACT.</v>
      </c>
      <c r="B13" s="94">
        <v>0</v>
      </c>
      <c r="C13" s="94">
        <v>0</v>
      </c>
      <c r="D13" s="79">
        <v>0</v>
      </c>
      <c r="E13" s="79">
        <v>0</v>
      </c>
      <c r="F13" s="79">
        <f>SUMMARY!$D24</f>
        <v>0</v>
      </c>
      <c r="G13" s="79"/>
      <c r="H13" s="79"/>
      <c r="I13" s="79"/>
      <c r="J13" s="79"/>
      <c r="K13" s="79"/>
      <c r="L13" s="79"/>
      <c r="M13" s="79"/>
      <c r="N13" s="79"/>
      <c r="O13" s="79"/>
      <c r="P13" s="94">
        <f t="shared" si="0"/>
        <v>0</v>
      </c>
      <c r="R13" s="105"/>
    </row>
    <row r="14" spans="1:18" x14ac:dyDescent="0.3">
      <c r="A14" s="93" t="str">
        <f>SUMMARY!C25</f>
        <v>COST ORE GETTING</v>
      </c>
      <c r="B14" s="94">
        <v>1089025000</v>
      </c>
      <c r="C14" s="94">
        <v>7233067500</v>
      </c>
      <c r="D14" s="79">
        <v>493455000</v>
      </c>
      <c r="E14" s="79">
        <v>647325000</v>
      </c>
      <c r="F14" s="79">
        <f>SUMMARY!$D25</f>
        <v>371550000</v>
      </c>
      <c r="G14" s="79"/>
      <c r="H14" s="79"/>
      <c r="I14" s="79"/>
      <c r="J14" s="79"/>
      <c r="K14" s="79"/>
      <c r="L14" s="79"/>
      <c r="M14" s="79"/>
      <c r="N14" s="79"/>
      <c r="O14" s="79"/>
      <c r="P14" s="94">
        <f t="shared" si="0"/>
        <v>1512330000</v>
      </c>
      <c r="R14" s="105"/>
    </row>
    <row r="15" spans="1:18" x14ac:dyDescent="0.3">
      <c r="A15" s="93" t="str">
        <f>SUMMARY!C26</f>
        <v>COST ORE HAULING</v>
      </c>
      <c r="B15" s="94">
        <v>4733400000</v>
      </c>
      <c r="C15" s="94">
        <v>32604600000</v>
      </c>
      <c r="D15" s="79">
        <v>2436000000</v>
      </c>
      <c r="E15" s="79">
        <v>2436000000</v>
      </c>
      <c r="F15" s="79">
        <f>SUMMARY!$D26</f>
        <v>3381000000</v>
      </c>
      <c r="G15" s="79"/>
      <c r="H15" s="79"/>
      <c r="I15" s="79"/>
      <c r="J15" s="79"/>
      <c r="K15" s="79"/>
      <c r="L15" s="79"/>
      <c r="M15" s="79"/>
      <c r="N15" s="79"/>
      <c r="O15" s="79"/>
      <c r="P15" s="94">
        <f t="shared" si="0"/>
        <v>8253000000</v>
      </c>
      <c r="R15" s="105"/>
    </row>
    <row r="16" spans="1:18" x14ac:dyDescent="0.3">
      <c r="A16" s="93" t="str">
        <f>SUMMARY!C27</f>
        <v>COST UNIT SUPPORT</v>
      </c>
      <c r="B16" s="94">
        <v>80210000</v>
      </c>
      <c r="C16" s="94">
        <v>494520000</v>
      </c>
      <c r="D16" s="79">
        <v>210000</v>
      </c>
      <c r="E16" s="79">
        <v>210000</v>
      </c>
      <c r="F16" s="79">
        <f>SUMMARY!$D27</f>
        <v>210000</v>
      </c>
      <c r="G16" s="79"/>
      <c r="H16" s="79"/>
      <c r="I16" s="79"/>
      <c r="J16" s="79"/>
      <c r="K16" s="79"/>
      <c r="L16" s="79"/>
      <c r="M16" s="79"/>
      <c r="N16" s="79"/>
      <c r="O16" s="79"/>
      <c r="P16" s="94">
        <f t="shared" si="0"/>
        <v>630000</v>
      </c>
      <c r="R16" s="105"/>
    </row>
    <row r="17" spans="1:16" x14ac:dyDescent="0.3">
      <c r="A17" s="68" t="s">
        <v>46</v>
      </c>
      <c r="B17" s="94">
        <v>7631307683.1761436</v>
      </c>
      <c r="C17" s="94">
        <v>53760936335.250511</v>
      </c>
      <c r="D17" s="79">
        <v>4002946224.4452925</v>
      </c>
      <c r="E17" s="79">
        <v>4839731222.2646236</v>
      </c>
      <c r="F17" s="79">
        <f>SUMMARY!$D30</f>
        <v>5741865190.8084831</v>
      </c>
      <c r="G17" s="79"/>
      <c r="H17" s="79"/>
      <c r="I17" s="79"/>
      <c r="J17" s="79"/>
      <c r="K17" s="79"/>
      <c r="L17" s="79"/>
      <c r="M17" s="79"/>
      <c r="N17" s="79"/>
      <c r="O17" s="79"/>
      <c r="P17" s="94">
        <f t="shared" si="0"/>
        <v>14584542637.518398</v>
      </c>
    </row>
    <row r="18" spans="1:16" x14ac:dyDescent="0.3">
      <c r="A18" s="68" t="s">
        <v>49</v>
      </c>
      <c r="B18" s="94">
        <v>19557982187.519997</v>
      </c>
      <c r="C18" s="94">
        <v>104910966005.76001</v>
      </c>
      <c r="D18" s="79">
        <v>9363291340.7999973</v>
      </c>
      <c r="E18" s="79">
        <v>11045956976.639999</v>
      </c>
      <c r="F18" s="79">
        <f>SUMMARY!$D31</f>
        <v>6537734758.4000006</v>
      </c>
      <c r="G18" s="79"/>
      <c r="H18" s="79"/>
      <c r="I18" s="79"/>
      <c r="J18" s="79"/>
      <c r="K18" s="79"/>
      <c r="L18" s="79"/>
      <c r="M18" s="79"/>
      <c r="N18" s="79"/>
      <c r="O18" s="79"/>
      <c r="P18" s="94">
        <f t="shared" si="0"/>
        <v>26946983075.839996</v>
      </c>
    </row>
    <row r="19" spans="1:16" x14ac:dyDescent="0.3">
      <c r="A19" s="70" t="s">
        <v>163</v>
      </c>
      <c r="B19" s="95">
        <v>11926674504.343855</v>
      </c>
      <c r="C19" s="95">
        <v>51150029670.509506</v>
      </c>
      <c r="D19" s="80">
        <v>5360345116.3547049</v>
      </c>
      <c r="E19" s="80">
        <v>6206225754.3753757</v>
      </c>
      <c r="F19" s="80">
        <f>F18-F17</f>
        <v>795869567.59151745</v>
      </c>
      <c r="G19" s="80"/>
      <c r="H19" s="80"/>
      <c r="I19" s="80"/>
      <c r="J19" s="80"/>
      <c r="K19" s="80"/>
      <c r="L19" s="80"/>
      <c r="M19" s="80"/>
      <c r="N19" s="80"/>
      <c r="O19" s="80"/>
      <c r="P19" s="95">
        <f t="shared" si="0"/>
        <v>12362440438.321598</v>
      </c>
    </row>
    <row r="20" spans="1:16" x14ac:dyDescent="0.3">
      <c r="A20" s="85" t="s">
        <v>286</v>
      </c>
      <c r="B20" s="87">
        <v>0.39018890650415372</v>
      </c>
      <c r="C20" s="87">
        <v>0.51244344020527688</v>
      </c>
      <c r="D20" s="86">
        <v>0.42751486403105787</v>
      </c>
      <c r="E20" s="86">
        <v>0.43814503645991848</v>
      </c>
      <c r="F20" s="86">
        <f t="shared" ref="F20" si="1">F17/F18</f>
        <v>0.87826524063721834</v>
      </c>
      <c r="G20" s="86"/>
      <c r="H20" s="86"/>
      <c r="I20" s="86"/>
      <c r="J20" s="86"/>
      <c r="K20" s="86"/>
      <c r="L20" s="86"/>
      <c r="M20" s="86"/>
      <c r="N20" s="86"/>
      <c r="O20" s="86"/>
      <c r="P20" s="86">
        <f t="shared" ref="P20" si="2">P17/P18</f>
        <v>0.54123100149918235</v>
      </c>
    </row>
    <row r="21" spans="1:16" x14ac:dyDescent="0.3">
      <c r="A21" s="85" t="s">
        <v>164</v>
      </c>
      <c r="B21" s="87">
        <v>0.60981109349584639</v>
      </c>
      <c r="C21" s="87">
        <v>0.48755655979472323</v>
      </c>
      <c r="D21" s="86">
        <v>0.57248513596894213</v>
      </c>
      <c r="E21" s="86">
        <v>0.56185496354008146</v>
      </c>
      <c r="F21" s="86">
        <f t="shared" ref="F21" si="3">IFERROR(F19/F18,"")</f>
        <v>0.12173475936278164</v>
      </c>
      <c r="G21" s="86"/>
      <c r="H21" s="86"/>
      <c r="I21" s="86"/>
      <c r="J21" s="86"/>
      <c r="K21" s="86"/>
      <c r="L21" s="86"/>
      <c r="M21" s="86"/>
      <c r="N21" s="86"/>
      <c r="O21" s="86"/>
      <c r="P21" s="87">
        <f t="shared" ref="P21" si="4">P19/P18</f>
        <v>0.45876899850081765</v>
      </c>
    </row>
    <row r="22" spans="1:16" x14ac:dyDescent="0.3">
      <c r="A22" s="88" t="s">
        <v>270</v>
      </c>
      <c r="B22" s="96">
        <v>1.8718349497565931</v>
      </c>
      <c r="C22" s="96">
        <v>1.9220070263942246</v>
      </c>
      <c r="D22" s="89">
        <v>1.7809662874518235</v>
      </c>
      <c r="E22" s="89">
        <v>1.6283106985863671</v>
      </c>
      <c r="F22" s="89">
        <f>SUMMARY!$E14</f>
        <v>2.7354144693551308</v>
      </c>
      <c r="G22" s="89"/>
      <c r="H22" s="89"/>
      <c r="I22" s="89"/>
      <c r="J22" s="89"/>
      <c r="K22" s="89"/>
      <c r="L22" s="89"/>
      <c r="M22" s="89"/>
      <c r="N22" s="89"/>
      <c r="O22" s="89"/>
      <c r="P22" s="96">
        <f>IFERROR(P27/P4,0)</f>
        <v>1.9499537386352623</v>
      </c>
    </row>
    <row r="23" spans="1:16" x14ac:dyDescent="0.3">
      <c r="A23" s="88" t="s">
        <v>320</v>
      </c>
      <c r="B23" s="96"/>
      <c r="C23" s="96">
        <v>1.0266449575157954</v>
      </c>
      <c r="D23" s="109">
        <v>1.0344584547404849</v>
      </c>
      <c r="E23" s="109">
        <v>0.9985707805339975</v>
      </c>
      <c r="F23" s="109">
        <f>SUMMARY!$F14</f>
        <v>0.54806606877718622</v>
      </c>
      <c r="G23" s="109"/>
      <c r="H23" s="109"/>
      <c r="I23" s="115"/>
      <c r="J23" s="115"/>
      <c r="K23" s="115"/>
      <c r="L23" s="115"/>
      <c r="M23" s="115"/>
      <c r="N23" s="115"/>
      <c r="O23" s="115"/>
      <c r="P23" s="110">
        <f>AVERAGE(D23:O23)</f>
        <v>0.86036510135055622</v>
      </c>
    </row>
    <row r="24" spans="1:16" x14ac:dyDescent="0.3">
      <c r="A24" s="68" t="s">
        <v>73</v>
      </c>
      <c r="B24" s="68">
        <v>61</v>
      </c>
      <c r="C24" s="68">
        <v>365</v>
      </c>
      <c r="D24" s="73">
        <v>29</v>
      </c>
      <c r="E24" s="73">
        <v>29</v>
      </c>
      <c r="F24" s="73">
        <f>SUMMARY!$J9</f>
        <v>31</v>
      </c>
      <c r="P24" s="68">
        <f t="shared" si="0"/>
        <v>89</v>
      </c>
    </row>
    <row r="25" spans="1:16" x14ac:dyDescent="0.3">
      <c r="A25" s="68" t="s">
        <v>74</v>
      </c>
      <c r="B25" s="68">
        <v>549</v>
      </c>
      <c r="C25" s="68">
        <v>3276</v>
      </c>
      <c r="D25" s="73">
        <v>261</v>
      </c>
      <c r="E25" s="73">
        <v>261</v>
      </c>
      <c r="F25" s="73">
        <f>SUMMARY!$J10</f>
        <v>279</v>
      </c>
      <c r="P25" s="68">
        <f t="shared" si="0"/>
        <v>801</v>
      </c>
    </row>
    <row r="26" spans="1:16" x14ac:dyDescent="0.3">
      <c r="A26" s="68" t="s">
        <v>76</v>
      </c>
      <c r="B26" s="97">
        <v>0.85</v>
      </c>
      <c r="C26" s="97">
        <v>0.88750000000000018</v>
      </c>
      <c r="D26" s="81">
        <v>0.9</v>
      </c>
      <c r="E26" s="81">
        <v>0.9</v>
      </c>
      <c r="F26" s="81">
        <f>SUMMARY!$J11</f>
        <v>0.87</v>
      </c>
      <c r="G26" s="81"/>
      <c r="H26" s="113"/>
      <c r="I26" s="81"/>
      <c r="J26" s="81"/>
      <c r="K26" s="81"/>
      <c r="L26" s="81"/>
      <c r="M26" s="81"/>
      <c r="N26" s="81"/>
      <c r="O26" s="81"/>
      <c r="P26" s="97">
        <f>AVERAGE(D26:O26)</f>
        <v>0.89</v>
      </c>
    </row>
    <row r="27" spans="1:16" x14ac:dyDescent="0.3">
      <c r="A27" s="68" t="s">
        <v>139</v>
      </c>
      <c r="B27" s="98">
        <v>234819.59799182089</v>
      </c>
      <c r="C27" s="98">
        <v>1725194.1411537747</v>
      </c>
      <c r="D27" s="82">
        <v>140386.8047679349</v>
      </c>
      <c r="E27" s="82">
        <v>151419.80335051549</v>
      </c>
      <c r="F27" s="82">
        <f>SUMMARY!$J18</f>
        <v>150554.06666666665</v>
      </c>
      <c r="G27" s="82"/>
      <c r="H27" s="82"/>
      <c r="I27" s="82"/>
      <c r="J27" s="82"/>
      <c r="K27" s="82"/>
      <c r="L27" s="82"/>
      <c r="M27" s="82"/>
      <c r="N27" s="82"/>
      <c r="O27" s="82"/>
      <c r="P27" s="98">
        <f t="shared" si="0"/>
        <v>442360.67478511704</v>
      </c>
    </row>
    <row r="28" spans="1:16" x14ac:dyDescent="0.3">
      <c r="A28" s="68" t="s">
        <v>321</v>
      </c>
      <c r="B28" s="98"/>
      <c r="C28" s="98">
        <v>1.1231839812850251</v>
      </c>
      <c r="D28" s="105">
        <v>0.82040730478234458</v>
      </c>
      <c r="E28" s="105">
        <v>0.89679287894063342</v>
      </c>
      <c r="F28" s="105">
        <f>SUMMARY!$J19</f>
        <v>0.83161490194663168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6">
        <f>AVERAGE(D28:O28)</f>
        <v>0.84960502855653652</v>
      </c>
    </row>
    <row r="29" spans="1:16" s="104" customFormat="1" x14ac:dyDescent="0.3">
      <c r="A29" s="103" t="s">
        <v>93</v>
      </c>
      <c r="B29" s="103">
        <v>60859.28812842106</v>
      </c>
      <c r="C29" s="103">
        <v>63233.157721861171</v>
      </c>
      <c r="D29" s="84">
        <v>50781.925609065176</v>
      </c>
      <c r="E29" s="84">
        <v>52044.62001085496</v>
      </c>
      <c r="F29" s="84">
        <f>SUMMARY!$J30</f>
        <v>104323.85834385135</v>
      </c>
      <c r="G29" s="84"/>
      <c r="H29" s="84"/>
      <c r="I29" s="84"/>
      <c r="J29" s="84"/>
      <c r="K29" s="84"/>
      <c r="L29" s="84"/>
      <c r="M29" s="84"/>
      <c r="N29" s="84"/>
      <c r="O29" s="84"/>
      <c r="P29" s="103">
        <f>AVERAGE(D29:O29)</f>
        <v>69050.134654590496</v>
      </c>
    </row>
    <row r="30" spans="1:16" x14ac:dyDescent="0.3">
      <c r="A30" s="83" t="str">
        <f>[1]SUMMARY!G21</f>
        <v>( USD / Ton )</v>
      </c>
      <c r="B30" s="99">
        <v>4.098820590545599</v>
      </c>
      <c r="C30" s="99">
        <v>4.2586986612244857</v>
      </c>
      <c r="D30" s="84">
        <v>3.420118912248463</v>
      </c>
      <c r="E30" s="84">
        <v>3.5051602916793483</v>
      </c>
      <c r="F30" s="84">
        <f>SUMMARY!$J31</f>
        <v>7.0261219250977467</v>
      </c>
      <c r="G30" s="84"/>
      <c r="H30" s="84"/>
      <c r="I30" s="84"/>
      <c r="J30" s="84"/>
      <c r="K30" s="84"/>
      <c r="L30" s="84"/>
      <c r="M30" s="84"/>
      <c r="N30" s="84"/>
      <c r="O30" s="84"/>
      <c r="P30" s="99">
        <f>AVERAGE(D30:O30)</f>
        <v>4.6504670430085193</v>
      </c>
    </row>
    <row r="31" spans="1:16" x14ac:dyDescent="0.3">
      <c r="J31" s="78"/>
      <c r="K31" s="81"/>
    </row>
    <row r="41" spans="1:3" x14ac:dyDescent="0.3">
      <c r="A41" s="106"/>
      <c r="B41" s="106"/>
      <c r="C41" s="106"/>
    </row>
    <row r="43" spans="1:3" x14ac:dyDescent="0.3">
      <c r="A43" s="107"/>
      <c r="B43" s="107"/>
      <c r="C43" s="107"/>
    </row>
  </sheetData>
  <pageMargins left="0.45" right="0.45" top="0.5" bottom="0.5" header="0.3" footer="0.3"/>
  <pageSetup paperSize="8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P27"/>
  <sheetViews>
    <sheetView zoomScaleNormal="100" workbookViewId="0">
      <pane xSplit="4" ySplit="7" topLeftCell="F8" activePane="bottomRight" state="frozenSplit"/>
      <selection activeCell="B47" sqref="B47"/>
      <selection pane="topRight" activeCell="B47" sqref="B47"/>
      <selection pane="bottomLeft" activeCell="B47" sqref="B47"/>
      <selection pane="bottomRight" activeCell="N8" sqref="N8:N20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165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133</v>
      </c>
      <c r="F8" s="61">
        <f>IF(P8="K",VLOOKUP(N8,Table2[[#All],[UNIT]:[Column7]],10,FALSE),0)</f>
        <v>1000000</v>
      </c>
      <c r="G8" s="42">
        <f>E8*F8</f>
        <v>133000000</v>
      </c>
      <c r="H8" s="41">
        <v>3640.7897435897435</v>
      </c>
      <c r="I8" s="43">
        <f>H8*$D$25</f>
        <v>0</v>
      </c>
      <c r="J8" s="41">
        <f t="shared" ref="J8:J22" si="0">IFERROR(H8/E8,0)</f>
        <v>27.374358974358973</v>
      </c>
      <c r="K8" s="44">
        <f>G8+I8</f>
        <v>133000000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20" si="1">ROW(B9)-7</f>
        <v>2</v>
      </c>
      <c r="C9" s="40"/>
      <c r="D9" s="40" t="s">
        <v>266</v>
      </c>
      <c r="E9" s="41">
        <v>3</v>
      </c>
      <c r="F9" s="61">
        <f>IF(P9="K",VLOOKUP(N9,Table2[[#All],[UNIT]:[Column7]],10,FALSE),0)</f>
        <v>950000</v>
      </c>
      <c r="G9" s="42">
        <f t="shared" ref="G9" si="2">E9*F9</f>
        <v>2850000</v>
      </c>
      <c r="H9" s="41">
        <v>142.66666666666669</v>
      </c>
      <c r="I9" s="43">
        <f>H9*$D$25</f>
        <v>0</v>
      </c>
      <c r="J9" s="41">
        <f t="shared" ref="J9" si="3">IFERROR(H9/E9,0)</f>
        <v>47.555555555555564</v>
      </c>
      <c r="K9" s="44">
        <f t="shared" ref="K9" si="4">G9+I9</f>
        <v>2850000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" si="5">D9</f>
        <v>KOMATSU PC 400 - 03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327</v>
      </c>
      <c r="E10" s="41">
        <v>213</v>
      </c>
      <c r="F10" s="61">
        <f>IF(P10="K",VLOOKUP(N10,Table2[[#All],[UNIT]:[Column7]],10,FALSE),0)</f>
        <v>950000</v>
      </c>
      <c r="G10" s="42">
        <f t="shared" ref="G10:G12" si="6">E10*F10</f>
        <v>202350000</v>
      </c>
      <c r="H10" s="41">
        <v>6034.1234567901238</v>
      </c>
      <c r="I10" s="43">
        <f>H10*$D$25</f>
        <v>0</v>
      </c>
      <c r="J10" s="41">
        <f t="shared" ref="J10:J12" si="7">IFERROR(H10/E10,0)</f>
        <v>28.329218106995885</v>
      </c>
      <c r="K10" s="44">
        <f t="shared" ref="K10:K12" si="8">G10+I10</f>
        <v>202350000</v>
      </c>
      <c r="L10" s="35"/>
      <c r="M10" s="40" t="s">
        <v>325</v>
      </c>
      <c r="N10" s="40" t="str">
        <f>VLOOKUP(O10,'list rate unit'!O:P,2,FALSE)</f>
        <v>PC 400 LC SE-8</v>
      </c>
      <c r="O10" s="40" t="str">
        <f t="shared" ref="O10:O12" si="9">D10</f>
        <v>KOMATSU PC 400 - 07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255</v>
      </c>
      <c r="E11" s="41">
        <v>57</v>
      </c>
      <c r="F11" s="61">
        <f>IF(P11="K",VLOOKUP(N11,Table2[[#All],[UNIT]:[Column7]],10,FALSE),0)</f>
        <v>400000</v>
      </c>
      <c r="G11" s="42">
        <f t="shared" si="6"/>
        <v>22800000</v>
      </c>
      <c r="H11" s="41">
        <v>1384.4666666666667</v>
      </c>
      <c r="I11" s="43">
        <f>H11*$D$25</f>
        <v>0</v>
      </c>
      <c r="J11" s="41">
        <f t="shared" si="7"/>
        <v>24.288888888888888</v>
      </c>
      <c r="K11" s="44">
        <f t="shared" si="8"/>
        <v>22800000</v>
      </c>
      <c r="L11" s="35"/>
      <c r="M11" s="40" t="s">
        <v>325</v>
      </c>
      <c r="N11" s="40" t="str">
        <f>VLOOKUP(O11,'list rate unit'!O:P,2,FALSE)</f>
        <v>PC 300 SE-8</v>
      </c>
      <c r="O11" s="40" t="str">
        <f t="shared" si="9"/>
        <v>KOMATSU PC 300 - 12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189</v>
      </c>
      <c r="E12" s="41">
        <v>8</v>
      </c>
      <c r="F12" s="61">
        <f>IF(P12="K",VLOOKUP(N12,Table2[[#All],[UNIT]:[Column7]],10,FALSE),0)</f>
        <v>275000</v>
      </c>
      <c r="G12" s="42">
        <f t="shared" si="6"/>
        <v>2200000</v>
      </c>
      <c r="H12" s="41">
        <v>116.66968325791855</v>
      </c>
      <c r="I12" s="43">
        <f>H12*$D$25</f>
        <v>0</v>
      </c>
      <c r="J12" s="41">
        <f t="shared" si="7"/>
        <v>14.583710407239819</v>
      </c>
      <c r="K12" s="44">
        <f t="shared" si="8"/>
        <v>2200000</v>
      </c>
      <c r="L12" s="35"/>
      <c r="M12" s="40" t="s">
        <v>325</v>
      </c>
      <c r="N12" s="40" t="str">
        <f>VLOOKUP(O12,'list rate unit'!O:P,2,FALSE)</f>
        <v>PC 200-8 MO</v>
      </c>
      <c r="O12" s="40" t="str">
        <f t="shared" si="9"/>
        <v>KOMATSU PC 200 - 23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245</v>
      </c>
      <c r="E13" s="41">
        <v>31</v>
      </c>
      <c r="F13" s="61">
        <f>IF(P13="K",VLOOKUP(N13,Table2[[#All],[UNIT]:[Column7]],10,FALSE),0)</f>
        <v>1424304.3667884208</v>
      </c>
      <c r="G13" s="42">
        <f t="shared" ref="G13:G20" si="10">E13*F13</f>
        <v>44153435.370441049</v>
      </c>
      <c r="H13" s="41">
        <v>596.75</v>
      </c>
      <c r="I13" s="43">
        <f t="shared" ref="I13:I20" si="11">H13*$D$25</f>
        <v>0</v>
      </c>
      <c r="J13" s="41">
        <f t="shared" ref="J13:J20" si="12">IFERROR(H13/E13,0)</f>
        <v>19.25</v>
      </c>
      <c r="K13" s="44">
        <f t="shared" ref="K13:K20" si="13">G13+I13</f>
        <v>44153435.370441049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ref="O13:O20" si="14">D13</f>
        <v>KOMATSU HM 400 - 06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246</v>
      </c>
      <c r="E14" s="41">
        <v>121</v>
      </c>
      <c r="F14" s="61">
        <f>IF(P14="K",VLOOKUP(N14,Table2[[#All],[UNIT]:[Column7]],10,FALSE),0)</f>
        <v>1424304.3667884208</v>
      </c>
      <c r="G14" s="42">
        <f t="shared" si="10"/>
        <v>172340828.38139892</v>
      </c>
      <c r="H14" s="41">
        <v>2381.2265193370167</v>
      </c>
      <c r="I14" s="43">
        <f t="shared" si="11"/>
        <v>0</v>
      </c>
      <c r="J14" s="41">
        <f t="shared" si="12"/>
        <v>19.679558011049725</v>
      </c>
      <c r="K14" s="44">
        <f t="shared" si="13"/>
        <v>172340828.38139892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14"/>
        <v>KOMATSU HM 400 - 07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247</v>
      </c>
      <c r="E15" s="41">
        <v>147</v>
      </c>
      <c r="F15" s="61">
        <f>IF(P15="K",VLOOKUP(N15,Table2[[#All],[UNIT]:[Column7]],10,FALSE),0)</f>
        <v>1424304.3667884208</v>
      </c>
      <c r="G15" s="42">
        <f t="shared" si="10"/>
        <v>209372741.91789785</v>
      </c>
      <c r="H15" s="41">
        <v>3297.4421052631578</v>
      </c>
      <c r="I15" s="43">
        <f t="shared" si="11"/>
        <v>0</v>
      </c>
      <c r="J15" s="41">
        <f t="shared" si="12"/>
        <v>22.431578947368422</v>
      </c>
      <c r="K15" s="44">
        <f t="shared" si="13"/>
        <v>209372741.91789785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si="14"/>
        <v>KOMATSU HM 400 - 08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200</v>
      </c>
      <c r="E16" s="41">
        <v>160</v>
      </c>
      <c r="F16" s="61">
        <f>IF(P16="K",VLOOKUP(N16,Table2[[#All],[UNIT]:[Column7]],10,FALSE),0)</f>
        <v>1424304.3667884208</v>
      </c>
      <c r="G16" s="42">
        <f t="shared" si="10"/>
        <v>227888698.68614733</v>
      </c>
      <c r="H16" s="41">
        <v>3241.1695906432751</v>
      </c>
      <c r="I16" s="43">
        <f t="shared" si="11"/>
        <v>0</v>
      </c>
      <c r="J16" s="41">
        <f t="shared" si="12"/>
        <v>20.257309941520468</v>
      </c>
      <c r="K16" s="44">
        <f t="shared" si="13"/>
        <v>227888698.68614733</v>
      </c>
      <c r="L16" s="35"/>
      <c r="M16" s="40" t="s">
        <v>325</v>
      </c>
      <c r="N16" s="40" t="str">
        <f>VLOOKUP(O16,'list rate unit'!O:P,2,FALSE)</f>
        <v>HM 400-3R</v>
      </c>
      <c r="O16" s="40" t="str">
        <f t="shared" si="14"/>
        <v>KOMATSU HM 400 - 09</v>
      </c>
      <c r="P16" s="15" t="s">
        <v>56</v>
      </c>
    </row>
    <row r="17" spans="2:16" x14ac:dyDescent="0.3">
      <c r="B17" s="40">
        <f t="shared" si="1"/>
        <v>10</v>
      </c>
      <c r="C17" s="40"/>
      <c r="D17" s="40" t="s">
        <v>201</v>
      </c>
      <c r="E17" s="41">
        <v>123</v>
      </c>
      <c r="F17" s="61">
        <f>IF(P17="K",VLOOKUP(N17,Table2[[#All],[UNIT]:[Column7]],10,FALSE),0)</f>
        <v>1424304.3667884208</v>
      </c>
      <c r="G17" s="42">
        <f t="shared" si="10"/>
        <v>175189437.11497575</v>
      </c>
      <c r="H17" s="41">
        <v>2717.2549019607841</v>
      </c>
      <c r="I17" s="43">
        <f t="shared" si="11"/>
        <v>0</v>
      </c>
      <c r="J17" s="41">
        <f t="shared" si="12"/>
        <v>22.091503267973856</v>
      </c>
      <c r="K17" s="44">
        <f t="shared" si="13"/>
        <v>175189437.11497575</v>
      </c>
      <c r="L17" s="35"/>
      <c r="M17" s="40" t="s">
        <v>325</v>
      </c>
      <c r="N17" s="40" t="str">
        <f>VLOOKUP(O17,'list rate unit'!O:P,2,FALSE)</f>
        <v>HM 400-3R</v>
      </c>
      <c r="O17" s="40" t="str">
        <f t="shared" si="14"/>
        <v>KOMATSU HM 400 - 10</v>
      </c>
      <c r="P17" s="15" t="s">
        <v>56</v>
      </c>
    </row>
    <row r="18" spans="2:16" x14ac:dyDescent="0.3">
      <c r="B18" s="40">
        <f t="shared" si="1"/>
        <v>11</v>
      </c>
      <c r="C18" s="40"/>
      <c r="D18" s="40" t="s">
        <v>249</v>
      </c>
      <c r="E18" s="41">
        <v>155</v>
      </c>
      <c r="F18" s="61">
        <f>IF(P18="K",VLOOKUP(N18,Table2[[#All],[UNIT]:[Column7]],10,FALSE),0)</f>
        <v>425000</v>
      </c>
      <c r="G18" s="42">
        <f t="shared" si="10"/>
        <v>65875000</v>
      </c>
      <c r="H18" s="41">
        <v>4972.8402366863911</v>
      </c>
      <c r="I18" s="43">
        <f t="shared" si="11"/>
        <v>0</v>
      </c>
      <c r="J18" s="41">
        <f t="shared" si="12"/>
        <v>32.082840236686394</v>
      </c>
      <c r="K18" s="44">
        <f t="shared" si="13"/>
        <v>65875000</v>
      </c>
      <c r="L18" s="35"/>
      <c r="M18" s="40" t="s">
        <v>325</v>
      </c>
      <c r="N18" s="40" t="str">
        <f>VLOOKUP(O18,'list rate unit'!O:P,2,FALSE)</f>
        <v>D 65 P-12</v>
      </c>
      <c r="O18" s="40" t="str">
        <f t="shared" si="14"/>
        <v>KOMATSU DOZER D65 - 11</v>
      </c>
      <c r="P18" s="15" t="s">
        <v>56</v>
      </c>
    </row>
    <row r="19" spans="2:16" x14ac:dyDescent="0.3">
      <c r="B19" s="40">
        <f t="shared" si="1"/>
        <v>12</v>
      </c>
      <c r="C19" s="40"/>
      <c r="D19" s="40" t="s">
        <v>214</v>
      </c>
      <c r="E19" s="41">
        <v>136</v>
      </c>
      <c r="F19" s="61">
        <f>IF(P19="K",VLOOKUP(N19,Table2[[#All],[UNIT]:[Column7]],10,FALSE),0)</f>
        <v>425000</v>
      </c>
      <c r="G19" s="42">
        <f t="shared" si="10"/>
        <v>57800000</v>
      </c>
      <c r="H19" s="41">
        <v>3674.8732394366198</v>
      </c>
      <c r="I19" s="43">
        <f t="shared" si="11"/>
        <v>0</v>
      </c>
      <c r="J19" s="41">
        <f t="shared" si="12"/>
        <v>27.02112676056338</v>
      </c>
      <c r="K19" s="44">
        <f t="shared" si="13"/>
        <v>57800000</v>
      </c>
      <c r="L19" s="35"/>
      <c r="M19" s="40" t="s">
        <v>325</v>
      </c>
      <c r="N19" s="40" t="str">
        <f>VLOOKUP(O19,'list rate unit'!O:P,2,FALSE)</f>
        <v>D 65 P-12</v>
      </c>
      <c r="O19" s="40" t="str">
        <f t="shared" si="14"/>
        <v>KOMATSU DOZER D65 - 12</v>
      </c>
      <c r="P19" s="15" t="s">
        <v>56</v>
      </c>
    </row>
    <row r="20" spans="2:16" x14ac:dyDescent="0.3">
      <c r="B20" s="40">
        <f t="shared" si="1"/>
        <v>13</v>
      </c>
      <c r="C20" s="40"/>
      <c r="D20" s="40" t="s">
        <v>263</v>
      </c>
      <c r="E20" s="41">
        <v>27</v>
      </c>
      <c r="F20" s="61">
        <f>IF(P20="K",VLOOKUP(N20,Table2[[#All],[UNIT]:[Column7]],10,FALSE),0)</f>
        <v>425000</v>
      </c>
      <c r="G20" s="42">
        <f t="shared" si="10"/>
        <v>11475000</v>
      </c>
      <c r="H20" s="41">
        <v>467.8074866310161</v>
      </c>
      <c r="I20" s="43">
        <f t="shared" si="11"/>
        <v>0</v>
      </c>
      <c r="J20" s="41">
        <f t="shared" si="12"/>
        <v>17.326203208556151</v>
      </c>
      <c r="K20" s="44">
        <f t="shared" si="13"/>
        <v>11475000</v>
      </c>
      <c r="L20" s="35"/>
      <c r="M20" s="40" t="s">
        <v>325</v>
      </c>
      <c r="N20" s="40" t="str">
        <f>VLOOKUP(O20,'list rate unit'!O:P,2,FALSE)</f>
        <v>D 85 ESS-2</v>
      </c>
      <c r="O20" s="40" t="str">
        <f t="shared" si="14"/>
        <v>KOMATSU DOZER D85SS - 11</v>
      </c>
      <c r="P20" s="15" t="s">
        <v>56</v>
      </c>
    </row>
    <row r="21" spans="2:16" x14ac:dyDescent="0.3">
      <c r="E21" s="18"/>
      <c r="F21" s="116"/>
      <c r="G21" s="117"/>
      <c r="H21" s="18"/>
      <c r="I21" s="118"/>
      <c r="J21" s="35"/>
      <c r="K21" s="119"/>
      <c r="L21" s="35"/>
      <c r="M21" s="120"/>
      <c r="N21" s="120"/>
      <c r="O21" s="120"/>
    </row>
    <row r="22" spans="2:16" s="1" customFormat="1" ht="15.75" customHeight="1" x14ac:dyDescent="0.3">
      <c r="B22" s="205" t="s">
        <v>21</v>
      </c>
      <c r="C22" s="205"/>
      <c r="D22" s="205"/>
      <c r="E22" s="45">
        <f>SUM(E8:E21)</f>
        <v>1314</v>
      </c>
      <c r="F22" s="62">
        <f>AVERAGE(F8:F21)</f>
        <v>920886.2949186234</v>
      </c>
      <c r="G22" s="46">
        <f>SUM(G8:G21)</f>
        <v>1327295141.470861</v>
      </c>
      <c r="H22" s="45">
        <f>SUM(H8:H21)</f>
        <v>32668.08029692938</v>
      </c>
      <c r="I22" s="46">
        <f>SUM(I8:I21)</f>
        <v>0</v>
      </c>
      <c r="J22" s="45">
        <f t="shared" si="0"/>
        <v>24.861552737389179</v>
      </c>
      <c r="K22" s="47">
        <f>SUM(K8:K21)</f>
        <v>1327295141.470861</v>
      </c>
      <c r="L22" s="36"/>
    </row>
    <row r="24" spans="2:16" x14ac:dyDescent="0.3">
      <c r="B24" s="204" t="s">
        <v>34</v>
      </c>
      <c r="C24" s="204"/>
      <c r="D24" s="29">
        <f>SUMMARY!J32</f>
        <v>14848</v>
      </c>
    </row>
    <row r="25" spans="2:16" x14ac:dyDescent="0.3">
      <c r="B25" s="204" t="s">
        <v>35</v>
      </c>
      <c r="C25" s="204"/>
      <c r="D25" s="29">
        <f>SUMMARY!$J$13</f>
        <v>0</v>
      </c>
      <c r="G25" s="30"/>
      <c r="H25" s="18"/>
    </row>
    <row r="27" spans="2:16" x14ac:dyDescent="0.3">
      <c r="G27" s="18"/>
    </row>
  </sheetData>
  <autoFilter ref="B7:P22" xr:uid="{00000000-0009-0000-0000-000003000000}"/>
  <mergeCells count="16">
    <mergeCell ref="B25:C25"/>
    <mergeCell ref="B24:C24"/>
    <mergeCell ref="B22:D22"/>
    <mergeCell ref="D5:D7"/>
    <mergeCell ref="B5:B7"/>
    <mergeCell ref="B2:D3"/>
    <mergeCell ref="N5:N7"/>
    <mergeCell ref="O5:O7"/>
    <mergeCell ref="J5:J6"/>
    <mergeCell ref="M5:M7"/>
    <mergeCell ref="K5:K7"/>
    <mergeCell ref="E5:G5"/>
    <mergeCell ref="H5:I5"/>
    <mergeCell ref="G6:G7"/>
    <mergeCell ref="I6:I7"/>
    <mergeCell ref="C5:C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P25"/>
  <sheetViews>
    <sheetView zoomScaleNormal="100" workbookViewId="0">
      <pane xSplit="4" ySplit="7" topLeftCell="F8" activePane="bottomRight" state="frozenSplit"/>
      <selection activeCell="B47" sqref="B47"/>
      <selection pane="topRight" activeCell="B47" sqref="B47"/>
      <selection pane="bottomLeft" activeCell="B47" sqref="B47"/>
      <selection pane="bottomRight" activeCell="N8" sqref="N8:N1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166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54</v>
      </c>
      <c r="F8" s="61">
        <f>IF(P8="K",VLOOKUP(N8,Table2[[#All],[UNIT]:[Column7]],10,FALSE),0)</f>
        <v>1000000</v>
      </c>
      <c r="G8" s="42">
        <f>E8*F8</f>
        <v>54000000</v>
      </c>
      <c r="H8" s="41">
        <v>1478.2153846153844</v>
      </c>
      <c r="I8" s="43">
        <f t="shared" ref="I8:I18" si="0">H8*$D$23</f>
        <v>0</v>
      </c>
      <c r="J8" s="41">
        <f t="shared" ref="J8:J9" si="1">IFERROR(H8/E8,0)</f>
        <v>27.374358974358969</v>
      </c>
      <c r="K8" s="44">
        <f>G8+I8</f>
        <v>54000000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18" si="2">ROW(B9)-7</f>
        <v>2</v>
      </c>
      <c r="C9" s="40"/>
      <c r="D9" s="40" t="s">
        <v>255</v>
      </c>
      <c r="E9" s="41">
        <v>9</v>
      </c>
      <c r="F9" s="61">
        <f>IF(P9="K",VLOOKUP(N9,Table2[[#All],[UNIT]:[Column7]],10,FALSE),0)</f>
        <v>400000</v>
      </c>
      <c r="G9" s="42">
        <f t="shared" ref="G9" si="3">E9*F9</f>
        <v>3600000</v>
      </c>
      <c r="H9" s="41">
        <v>218.6</v>
      </c>
      <c r="I9" s="43">
        <f t="shared" si="0"/>
        <v>0</v>
      </c>
      <c r="J9" s="41">
        <f t="shared" si="1"/>
        <v>24.288888888888888</v>
      </c>
      <c r="K9" s="44">
        <f t="shared" ref="K9" si="4">G9+I9</f>
        <v>3600000</v>
      </c>
      <c r="L9" s="35"/>
      <c r="M9" s="40" t="s">
        <v>325</v>
      </c>
      <c r="N9" s="40" t="str">
        <f>VLOOKUP(O9,'list rate unit'!O:P,2,FALSE)</f>
        <v>PC 300 SE-8</v>
      </c>
      <c r="O9" s="40" t="str">
        <f t="shared" ref="O9" si="5">D9</f>
        <v>KOMATSU PC 300 - 12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267</v>
      </c>
      <c r="E10" s="41">
        <v>219</v>
      </c>
      <c r="F10" s="61">
        <f>IF(P10="K",VLOOKUP(N10,Table2[[#All],[UNIT]:[Column7]],10,FALSE),0)</f>
        <v>400000</v>
      </c>
      <c r="G10" s="42">
        <f t="shared" ref="G10:G18" si="6">E10*F10</f>
        <v>87600000</v>
      </c>
      <c r="H10" s="41">
        <v>5306.9741379310344</v>
      </c>
      <c r="I10" s="43">
        <f t="shared" si="0"/>
        <v>0</v>
      </c>
      <c r="J10" s="41">
        <f t="shared" ref="J10:J18" si="7">IFERROR(H10/E10,0)</f>
        <v>24.232758620689655</v>
      </c>
      <c r="K10" s="44">
        <f t="shared" ref="K10:K18" si="8">G10+I10</f>
        <v>87600000</v>
      </c>
      <c r="L10" s="35"/>
      <c r="M10" s="40" t="s">
        <v>325</v>
      </c>
      <c r="N10" s="40" t="str">
        <f>VLOOKUP(O10,'list rate unit'!O:P,2,FALSE)</f>
        <v>PC 300 SE-8</v>
      </c>
      <c r="O10" s="40" t="str">
        <f t="shared" ref="O10:O18" si="9">D10</f>
        <v>KOMATSU PC 300 - 17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245</v>
      </c>
      <c r="E11" s="41">
        <v>165</v>
      </c>
      <c r="F11" s="61">
        <f>IF(P11="K",VLOOKUP(N11,Table2[[#All],[UNIT]:[Column7]],10,FALSE),0)</f>
        <v>1424304.3667884208</v>
      </c>
      <c r="G11" s="42">
        <f t="shared" si="6"/>
        <v>235010220.52008945</v>
      </c>
      <c r="H11" s="41">
        <v>3176.25</v>
      </c>
      <c r="I11" s="43">
        <f t="shared" si="0"/>
        <v>0</v>
      </c>
      <c r="J11" s="41">
        <f t="shared" si="7"/>
        <v>19.25</v>
      </c>
      <c r="K11" s="44">
        <f t="shared" si="8"/>
        <v>235010220.52008945</v>
      </c>
      <c r="L11" s="35"/>
      <c r="M11" s="40" t="s">
        <v>325</v>
      </c>
      <c r="N11" s="40" t="str">
        <f>VLOOKUP(O11,'list rate unit'!O:P,2,FALSE)</f>
        <v>HM 400-3R</v>
      </c>
      <c r="O11" s="40" t="str">
        <f t="shared" si="9"/>
        <v>KOMATSU HM 400 - 06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246</v>
      </c>
      <c r="E12" s="41">
        <v>60</v>
      </c>
      <c r="F12" s="61">
        <f>IF(P12="K",VLOOKUP(N12,Table2[[#All],[UNIT]:[Column7]],10,FALSE),0)</f>
        <v>1424304.3667884208</v>
      </c>
      <c r="G12" s="42">
        <f t="shared" si="6"/>
        <v>85458262.00730525</v>
      </c>
      <c r="H12" s="41">
        <v>1180.7734806629835</v>
      </c>
      <c r="I12" s="43">
        <f t="shared" si="0"/>
        <v>0</v>
      </c>
      <c r="J12" s="41">
        <f t="shared" si="7"/>
        <v>19.679558011049725</v>
      </c>
      <c r="K12" s="44">
        <f t="shared" si="8"/>
        <v>85458262.00730525</v>
      </c>
      <c r="L12" s="35"/>
      <c r="M12" s="40" t="s">
        <v>325</v>
      </c>
      <c r="N12" s="40" t="str">
        <f>VLOOKUP(O12,'list rate unit'!O:P,2,FALSE)</f>
        <v>HM 400-3R</v>
      </c>
      <c r="O12" s="40" t="str">
        <f t="shared" si="9"/>
        <v>KOMATSU HM 400 - 07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247</v>
      </c>
      <c r="E13" s="41">
        <v>43</v>
      </c>
      <c r="F13" s="61">
        <f>IF(P13="K",VLOOKUP(N13,Table2[[#All],[UNIT]:[Column7]],10,FALSE),0)</f>
        <v>1424304.3667884208</v>
      </c>
      <c r="G13" s="42">
        <f t="shared" si="6"/>
        <v>61245087.771902099</v>
      </c>
      <c r="H13" s="41">
        <v>964.55789473684217</v>
      </c>
      <c r="I13" s="43">
        <f t="shared" si="0"/>
        <v>0</v>
      </c>
      <c r="J13" s="41">
        <f t="shared" si="7"/>
        <v>22.431578947368422</v>
      </c>
      <c r="K13" s="44">
        <f t="shared" si="8"/>
        <v>61245087.771902099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si="9"/>
        <v>KOMATSU HM 400 - 08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200</v>
      </c>
      <c r="E14" s="41">
        <v>11</v>
      </c>
      <c r="F14" s="61">
        <f>IF(P14="K",VLOOKUP(N14,Table2[[#All],[UNIT]:[Column7]],10,FALSE),0)</f>
        <v>1424304.3667884208</v>
      </c>
      <c r="G14" s="42">
        <f t="shared" si="6"/>
        <v>15667348.034672629</v>
      </c>
      <c r="H14" s="41">
        <v>222.83040935672514</v>
      </c>
      <c r="I14" s="43">
        <f t="shared" si="0"/>
        <v>0</v>
      </c>
      <c r="J14" s="41">
        <f t="shared" si="7"/>
        <v>20.257309941520468</v>
      </c>
      <c r="K14" s="44">
        <f t="shared" si="8"/>
        <v>15667348.034672629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9"/>
        <v>KOMATSU HM 400 - 09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201</v>
      </c>
      <c r="E15" s="41">
        <v>30</v>
      </c>
      <c r="F15" s="61">
        <f>IF(P15="K",VLOOKUP(N15,Table2[[#All],[UNIT]:[Column7]],10,FALSE),0)</f>
        <v>1424304.3667884208</v>
      </c>
      <c r="G15" s="42">
        <f t="shared" ref="G15:G17" si="10">E15*F15</f>
        <v>42729131.003652625</v>
      </c>
      <c r="H15" s="41">
        <v>662.74509803921569</v>
      </c>
      <c r="I15" s="43">
        <f t="shared" si="0"/>
        <v>0</v>
      </c>
      <c r="J15" s="41">
        <f t="shared" ref="J15:J17" si="11">IFERROR(H15/E15,0)</f>
        <v>22.091503267973856</v>
      </c>
      <c r="K15" s="44">
        <f t="shared" ref="K15:K17" si="12">G15+I15</f>
        <v>42729131.003652625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ref="O15:O17" si="13">D15</f>
        <v>KOMATSU HM 400 - 10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249</v>
      </c>
      <c r="E16" s="41">
        <v>14</v>
      </c>
      <c r="F16" s="61">
        <f>IF(P16="K",VLOOKUP(N16,Table2[[#All],[UNIT]:[Column7]],10,FALSE),0)</f>
        <v>425000</v>
      </c>
      <c r="G16" s="42">
        <f t="shared" si="10"/>
        <v>5950000</v>
      </c>
      <c r="H16" s="41">
        <v>449.15976331360952</v>
      </c>
      <c r="I16" s="43">
        <f t="shared" si="0"/>
        <v>0</v>
      </c>
      <c r="J16" s="41">
        <f t="shared" si="11"/>
        <v>32.082840236686394</v>
      </c>
      <c r="K16" s="44">
        <f t="shared" si="12"/>
        <v>5950000</v>
      </c>
      <c r="L16" s="35"/>
      <c r="M16" s="40" t="s">
        <v>325</v>
      </c>
      <c r="N16" s="40" t="str">
        <f>VLOOKUP(O16,'list rate unit'!O:P,2,FALSE)</f>
        <v>D 65 P-12</v>
      </c>
      <c r="O16" s="40" t="str">
        <f t="shared" si="13"/>
        <v>KOMATSU DOZER D65 - 11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214</v>
      </c>
      <c r="E17" s="41">
        <v>6</v>
      </c>
      <c r="F17" s="61">
        <f>IF(P17="K",VLOOKUP(N17,Table2[[#All],[UNIT]:[Column7]],10,FALSE),0)</f>
        <v>425000</v>
      </c>
      <c r="G17" s="42">
        <f t="shared" si="10"/>
        <v>2550000</v>
      </c>
      <c r="H17" s="41">
        <v>162.12676056338029</v>
      </c>
      <c r="I17" s="43">
        <f t="shared" si="0"/>
        <v>0</v>
      </c>
      <c r="J17" s="41">
        <f t="shared" si="11"/>
        <v>27.02112676056338</v>
      </c>
      <c r="K17" s="44">
        <f t="shared" si="12"/>
        <v>2550000</v>
      </c>
      <c r="L17" s="35"/>
      <c r="M17" s="40" t="s">
        <v>325</v>
      </c>
      <c r="N17" s="40" t="str">
        <f>VLOOKUP(O17,'list rate unit'!O:P,2,FALSE)</f>
        <v>D 65 P-12</v>
      </c>
      <c r="O17" s="40" t="str">
        <f t="shared" si="13"/>
        <v>KOMATSU DOZER D65 - 12</v>
      </c>
      <c r="P17" s="15" t="s">
        <v>56</v>
      </c>
    </row>
    <row r="18" spans="2:16" x14ac:dyDescent="0.3">
      <c r="B18" s="40">
        <f t="shared" si="2"/>
        <v>11</v>
      </c>
      <c r="C18" s="40"/>
      <c r="D18" s="40" t="s">
        <v>263</v>
      </c>
      <c r="E18" s="41">
        <v>160</v>
      </c>
      <c r="F18" s="61">
        <f>IF(P18="K",VLOOKUP(N18,Table2[[#All],[UNIT]:[Column7]],10,FALSE),0)</f>
        <v>425000</v>
      </c>
      <c r="G18" s="42">
        <f t="shared" si="6"/>
        <v>68000000</v>
      </c>
      <c r="H18" s="41">
        <v>2772.1925133689842</v>
      </c>
      <c r="I18" s="43">
        <f t="shared" si="0"/>
        <v>0</v>
      </c>
      <c r="J18" s="41">
        <f t="shared" si="7"/>
        <v>17.326203208556151</v>
      </c>
      <c r="K18" s="44">
        <f t="shared" si="8"/>
        <v>68000000</v>
      </c>
      <c r="L18" s="35"/>
      <c r="M18" s="40" t="s">
        <v>325</v>
      </c>
      <c r="N18" s="40" t="str">
        <f>VLOOKUP(O18,'list rate unit'!O:P,2,FALSE)</f>
        <v>D 85 ESS-2</v>
      </c>
      <c r="O18" s="40" t="str">
        <f t="shared" si="9"/>
        <v>KOMATSU DOZER D85SS - 11</v>
      </c>
      <c r="P18" s="15" t="s">
        <v>56</v>
      </c>
    </row>
    <row r="19" spans="2:16" x14ac:dyDescent="0.3">
      <c r="E19" s="18"/>
      <c r="G19" s="32"/>
      <c r="H19" s="18"/>
      <c r="I19" s="30"/>
      <c r="J19" s="18"/>
      <c r="K19" s="33"/>
      <c r="L19" s="18"/>
    </row>
    <row r="20" spans="2:16" s="1" customFormat="1" ht="15.75" customHeight="1" x14ac:dyDescent="0.3">
      <c r="B20" s="205" t="s">
        <v>21</v>
      </c>
      <c r="C20" s="205"/>
      <c r="D20" s="205"/>
      <c r="E20" s="45">
        <f>SUM(E8:E19)</f>
        <v>771</v>
      </c>
      <c r="F20" s="62">
        <f>AVERAGE(F8:F19)</f>
        <v>926956.53035837307</v>
      </c>
      <c r="G20" s="46">
        <f>SUM(G8:G19)</f>
        <v>661810049.33762205</v>
      </c>
      <c r="H20" s="45">
        <f>SUM(H8:H19)</f>
        <v>16594.425442588163</v>
      </c>
      <c r="I20" s="46">
        <f>SUM(I8:I19)</f>
        <v>0</v>
      </c>
      <c r="J20" s="45">
        <f t="shared" ref="J20" si="14">IFERROR(H20/E20,0)</f>
        <v>21.523249601281663</v>
      </c>
      <c r="K20" s="47">
        <f>SUM(K8:K19)</f>
        <v>661810049.33762205</v>
      </c>
      <c r="L20" s="36"/>
    </row>
    <row r="22" spans="2:16" x14ac:dyDescent="0.3">
      <c r="B22" s="204" t="s">
        <v>34</v>
      </c>
      <c r="C22" s="204"/>
      <c r="D22" s="29">
        <f>SUMMARY!J32</f>
        <v>14848</v>
      </c>
    </row>
    <row r="23" spans="2:16" x14ac:dyDescent="0.3">
      <c r="B23" s="204" t="s">
        <v>35</v>
      </c>
      <c r="C23" s="204"/>
      <c r="D23" s="29">
        <f>SUMMARY!$J$13</f>
        <v>0</v>
      </c>
      <c r="G23" s="30"/>
      <c r="H23" s="18"/>
    </row>
    <row r="25" spans="2:16" x14ac:dyDescent="0.3">
      <c r="G25" s="18"/>
    </row>
  </sheetData>
  <autoFilter ref="B7:P18" xr:uid="{00000000-0009-0000-0000-000003000000}"/>
  <mergeCells count="16">
    <mergeCell ref="B2:D3"/>
    <mergeCell ref="B5:B7"/>
    <mergeCell ref="D5:D7"/>
    <mergeCell ref="E5:G5"/>
    <mergeCell ref="G6:G7"/>
    <mergeCell ref="C5:C7"/>
    <mergeCell ref="B23:C23"/>
    <mergeCell ref="B22:C22"/>
    <mergeCell ref="O5:O7"/>
    <mergeCell ref="I6:I7"/>
    <mergeCell ref="J5:J6"/>
    <mergeCell ref="B20:D20"/>
    <mergeCell ref="H5:I5"/>
    <mergeCell ref="K5:K7"/>
    <mergeCell ref="M5:M7"/>
    <mergeCell ref="N5:N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P1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32" sqref="H32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282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220</v>
      </c>
      <c r="E8" s="41"/>
      <c r="F8" s="61">
        <f>IF(P8="K",VLOOKUP(N8,Table2[[#All],[UNIT]:[Column7]],10,FALSE),0)</f>
        <v>350000</v>
      </c>
      <c r="G8" s="42">
        <f>E8*F8</f>
        <v>0</v>
      </c>
      <c r="H8" s="41"/>
      <c r="I8" s="43">
        <f>H8*$D$15</f>
        <v>0</v>
      </c>
      <c r="J8" s="41">
        <f t="shared" ref="J8:J10" si="0">IFERROR(H8/E8,0)</f>
        <v>0</v>
      </c>
      <c r="K8" s="44">
        <f>G8+I8</f>
        <v>0</v>
      </c>
      <c r="L8" s="35"/>
      <c r="M8" s="40" t="s">
        <v>252</v>
      </c>
      <c r="N8" s="40" t="str">
        <f>VLOOKUP(O8,'list rate unit'!O:P,2,FALSE)</f>
        <v>GD 511 A-1</v>
      </c>
      <c r="O8" s="40" t="str">
        <f>D8</f>
        <v>GRADER GD535 - 03</v>
      </c>
      <c r="P8" s="15" t="s">
        <v>56</v>
      </c>
    </row>
    <row r="9" spans="2:16" x14ac:dyDescent="0.3">
      <c r="B9" s="40">
        <f t="shared" ref="B9:B10" si="1">ROW(B9)-7</f>
        <v>2</v>
      </c>
      <c r="C9" s="40"/>
      <c r="D9" s="40" t="s">
        <v>279</v>
      </c>
      <c r="E9" s="41"/>
      <c r="F9" s="61">
        <f>IF(P9="K",VLOOKUP(N9,Table2[[#All],[UNIT]:[Column7]],10,FALSE),0)</f>
        <v>220000</v>
      </c>
      <c r="G9" s="42">
        <f>E9*F9</f>
        <v>0</v>
      </c>
      <c r="H9" s="41"/>
      <c r="I9" s="43">
        <f>H9*$D$15</f>
        <v>0</v>
      </c>
      <c r="J9" s="41">
        <f t="shared" si="0"/>
        <v>0</v>
      </c>
      <c r="K9" s="44">
        <f>G9+I9</f>
        <v>0</v>
      </c>
      <c r="L9" s="35"/>
      <c r="M9" s="40" t="s">
        <v>252</v>
      </c>
      <c r="N9" s="40" t="str">
        <f>VLOOKUP(O9,'list rate unit'!O:P,2,FALSE)</f>
        <v>SV 525 D</v>
      </c>
      <c r="O9" s="40" t="str">
        <f>D9</f>
        <v>SAKAI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221</v>
      </c>
      <c r="E10" s="41"/>
      <c r="F10" s="61">
        <f>IF(P10="K",VLOOKUP(N10,Table2[[#All],[UNIT]:[Column7]],10,FALSE),0)</f>
        <v>220000</v>
      </c>
      <c r="G10" s="42">
        <f t="shared" ref="G10" si="2">E10*F10</f>
        <v>0</v>
      </c>
      <c r="H10" s="41"/>
      <c r="I10" s="43">
        <f>H10*$D$15</f>
        <v>0</v>
      </c>
      <c r="J10" s="41">
        <f t="shared" si="0"/>
        <v>0</v>
      </c>
      <c r="K10" s="44">
        <f t="shared" ref="K10" si="3">G10+I10</f>
        <v>0</v>
      </c>
      <c r="L10" s="35"/>
      <c r="M10" s="40" t="s">
        <v>252</v>
      </c>
      <c r="N10" s="40" t="str">
        <f>VLOOKUP(O10,'list rate unit'!O:P,2,FALSE)</f>
        <v>SV 525 D</v>
      </c>
      <c r="O10" s="40" t="str">
        <f t="shared" ref="O10" si="4">D10</f>
        <v>SAKAI - 07</v>
      </c>
      <c r="P10" s="15" t="s">
        <v>56</v>
      </c>
    </row>
    <row r="11" spans="2:16" x14ac:dyDescent="0.3">
      <c r="E11" s="18"/>
      <c r="G11" s="32"/>
      <c r="H11" s="18"/>
      <c r="I11" s="30"/>
      <c r="J11" s="18"/>
      <c r="K11" s="33"/>
      <c r="L11" s="18"/>
    </row>
    <row r="12" spans="2:16" s="1" customFormat="1" ht="15.75" customHeight="1" x14ac:dyDescent="0.3">
      <c r="B12" s="205" t="s">
        <v>21</v>
      </c>
      <c r="C12" s="205"/>
      <c r="D12" s="205"/>
      <c r="E12" s="45">
        <f>SUM(E8:E10)</f>
        <v>0</v>
      </c>
      <c r="F12" s="62">
        <f>AVERAGE(F8:F10)</f>
        <v>263333.33333333331</v>
      </c>
      <c r="G12" s="46">
        <f>SUM(G8:G10)</f>
        <v>0</v>
      </c>
      <c r="H12" s="45">
        <f>SUM(H8:H10)</f>
        <v>0</v>
      </c>
      <c r="I12" s="46">
        <f>SUM(I8:I10)</f>
        <v>0</v>
      </c>
      <c r="J12" s="45">
        <f t="shared" ref="J12" si="5">IFERROR(H12/E12,0)</f>
        <v>0</v>
      </c>
      <c r="K12" s="47">
        <f>SUM(K8:K10)</f>
        <v>0</v>
      </c>
      <c r="L12" s="36"/>
    </row>
    <row r="14" spans="2:16" x14ac:dyDescent="0.3">
      <c r="B14" s="204" t="s">
        <v>34</v>
      </c>
      <c r="C14" s="204"/>
      <c r="D14" s="29">
        <f>SUMMARY!J32</f>
        <v>14848</v>
      </c>
    </row>
    <row r="15" spans="2:16" x14ac:dyDescent="0.3">
      <c r="B15" s="204" t="s">
        <v>35</v>
      </c>
      <c r="C15" s="204"/>
      <c r="D15" s="29">
        <f>SUMMARY!$J$13</f>
        <v>0</v>
      </c>
      <c r="G15" s="30"/>
      <c r="H15" s="18"/>
    </row>
    <row r="17" spans="7:7" x14ac:dyDescent="0.3">
      <c r="G17" s="18"/>
    </row>
  </sheetData>
  <autoFilter ref="B7:P10" xr:uid="{00000000-0009-0000-0000-000003000000}"/>
  <mergeCells count="16">
    <mergeCell ref="B2:D3"/>
    <mergeCell ref="B5:B7"/>
    <mergeCell ref="D5:D7"/>
    <mergeCell ref="E5:G5"/>
    <mergeCell ref="G6:G7"/>
    <mergeCell ref="C5:C7"/>
    <mergeCell ref="B14:C14"/>
    <mergeCell ref="B15:C15"/>
    <mergeCell ref="O5:O7"/>
    <mergeCell ref="I6:I7"/>
    <mergeCell ref="J5:J6"/>
    <mergeCell ref="B12:D12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P24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8" sqref="H8:H17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167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351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8</v>
      </c>
      <c r="F8" s="61">
        <f>IF(P8="K",VLOOKUP(N8,Table2[[#All],[UNIT]:[Column7]],10,FALSE),0)</f>
        <v>1000000</v>
      </c>
      <c r="G8" s="42">
        <f>E8*F8</f>
        <v>8000000</v>
      </c>
      <c r="H8" s="41">
        <v>218.99487179487178</v>
      </c>
      <c r="I8" s="43">
        <f t="shared" ref="I8:I17" si="0">H8*$D$22</f>
        <v>0</v>
      </c>
      <c r="J8" s="41">
        <f t="shared" ref="J8:J13" si="1">IFERROR(H8/E8,0)</f>
        <v>27.374358974358973</v>
      </c>
      <c r="K8" s="44">
        <f>G8+I8</f>
        <v>8000000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17" si="2">ROW(B9)-7</f>
        <v>2</v>
      </c>
      <c r="C9" s="40"/>
      <c r="D9" s="40" t="s">
        <v>266</v>
      </c>
      <c r="E9" s="41">
        <v>6</v>
      </c>
      <c r="F9" s="61">
        <f>IF(P9="K",VLOOKUP(N9,Table2[[#All],[UNIT]:[Column7]],10,FALSE),0)</f>
        <v>950000</v>
      </c>
      <c r="G9" s="42">
        <f t="shared" ref="G9:G13" si="3">E9*F9</f>
        <v>5700000</v>
      </c>
      <c r="H9" s="41">
        <v>285.33333333333337</v>
      </c>
      <c r="I9" s="43">
        <f t="shared" si="0"/>
        <v>0</v>
      </c>
      <c r="J9" s="41">
        <f t="shared" si="1"/>
        <v>47.555555555555564</v>
      </c>
      <c r="K9" s="44">
        <f t="shared" ref="K9:K13" si="4">G9+I9</f>
        <v>5700000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:O13" si="5">D9</f>
        <v>KOMATSU PC 400 - 03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327</v>
      </c>
      <c r="E10" s="41">
        <v>30</v>
      </c>
      <c r="F10" s="61">
        <f>IF(P10="K",VLOOKUP(N10,Table2[[#All],[UNIT]:[Column7]],10,FALSE),0)</f>
        <v>950000</v>
      </c>
      <c r="G10" s="42">
        <f t="shared" si="3"/>
        <v>28500000</v>
      </c>
      <c r="H10" s="41">
        <v>849.87654320987656</v>
      </c>
      <c r="I10" s="43">
        <f t="shared" si="0"/>
        <v>0</v>
      </c>
      <c r="J10" s="41">
        <f t="shared" si="1"/>
        <v>28.329218106995885</v>
      </c>
      <c r="K10" s="44">
        <f t="shared" si="4"/>
        <v>28500000</v>
      </c>
      <c r="L10" s="35"/>
      <c r="M10" s="40" t="s">
        <v>325</v>
      </c>
      <c r="N10" s="40" t="str">
        <f>VLOOKUP(O10,'list rate unit'!O:P,2,FALSE)</f>
        <v>PC 400 LC SE-8</v>
      </c>
      <c r="O10" s="40" t="str">
        <f t="shared" si="5"/>
        <v>KOMATSU PC 400 - 07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196</v>
      </c>
      <c r="E11" s="41">
        <v>167</v>
      </c>
      <c r="F11" s="61">
        <f>IF(P11="K",VLOOKUP(N11,Table2[[#All],[UNIT]:[Column7]],10,FALSE),0)</f>
        <v>275000</v>
      </c>
      <c r="G11" s="42">
        <f t="shared" si="3"/>
        <v>45925000</v>
      </c>
      <c r="H11" s="41">
        <v>2129</v>
      </c>
      <c r="I11" s="43">
        <f t="shared" si="0"/>
        <v>0</v>
      </c>
      <c r="J11" s="41">
        <f t="shared" si="1"/>
        <v>12.748502994011975</v>
      </c>
      <c r="K11" s="44">
        <f t="shared" si="4"/>
        <v>45925000</v>
      </c>
      <c r="L11" s="35"/>
      <c r="M11" s="40" t="s">
        <v>325</v>
      </c>
      <c r="N11" s="40" t="str">
        <f>VLOOKUP(O11,'list rate unit'!O:P,2,FALSE)</f>
        <v>SK 200-8 SX</v>
      </c>
      <c r="O11" s="40" t="str">
        <f t="shared" si="5"/>
        <v>KOBELCO SK 200 - 16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255</v>
      </c>
      <c r="E12" s="41">
        <v>204</v>
      </c>
      <c r="F12" s="61">
        <f>IF(P12="K",VLOOKUP(N12,Table2[[#All],[UNIT]:[Column7]],10,FALSE),0)</f>
        <v>400000</v>
      </c>
      <c r="G12" s="42">
        <f t="shared" si="3"/>
        <v>81600000</v>
      </c>
      <c r="H12" s="41">
        <v>2129</v>
      </c>
      <c r="I12" s="43">
        <f t="shared" si="0"/>
        <v>0</v>
      </c>
      <c r="J12" s="41">
        <f t="shared" si="1"/>
        <v>10.436274509803921</v>
      </c>
      <c r="K12" s="44">
        <f t="shared" si="4"/>
        <v>81600000</v>
      </c>
      <c r="L12" s="35"/>
      <c r="M12" s="40" t="s">
        <v>325</v>
      </c>
      <c r="N12" s="40" t="str">
        <f>VLOOKUP(O12,'list rate unit'!O:P,2,FALSE)</f>
        <v>PC 300 SE-8</v>
      </c>
      <c r="O12" s="40" t="str">
        <f t="shared" si="5"/>
        <v>KOMATSU PC 300 - 12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267</v>
      </c>
      <c r="E13" s="41">
        <v>13</v>
      </c>
      <c r="F13" s="61">
        <f>IF(P13="K",VLOOKUP(N13,Table2[[#All],[UNIT]:[Column7]],10,FALSE),0)</f>
        <v>400000</v>
      </c>
      <c r="G13" s="42">
        <f t="shared" si="3"/>
        <v>5200000</v>
      </c>
      <c r="H13" s="41">
        <v>315.02586206896552</v>
      </c>
      <c r="I13" s="43">
        <f t="shared" si="0"/>
        <v>0</v>
      </c>
      <c r="J13" s="41">
        <f t="shared" si="1"/>
        <v>24.232758620689655</v>
      </c>
      <c r="K13" s="44">
        <f t="shared" si="4"/>
        <v>5200000</v>
      </c>
      <c r="L13" s="35"/>
      <c r="M13" s="40" t="s">
        <v>325</v>
      </c>
      <c r="N13" s="40" t="str">
        <f>VLOOKUP(O13,'list rate unit'!O:P,2,FALSE)</f>
        <v>PC 300 SE-8</v>
      </c>
      <c r="O13" s="40" t="str">
        <f t="shared" si="5"/>
        <v>KOMATSU PC 300 - 17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258</v>
      </c>
      <c r="E14" s="41">
        <v>187</v>
      </c>
      <c r="F14" s="61">
        <f>IF(P14="K",VLOOKUP(N14,Table2[[#All],[UNIT]:[Column7]],10,FALSE),0)</f>
        <v>275000</v>
      </c>
      <c r="G14" s="42">
        <f t="shared" ref="G14" si="6">E14*F14</f>
        <v>51425000</v>
      </c>
      <c r="H14" s="41">
        <v>2628</v>
      </c>
      <c r="I14" s="43">
        <f t="shared" si="0"/>
        <v>0</v>
      </c>
      <c r="J14" s="41">
        <f t="shared" ref="J14" si="7">IFERROR(H14/E14,0)</f>
        <v>14.053475935828876</v>
      </c>
      <c r="K14" s="44">
        <f t="shared" ref="K14" si="8">G14+I14</f>
        <v>51425000</v>
      </c>
      <c r="L14" s="35"/>
      <c r="M14" s="40" t="s">
        <v>325</v>
      </c>
      <c r="N14" s="40" t="str">
        <f>VLOOKUP(O14,'list rate unit'!O:P,2,FALSE)</f>
        <v>PC 200-8 MO</v>
      </c>
      <c r="O14" s="40" t="str">
        <f t="shared" ref="O14" si="9">D14</f>
        <v>KOMATSU PC 200 - 11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329</v>
      </c>
      <c r="E15" s="41">
        <v>223</v>
      </c>
      <c r="F15" s="61">
        <f>IF(P15="K",VLOOKUP(N15,Table2[[#All],[UNIT]:[Column7]],10,FALSE),0)</f>
        <v>275000</v>
      </c>
      <c r="G15" s="42">
        <f t="shared" ref="G15:G16" si="10">E15*F15</f>
        <v>61325000</v>
      </c>
      <c r="H15" s="41">
        <v>3291</v>
      </c>
      <c r="I15" s="43">
        <f t="shared" si="0"/>
        <v>0</v>
      </c>
      <c r="J15" s="41">
        <f t="shared" ref="J15:J16" si="11">IFERROR(H15/E15,0)</f>
        <v>14.757847533632287</v>
      </c>
      <c r="K15" s="44">
        <f t="shared" ref="K15:K16" si="12">G15+I15</f>
        <v>61325000</v>
      </c>
      <c r="L15" s="35"/>
      <c r="M15" s="40" t="s">
        <v>325</v>
      </c>
      <c r="N15" s="40" t="str">
        <f>VLOOKUP(O15,'list rate unit'!O:P,2,FALSE)</f>
        <v>PC 200-8 MO</v>
      </c>
      <c r="O15" s="40" t="str">
        <f t="shared" ref="O15:O16" si="13">D15</f>
        <v>KOMATSU PC 200 - 21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189</v>
      </c>
      <c r="E16" s="41">
        <v>213</v>
      </c>
      <c r="F16" s="61">
        <f>IF(P16="K",VLOOKUP(N16,Table2[[#All],[UNIT]:[Column7]],10,FALSE),0)</f>
        <v>275000</v>
      </c>
      <c r="G16" s="42">
        <f t="shared" si="10"/>
        <v>58575000</v>
      </c>
      <c r="H16" s="41">
        <v>3106.3303167420813</v>
      </c>
      <c r="I16" s="43">
        <f t="shared" si="0"/>
        <v>0</v>
      </c>
      <c r="J16" s="41">
        <f t="shared" si="11"/>
        <v>14.583710407239819</v>
      </c>
      <c r="K16" s="44">
        <f t="shared" si="12"/>
        <v>58575000</v>
      </c>
      <c r="L16" s="35"/>
      <c r="M16" s="40" t="s">
        <v>325</v>
      </c>
      <c r="N16" s="40" t="str">
        <f>VLOOKUP(O16,'list rate unit'!O:P,2,FALSE)</f>
        <v>PC 200-8 MO</v>
      </c>
      <c r="O16" s="40" t="str">
        <f t="shared" si="13"/>
        <v>KOMATSU PC 200 - 23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305</v>
      </c>
      <c r="E17" s="41">
        <v>115</v>
      </c>
      <c r="F17" s="61">
        <f>IF(P17="K",VLOOKUP(N17,Table2[[#All],[UNIT]:[Column7]],10,FALSE),0)</f>
        <v>220000</v>
      </c>
      <c r="G17" s="42">
        <f t="shared" ref="G17" si="14">E17*F17</f>
        <v>25300000</v>
      </c>
      <c r="H17" s="41">
        <v>498</v>
      </c>
      <c r="I17" s="43">
        <f t="shared" si="0"/>
        <v>0</v>
      </c>
      <c r="J17" s="41">
        <f t="shared" ref="J17" si="15">IFERROR(H17/E17,0)</f>
        <v>4.3304347826086955</v>
      </c>
      <c r="K17" s="44">
        <f t="shared" ref="K17" si="16">G17+I17</f>
        <v>25300000</v>
      </c>
      <c r="L17" s="35"/>
      <c r="M17" s="40" t="s">
        <v>325</v>
      </c>
      <c r="N17" s="40" t="str">
        <f>VLOOKUP(O17,'list rate unit'!O:P,2,FALSE)</f>
        <v>SV 525 D</v>
      </c>
      <c r="O17" s="40" t="str">
        <f t="shared" ref="O17" si="17">D17</f>
        <v>SAKAI - 01</v>
      </c>
      <c r="P17" s="15" t="s">
        <v>56</v>
      </c>
    </row>
    <row r="18" spans="2:16" x14ac:dyDescent="0.3">
      <c r="E18" s="18"/>
      <c r="G18" s="32"/>
      <c r="H18" s="18"/>
      <c r="I18" s="30"/>
      <c r="J18" s="18"/>
      <c r="K18" s="33"/>
      <c r="L18" s="18"/>
    </row>
    <row r="19" spans="2:16" s="1" customFormat="1" ht="15.75" customHeight="1" x14ac:dyDescent="0.3">
      <c r="B19" s="205" t="s">
        <v>21</v>
      </c>
      <c r="C19" s="205"/>
      <c r="D19" s="205"/>
      <c r="E19" s="45">
        <f>SUM(E8:E18)</f>
        <v>1166</v>
      </c>
      <c r="F19" s="62">
        <f>AVERAGE(F8:F18)</f>
        <v>502000</v>
      </c>
      <c r="G19" s="46">
        <f>SUM(G8:G18)</f>
        <v>371550000</v>
      </c>
      <c r="H19" s="45">
        <f>SUM(H8:H18)</f>
        <v>15450.560927149128</v>
      </c>
      <c r="I19" s="46">
        <f>SUM(I8:I18)</f>
        <v>0</v>
      </c>
      <c r="J19" s="45">
        <f t="shared" ref="J19" si="18">IFERROR(H19/E19,0)</f>
        <v>13.250909886062717</v>
      </c>
      <c r="K19" s="47">
        <f>SUM(K8:K18)</f>
        <v>371550000</v>
      </c>
      <c r="L19" s="36"/>
    </row>
    <row r="21" spans="2:16" x14ac:dyDescent="0.3">
      <c r="B21" s="204" t="s">
        <v>34</v>
      </c>
      <c r="C21" s="204"/>
      <c r="D21" s="29">
        <f>SUMMARY!J32</f>
        <v>14848</v>
      </c>
    </row>
    <row r="22" spans="2:16" x14ac:dyDescent="0.3">
      <c r="B22" s="204" t="s">
        <v>35</v>
      </c>
      <c r="C22" s="204"/>
      <c r="D22" s="29">
        <f>SUMMARY!$J$13</f>
        <v>0</v>
      </c>
      <c r="G22" s="30"/>
      <c r="H22" s="18"/>
    </row>
    <row r="24" spans="2:16" x14ac:dyDescent="0.3">
      <c r="G24" s="18"/>
    </row>
  </sheetData>
  <autoFilter ref="B7:P17" xr:uid="{00000000-0009-0000-0000-000003000000}"/>
  <mergeCells count="16">
    <mergeCell ref="B2:D3"/>
    <mergeCell ref="B5:B7"/>
    <mergeCell ref="D5:D7"/>
    <mergeCell ref="E5:G5"/>
    <mergeCell ref="G6:G7"/>
    <mergeCell ref="C5:C7"/>
    <mergeCell ref="B21:C21"/>
    <mergeCell ref="B22:C22"/>
    <mergeCell ref="O5:O7"/>
    <mergeCell ref="I6:I7"/>
    <mergeCell ref="J5:J6"/>
    <mergeCell ref="B19:D19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unit'!$B$6:$B$27</xm:f>
          </x14:formula1>
          <xm:sqref>N1:N1048576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R134"/>
  <sheetViews>
    <sheetView workbookViewId="0">
      <pane xSplit="4" ySplit="7" topLeftCell="E17" activePane="bottomRight" state="frozenSplit"/>
      <selection pane="topRight" activeCell="C1" sqref="C1"/>
      <selection pane="bottomLeft" activeCell="A8" sqref="A8"/>
      <selection pane="bottomRight" activeCell="J36" sqref="J36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19.5546875" style="15" bestFit="1" customWidth="1"/>
    <col min="5" max="6" width="12.6640625" style="15" customWidth="1"/>
    <col min="7" max="7" width="12" style="15" bestFit="1" customWidth="1"/>
    <col min="8" max="8" width="19.5546875" style="15" customWidth="1"/>
    <col min="9" max="9" width="12.6640625" style="15" customWidth="1"/>
    <col min="10" max="10" width="19.6640625" style="15" bestFit="1" customWidth="1"/>
    <col min="11" max="13" width="11" style="15" customWidth="1"/>
    <col min="14" max="14" width="20.77734375" style="15" customWidth="1"/>
    <col min="15" max="15" width="11" style="15" customWidth="1"/>
    <col min="16" max="16" width="18.6640625" style="15" bestFit="1" customWidth="1"/>
    <col min="17" max="17" width="12.109375" style="15" bestFit="1" customWidth="1"/>
    <col min="18" max="18" width="16.6640625" style="15" customWidth="1"/>
    <col min="19" max="16384" width="9.109375" style="15"/>
  </cols>
  <sheetData>
    <row r="2" spans="2:18" x14ac:dyDescent="0.3">
      <c r="B2" s="199" t="s">
        <v>82</v>
      </c>
      <c r="C2" s="199"/>
      <c r="D2" s="199"/>
    </row>
    <row r="3" spans="2:18" x14ac:dyDescent="0.3">
      <c r="B3" s="199"/>
      <c r="C3" s="199"/>
      <c r="D3" s="199"/>
    </row>
    <row r="4" spans="2:18" x14ac:dyDescent="0.3">
      <c r="E4" s="30"/>
      <c r="F4" s="30"/>
    </row>
    <row r="5" spans="2:18" ht="15" customHeight="1" x14ac:dyDescent="0.3">
      <c r="B5" s="200" t="s">
        <v>1</v>
      </c>
      <c r="C5" s="200" t="s">
        <v>351</v>
      </c>
      <c r="D5" s="200" t="s">
        <v>86</v>
      </c>
      <c r="E5" s="202" t="s">
        <v>39</v>
      </c>
      <c r="F5" s="202"/>
      <c r="G5" s="203" t="s">
        <v>52</v>
      </c>
      <c r="H5" s="203"/>
      <c r="I5" s="203" t="s">
        <v>37</v>
      </c>
      <c r="J5" s="203"/>
      <c r="K5" s="200" t="s">
        <v>88</v>
      </c>
      <c r="L5" s="200"/>
      <c r="M5" s="200"/>
      <c r="N5" s="201" t="s">
        <v>80</v>
      </c>
      <c r="O5" s="31"/>
      <c r="P5" s="200" t="s">
        <v>47</v>
      </c>
      <c r="Q5" s="200" t="s">
        <v>87</v>
      </c>
      <c r="R5" s="200"/>
    </row>
    <row r="6" spans="2:18" ht="15" customHeight="1" x14ac:dyDescent="0.3">
      <c r="B6" s="200"/>
      <c r="C6" s="200"/>
      <c r="D6" s="200"/>
      <c r="E6" s="200" t="s">
        <v>41</v>
      </c>
      <c r="F6" s="200"/>
      <c r="G6" s="38" t="s">
        <v>48</v>
      </c>
      <c r="H6" s="200" t="s">
        <v>28</v>
      </c>
      <c r="I6" s="38" t="s">
        <v>27</v>
      </c>
      <c r="J6" s="200" t="s">
        <v>28</v>
      </c>
      <c r="K6" s="200"/>
      <c r="L6" s="200"/>
      <c r="M6" s="200"/>
      <c r="N6" s="201"/>
      <c r="O6" s="31"/>
      <c r="P6" s="200"/>
      <c r="Q6" s="200"/>
      <c r="R6" s="200"/>
    </row>
    <row r="7" spans="2:18" ht="15" customHeight="1" x14ac:dyDescent="0.3">
      <c r="B7" s="200"/>
      <c r="C7" s="200"/>
      <c r="D7" s="200"/>
      <c r="E7" s="38" t="s">
        <v>42</v>
      </c>
      <c r="F7" s="38" t="s">
        <v>43</v>
      </c>
      <c r="G7" s="38" t="s">
        <v>30</v>
      </c>
      <c r="H7" s="200"/>
      <c r="I7" s="38" t="s">
        <v>32</v>
      </c>
      <c r="J7" s="200"/>
      <c r="K7" s="38" t="s">
        <v>40</v>
      </c>
      <c r="L7" s="38" t="s">
        <v>44</v>
      </c>
      <c r="M7" s="38" t="s">
        <v>55</v>
      </c>
      <c r="N7" s="201"/>
      <c r="O7" s="31"/>
      <c r="P7" s="200"/>
      <c r="Q7" s="200"/>
      <c r="R7" s="200"/>
    </row>
    <row r="8" spans="2:18" x14ac:dyDescent="0.3">
      <c r="B8" s="40">
        <f>ROW(B8)-7</f>
        <v>1</v>
      </c>
      <c r="C8" s="40"/>
      <c r="D8" s="40" t="s">
        <v>330</v>
      </c>
      <c r="E8" s="41">
        <v>2171.38</v>
      </c>
      <c r="F8" s="41">
        <v>58</v>
      </c>
      <c r="G8" s="48">
        <f>VLOOKUP(Q8,'list rate unit'!$B$3:$K$41,10,FALSE)</f>
        <v>460000</v>
      </c>
      <c r="H8" s="43">
        <f t="shared" ref="H8:H40" si="0">IF(E8=0,0,G8*$D$47)</f>
        <v>96600000</v>
      </c>
      <c r="I8" s="41">
        <v>3646</v>
      </c>
      <c r="J8" s="43">
        <f t="shared" ref="J8:J40" si="1">I8*$D$46</f>
        <v>0</v>
      </c>
      <c r="K8" s="41">
        <f>IFERROR(I8/E8,0)</f>
        <v>1.6791165065534359</v>
      </c>
      <c r="L8" s="41">
        <f t="shared" ref="L8:L12" si="2">IFERROR(E8/F8,0)</f>
        <v>37.437586206896555</v>
      </c>
      <c r="M8" s="41">
        <f>I8/F8</f>
        <v>62.862068965517238</v>
      </c>
      <c r="N8" s="44">
        <f>H8+J8</f>
        <v>96600000</v>
      </c>
      <c r="O8" s="18"/>
      <c r="P8" s="40" t="s">
        <v>326</v>
      </c>
      <c r="Q8" s="40" t="s">
        <v>130</v>
      </c>
      <c r="R8" s="40" t="str">
        <f t="shared" ref="R8:R22" si="3">D8</f>
        <v>DT Hino 700 ZS 287</v>
      </c>
    </row>
    <row r="9" spans="2:18" x14ac:dyDescent="0.3">
      <c r="B9" s="40">
        <f t="shared" ref="B9:B40" si="4">ROW(B9)-7</f>
        <v>2</v>
      </c>
      <c r="C9" s="40"/>
      <c r="D9" s="40" t="s">
        <v>331</v>
      </c>
      <c r="E9" s="41">
        <v>252.84999999999997</v>
      </c>
      <c r="F9" s="41">
        <v>7</v>
      </c>
      <c r="G9" s="48">
        <f>VLOOKUP(Q9,'list rate unit'!$B$3:$K$41,10,FALSE)</f>
        <v>460000</v>
      </c>
      <c r="H9" s="43">
        <f t="shared" si="0"/>
        <v>96600000</v>
      </c>
      <c r="I9" s="41">
        <v>379</v>
      </c>
      <c r="J9" s="43">
        <f t="shared" si="1"/>
        <v>0</v>
      </c>
      <c r="K9" s="41">
        <f t="shared" ref="K9:K12" si="5">IFERROR(I9/E9,0)</f>
        <v>1.4989123986553294</v>
      </c>
      <c r="L9" s="41">
        <f t="shared" si="2"/>
        <v>36.121428571428567</v>
      </c>
      <c r="M9" s="41">
        <f t="shared" ref="M9:M12" si="6">I9/F9</f>
        <v>54.142857142857146</v>
      </c>
      <c r="N9" s="44">
        <f t="shared" ref="N9:N12" si="7">H9+J9</f>
        <v>96600000</v>
      </c>
      <c r="O9" s="18"/>
      <c r="P9" s="40" t="s">
        <v>326</v>
      </c>
      <c r="Q9" s="40" t="s">
        <v>130</v>
      </c>
      <c r="R9" s="40" t="str">
        <f t="shared" si="3"/>
        <v>DT Hino 700 ZS 292</v>
      </c>
    </row>
    <row r="10" spans="2:18" x14ac:dyDescent="0.3">
      <c r="B10" s="40">
        <f t="shared" si="4"/>
        <v>3</v>
      </c>
      <c r="C10" s="40"/>
      <c r="D10" s="40" t="s">
        <v>332</v>
      </c>
      <c r="E10" s="41">
        <v>1082.5</v>
      </c>
      <c r="F10" s="41">
        <v>28</v>
      </c>
      <c r="G10" s="48">
        <f>VLOOKUP(Q10,'list rate unit'!$B$3:$K$41,10,FALSE)</f>
        <v>460000</v>
      </c>
      <c r="H10" s="43">
        <f t="shared" si="0"/>
        <v>96600000</v>
      </c>
      <c r="I10" s="41">
        <v>1798</v>
      </c>
      <c r="J10" s="43">
        <f t="shared" si="1"/>
        <v>0</v>
      </c>
      <c r="K10" s="41">
        <f t="shared" si="5"/>
        <v>1.6609699769053117</v>
      </c>
      <c r="L10" s="41">
        <f t="shared" si="2"/>
        <v>38.660714285714285</v>
      </c>
      <c r="M10" s="41">
        <f t="shared" si="6"/>
        <v>64.214285714285708</v>
      </c>
      <c r="N10" s="44">
        <f t="shared" si="7"/>
        <v>96600000</v>
      </c>
      <c r="O10" s="18"/>
      <c r="P10" s="40" t="s">
        <v>326</v>
      </c>
      <c r="Q10" s="40" t="s">
        <v>130</v>
      </c>
      <c r="R10" s="40" t="str">
        <f t="shared" si="3"/>
        <v>DT Hino 700 ZS 293</v>
      </c>
    </row>
    <row r="11" spans="2:18" x14ac:dyDescent="0.3">
      <c r="B11" s="40">
        <f t="shared" si="4"/>
        <v>4</v>
      </c>
      <c r="C11" s="40"/>
      <c r="D11" s="40" t="s">
        <v>333</v>
      </c>
      <c r="E11" s="41">
        <v>1873.6200000000001</v>
      </c>
      <c r="F11" s="41">
        <v>50</v>
      </c>
      <c r="G11" s="48">
        <f>VLOOKUP(Q11,'list rate unit'!$B$3:$K$41,10,FALSE)</f>
        <v>460000</v>
      </c>
      <c r="H11" s="43">
        <f t="shared" si="0"/>
        <v>96600000</v>
      </c>
      <c r="I11" s="41">
        <v>3209</v>
      </c>
      <c r="J11" s="43">
        <f t="shared" si="1"/>
        <v>0</v>
      </c>
      <c r="K11" s="41">
        <f t="shared" si="5"/>
        <v>1.7127272339108248</v>
      </c>
      <c r="L11" s="41">
        <f t="shared" si="2"/>
        <v>37.4724</v>
      </c>
      <c r="M11" s="41">
        <f t="shared" si="6"/>
        <v>64.180000000000007</v>
      </c>
      <c r="N11" s="44">
        <f t="shared" si="7"/>
        <v>96600000</v>
      </c>
      <c r="O11" s="18"/>
      <c r="P11" s="40" t="s">
        <v>326</v>
      </c>
      <c r="Q11" s="40" t="s">
        <v>130</v>
      </c>
      <c r="R11" s="40" t="str">
        <f t="shared" si="3"/>
        <v>DT Hino 700 ZS 294</v>
      </c>
    </row>
    <row r="12" spans="2:18" x14ac:dyDescent="0.3">
      <c r="B12" s="40">
        <f t="shared" si="4"/>
        <v>5</v>
      </c>
      <c r="C12" s="40"/>
      <c r="D12" s="40" t="s">
        <v>334</v>
      </c>
      <c r="E12" s="41">
        <v>806.15</v>
      </c>
      <c r="F12" s="41">
        <v>21</v>
      </c>
      <c r="G12" s="48">
        <f>VLOOKUP(Q12,'list rate unit'!$B$3:$K$41,10,FALSE)</f>
        <v>460000</v>
      </c>
      <c r="H12" s="43">
        <f t="shared" si="0"/>
        <v>96600000</v>
      </c>
      <c r="I12" s="41">
        <v>1307</v>
      </c>
      <c r="J12" s="43">
        <f t="shared" si="1"/>
        <v>0</v>
      </c>
      <c r="K12" s="41">
        <f t="shared" si="5"/>
        <v>1.6212863610990511</v>
      </c>
      <c r="L12" s="41">
        <f t="shared" si="2"/>
        <v>38.388095238095239</v>
      </c>
      <c r="M12" s="41">
        <f t="shared" si="6"/>
        <v>62.238095238095241</v>
      </c>
      <c r="N12" s="44">
        <f t="shared" si="7"/>
        <v>96600000</v>
      </c>
      <c r="O12" s="18"/>
      <c r="P12" s="40" t="s">
        <v>326</v>
      </c>
      <c r="Q12" s="40" t="s">
        <v>130</v>
      </c>
      <c r="R12" s="40" t="str">
        <f t="shared" si="3"/>
        <v>DT Hino 700 ZS 295</v>
      </c>
    </row>
    <row r="13" spans="2:18" x14ac:dyDescent="0.3">
      <c r="B13" s="40">
        <f t="shared" si="4"/>
        <v>6</v>
      </c>
      <c r="C13" s="40"/>
      <c r="D13" s="40" t="s">
        <v>335</v>
      </c>
      <c r="E13" s="41">
        <v>816.39</v>
      </c>
      <c r="F13" s="41">
        <v>22</v>
      </c>
      <c r="G13" s="48">
        <f>VLOOKUP(Q13,'list rate unit'!$B$3:$K$41,10,FALSE)</f>
        <v>460000</v>
      </c>
      <c r="H13" s="43">
        <f t="shared" si="0"/>
        <v>96600000</v>
      </c>
      <c r="I13" s="41">
        <v>1484</v>
      </c>
      <c r="J13" s="43">
        <f t="shared" si="1"/>
        <v>0</v>
      </c>
      <c r="K13" s="41">
        <f t="shared" ref="K13:K22" si="8">IFERROR(I13/E13,0)</f>
        <v>1.8177586692634649</v>
      </c>
      <c r="L13" s="41">
        <f t="shared" ref="L13:L22" si="9">IFERROR(E13/F13,0)</f>
        <v>37.108636363636364</v>
      </c>
      <c r="M13" s="41">
        <f t="shared" ref="M13:M22" si="10">I13/F13</f>
        <v>67.454545454545453</v>
      </c>
      <c r="N13" s="44">
        <f t="shared" ref="N13:N22" si="11">H13+J13</f>
        <v>96600000</v>
      </c>
      <c r="O13" s="18"/>
      <c r="P13" s="40" t="s">
        <v>326</v>
      </c>
      <c r="Q13" s="40" t="s">
        <v>130</v>
      </c>
      <c r="R13" s="40" t="str">
        <f t="shared" si="3"/>
        <v>DT Hino 700 ZS 296</v>
      </c>
    </row>
    <row r="14" spans="2:18" x14ac:dyDescent="0.3">
      <c r="B14" s="40">
        <f t="shared" si="4"/>
        <v>7</v>
      </c>
      <c r="C14" s="40"/>
      <c r="D14" s="40" t="s">
        <v>336</v>
      </c>
      <c r="E14" s="41">
        <v>1504.8200000000002</v>
      </c>
      <c r="F14" s="41">
        <v>40</v>
      </c>
      <c r="G14" s="48">
        <f>VLOOKUP(Q14,'list rate unit'!$B$3:$K$41,10,FALSE)</f>
        <v>460000</v>
      </c>
      <c r="H14" s="43">
        <f t="shared" si="0"/>
        <v>96600000</v>
      </c>
      <c r="I14" s="41">
        <v>2572</v>
      </c>
      <c r="J14" s="43">
        <f t="shared" si="1"/>
        <v>0</v>
      </c>
      <c r="K14" s="41">
        <f t="shared" si="8"/>
        <v>1.7091745192115999</v>
      </c>
      <c r="L14" s="41">
        <f t="shared" si="9"/>
        <v>37.620500000000007</v>
      </c>
      <c r="M14" s="41">
        <f t="shared" si="10"/>
        <v>64.3</v>
      </c>
      <c r="N14" s="44">
        <f t="shared" si="11"/>
        <v>96600000</v>
      </c>
      <c r="O14" s="18"/>
      <c r="P14" s="40" t="s">
        <v>326</v>
      </c>
      <c r="Q14" s="40" t="s">
        <v>130</v>
      </c>
      <c r="R14" s="40" t="str">
        <f t="shared" si="3"/>
        <v>DT Hino 700 ZS 297</v>
      </c>
    </row>
    <row r="15" spans="2:18" x14ac:dyDescent="0.3">
      <c r="B15" s="40">
        <f t="shared" si="4"/>
        <v>8</v>
      </c>
      <c r="C15" s="40"/>
      <c r="D15" s="40" t="s">
        <v>337</v>
      </c>
      <c r="E15" s="41">
        <v>1427.4899999999998</v>
      </c>
      <c r="F15" s="41">
        <v>38</v>
      </c>
      <c r="G15" s="48">
        <f>VLOOKUP(Q15,'list rate unit'!$B$3:$K$41,10,FALSE)</f>
        <v>460000</v>
      </c>
      <c r="H15" s="43">
        <f t="shared" si="0"/>
        <v>96600000</v>
      </c>
      <c r="I15" s="41">
        <v>2416</v>
      </c>
      <c r="J15" s="43">
        <f t="shared" si="1"/>
        <v>0</v>
      </c>
      <c r="K15" s="41">
        <f t="shared" si="8"/>
        <v>1.6924812082746641</v>
      </c>
      <c r="L15" s="41">
        <f t="shared" si="9"/>
        <v>37.565526315789469</v>
      </c>
      <c r="M15" s="41">
        <f t="shared" si="10"/>
        <v>63.578947368421055</v>
      </c>
      <c r="N15" s="44">
        <f t="shared" si="11"/>
        <v>96600000</v>
      </c>
      <c r="O15" s="18"/>
      <c r="P15" s="40" t="s">
        <v>326</v>
      </c>
      <c r="Q15" s="40" t="s">
        <v>130</v>
      </c>
      <c r="R15" s="40" t="str">
        <f t="shared" si="3"/>
        <v>DT Hino 700 ZS 301</v>
      </c>
    </row>
    <row r="16" spans="2:18" x14ac:dyDescent="0.3">
      <c r="B16" s="40">
        <f t="shared" si="4"/>
        <v>9</v>
      </c>
      <c r="C16" s="40"/>
      <c r="D16" s="40" t="s">
        <v>338</v>
      </c>
      <c r="E16" s="41">
        <v>1455.31</v>
      </c>
      <c r="F16" s="41">
        <v>39</v>
      </c>
      <c r="G16" s="48">
        <f>VLOOKUP(Q16,'list rate unit'!$B$3:$K$41,10,FALSE)</f>
        <v>460000</v>
      </c>
      <c r="H16" s="43">
        <f t="shared" si="0"/>
        <v>96600000</v>
      </c>
      <c r="I16" s="41">
        <v>2662</v>
      </c>
      <c r="J16" s="43">
        <f t="shared" si="1"/>
        <v>0</v>
      </c>
      <c r="K16" s="41">
        <f t="shared" si="8"/>
        <v>1.8291635459111806</v>
      </c>
      <c r="L16" s="41">
        <f t="shared" si="9"/>
        <v>37.315641025641021</v>
      </c>
      <c r="M16" s="41">
        <f t="shared" si="10"/>
        <v>68.256410256410263</v>
      </c>
      <c r="N16" s="44">
        <f t="shared" si="11"/>
        <v>96600000</v>
      </c>
      <c r="O16" s="18"/>
      <c r="P16" s="40" t="s">
        <v>326</v>
      </c>
      <c r="Q16" s="40" t="s">
        <v>130</v>
      </c>
      <c r="R16" s="40" t="str">
        <f t="shared" si="3"/>
        <v>DT Hino 700 ZS 302</v>
      </c>
    </row>
    <row r="17" spans="2:18" x14ac:dyDescent="0.3">
      <c r="B17" s="40">
        <f t="shared" si="4"/>
        <v>10</v>
      </c>
      <c r="C17" s="40"/>
      <c r="D17" s="40" t="s">
        <v>339</v>
      </c>
      <c r="E17" s="41">
        <v>1739.31</v>
      </c>
      <c r="F17" s="41">
        <v>46</v>
      </c>
      <c r="G17" s="48">
        <f>VLOOKUP(Q17,'list rate unit'!$B$3:$K$41,10,FALSE)</f>
        <v>460000</v>
      </c>
      <c r="H17" s="43">
        <f t="shared" si="0"/>
        <v>96600000</v>
      </c>
      <c r="I17" s="41">
        <v>3067</v>
      </c>
      <c r="J17" s="43">
        <f t="shared" si="1"/>
        <v>0</v>
      </c>
      <c r="K17" s="41">
        <f t="shared" si="8"/>
        <v>1.7633429348419776</v>
      </c>
      <c r="L17" s="41">
        <f t="shared" si="9"/>
        <v>37.811086956521741</v>
      </c>
      <c r="M17" s="41">
        <f t="shared" si="10"/>
        <v>66.673913043478265</v>
      </c>
      <c r="N17" s="44">
        <f t="shared" si="11"/>
        <v>96600000</v>
      </c>
      <c r="O17" s="18"/>
      <c r="P17" s="40" t="s">
        <v>326</v>
      </c>
      <c r="Q17" s="40" t="s">
        <v>130</v>
      </c>
      <c r="R17" s="40" t="str">
        <f t="shared" si="3"/>
        <v>DT Hino 700 ZS 308</v>
      </c>
    </row>
    <row r="18" spans="2:18" x14ac:dyDescent="0.3">
      <c r="B18" s="40">
        <f t="shared" si="4"/>
        <v>11</v>
      </c>
      <c r="C18" s="40"/>
      <c r="D18" s="40" t="s">
        <v>340</v>
      </c>
      <c r="E18" s="41">
        <v>1437.73</v>
      </c>
      <c r="F18" s="41">
        <v>29</v>
      </c>
      <c r="G18" s="48">
        <f>VLOOKUP(Q18,'list rate unit'!$B$3:$K$41,10,FALSE)</f>
        <v>500000</v>
      </c>
      <c r="H18" s="43">
        <f t="shared" si="0"/>
        <v>105000000</v>
      </c>
      <c r="I18" s="41">
        <v>2232</v>
      </c>
      <c r="J18" s="43">
        <f t="shared" si="1"/>
        <v>0</v>
      </c>
      <c r="K18" s="41">
        <f t="shared" si="8"/>
        <v>1.5524472606122151</v>
      </c>
      <c r="L18" s="41">
        <f t="shared" si="9"/>
        <v>49.57689655172414</v>
      </c>
      <c r="M18" s="41">
        <f t="shared" si="10"/>
        <v>76.965517241379317</v>
      </c>
      <c r="N18" s="44">
        <f t="shared" si="11"/>
        <v>105000000</v>
      </c>
      <c r="O18" s="18"/>
      <c r="P18" s="40" t="s">
        <v>326</v>
      </c>
      <c r="Q18" s="40" t="s">
        <v>149</v>
      </c>
      <c r="R18" s="40" t="str">
        <f t="shared" si="3"/>
        <v>DT Hino 700 ZY 310</v>
      </c>
    </row>
    <row r="19" spans="2:18" x14ac:dyDescent="0.3">
      <c r="B19" s="40">
        <f t="shared" si="4"/>
        <v>12</v>
      </c>
      <c r="C19" s="40"/>
      <c r="D19" s="40" t="s">
        <v>341</v>
      </c>
      <c r="E19" s="41">
        <v>2265.83</v>
      </c>
      <c r="F19" s="41">
        <v>45</v>
      </c>
      <c r="G19" s="48">
        <f>VLOOKUP(Q19,'list rate unit'!$B$3:$K$41,10,FALSE)</f>
        <v>500000</v>
      </c>
      <c r="H19" s="43">
        <f t="shared" si="0"/>
        <v>105000000</v>
      </c>
      <c r="I19" s="41">
        <v>3536</v>
      </c>
      <c r="J19" s="43">
        <f t="shared" si="1"/>
        <v>0</v>
      </c>
      <c r="K19" s="41">
        <f t="shared" si="8"/>
        <v>1.5605760361545218</v>
      </c>
      <c r="L19" s="41">
        <f t="shared" si="9"/>
        <v>50.351777777777777</v>
      </c>
      <c r="M19" s="41">
        <f t="shared" si="10"/>
        <v>78.577777777777783</v>
      </c>
      <c r="N19" s="44">
        <f t="shared" si="11"/>
        <v>105000000</v>
      </c>
      <c r="O19" s="18"/>
      <c r="P19" s="40" t="s">
        <v>326</v>
      </c>
      <c r="Q19" s="40" t="s">
        <v>149</v>
      </c>
      <c r="R19" s="40" t="str">
        <f t="shared" si="3"/>
        <v>DT Hino 700 ZY 330</v>
      </c>
    </row>
    <row r="20" spans="2:18" x14ac:dyDescent="0.3">
      <c r="B20" s="40">
        <f t="shared" si="4"/>
        <v>13</v>
      </c>
      <c r="C20" s="40"/>
      <c r="D20" s="40" t="s">
        <v>342</v>
      </c>
      <c r="E20" s="41">
        <v>2842.75</v>
      </c>
      <c r="F20" s="41">
        <v>58</v>
      </c>
      <c r="G20" s="48">
        <f>VLOOKUP(Q20,'list rate unit'!$B$3:$K$41,10,FALSE)</f>
        <v>500000</v>
      </c>
      <c r="H20" s="43">
        <f t="shared" si="0"/>
        <v>105000000</v>
      </c>
      <c r="I20" s="41">
        <v>4550</v>
      </c>
      <c r="J20" s="43">
        <f t="shared" si="1"/>
        <v>0</v>
      </c>
      <c r="K20" s="41">
        <f t="shared" si="8"/>
        <v>1.6005628352827368</v>
      </c>
      <c r="L20" s="41">
        <f t="shared" si="9"/>
        <v>49.012931034482762</v>
      </c>
      <c r="M20" s="41">
        <f t="shared" si="10"/>
        <v>78.448275862068968</v>
      </c>
      <c r="N20" s="44">
        <f t="shared" si="11"/>
        <v>105000000</v>
      </c>
      <c r="O20" s="18"/>
      <c r="P20" s="40" t="s">
        <v>326</v>
      </c>
      <c r="Q20" s="40" t="s">
        <v>149</v>
      </c>
      <c r="R20" s="40" t="str">
        <f t="shared" si="3"/>
        <v>DT Hino 700 ZY 347</v>
      </c>
    </row>
    <row r="21" spans="2:18" x14ac:dyDescent="0.3">
      <c r="B21" s="40">
        <f t="shared" si="4"/>
        <v>14</v>
      </c>
      <c r="C21" s="40"/>
      <c r="D21" s="40" t="s">
        <v>354</v>
      </c>
      <c r="E21" s="41">
        <v>2168.58</v>
      </c>
      <c r="F21" s="41">
        <v>44</v>
      </c>
      <c r="G21" s="48">
        <f>VLOOKUP(Q21,'list rate unit'!$B$3:$K$41,10,FALSE)</f>
        <v>500000</v>
      </c>
      <c r="H21" s="43">
        <f t="shared" si="0"/>
        <v>105000000</v>
      </c>
      <c r="I21" s="41">
        <v>3617</v>
      </c>
      <c r="J21" s="43">
        <f t="shared" si="1"/>
        <v>0</v>
      </c>
      <c r="K21" s="41">
        <f t="shared" si="8"/>
        <v>1.6679117210340408</v>
      </c>
      <c r="L21" s="41">
        <f t="shared" si="9"/>
        <v>49.285909090909087</v>
      </c>
      <c r="M21" s="41">
        <f t="shared" si="10"/>
        <v>82.204545454545453</v>
      </c>
      <c r="N21" s="44">
        <f t="shared" si="11"/>
        <v>105000000</v>
      </c>
      <c r="O21" s="18"/>
      <c r="P21" s="40" t="s">
        <v>326</v>
      </c>
      <c r="Q21" s="40" t="s">
        <v>149</v>
      </c>
      <c r="R21" s="40" t="str">
        <f t="shared" si="3"/>
        <v>DT Hino 700 ZY 365</v>
      </c>
    </row>
    <row r="22" spans="2:18" x14ac:dyDescent="0.3">
      <c r="B22" s="40">
        <f t="shared" si="4"/>
        <v>15</v>
      </c>
      <c r="C22" s="40"/>
      <c r="D22" s="40" t="s">
        <v>343</v>
      </c>
      <c r="E22" s="41">
        <v>2755.61</v>
      </c>
      <c r="F22" s="41">
        <v>55</v>
      </c>
      <c r="G22" s="48">
        <f>VLOOKUP(Q22,'list rate unit'!$B$3:$K$41,10,FALSE)</f>
        <v>500000</v>
      </c>
      <c r="H22" s="43">
        <f t="shared" si="0"/>
        <v>105000000</v>
      </c>
      <c r="I22" s="41">
        <v>4179</v>
      </c>
      <c r="J22" s="43">
        <f t="shared" si="1"/>
        <v>0</v>
      </c>
      <c r="K22" s="41">
        <f t="shared" si="8"/>
        <v>1.5165426166982989</v>
      </c>
      <c r="L22" s="41">
        <f t="shared" si="9"/>
        <v>50.102000000000004</v>
      </c>
      <c r="M22" s="41">
        <f t="shared" si="10"/>
        <v>75.981818181818184</v>
      </c>
      <c r="N22" s="44">
        <f t="shared" si="11"/>
        <v>105000000</v>
      </c>
      <c r="O22" s="18"/>
      <c r="P22" s="40" t="s">
        <v>326</v>
      </c>
      <c r="Q22" s="40" t="s">
        <v>149</v>
      </c>
      <c r="R22" s="40" t="str">
        <f t="shared" si="3"/>
        <v>DT Hino 700 ZY 378</v>
      </c>
    </row>
    <row r="23" spans="2:18" x14ac:dyDescent="0.3">
      <c r="B23" s="40">
        <f t="shared" si="4"/>
        <v>16</v>
      </c>
      <c r="C23" s="40"/>
      <c r="D23" s="40" t="s">
        <v>344</v>
      </c>
      <c r="E23" s="41">
        <v>2952.9700000000003</v>
      </c>
      <c r="F23" s="41">
        <v>60</v>
      </c>
      <c r="G23" s="48">
        <f>VLOOKUP(Q23,'list rate unit'!$B$3:$K$41,10,FALSE)</f>
        <v>500000</v>
      </c>
      <c r="H23" s="43">
        <f t="shared" si="0"/>
        <v>105000000</v>
      </c>
      <c r="I23" s="41">
        <v>4361</v>
      </c>
      <c r="J23" s="43">
        <f t="shared" si="1"/>
        <v>0</v>
      </c>
      <c r="K23" s="41">
        <f t="shared" ref="K23:K24" si="12">IFERROR(I23/E23,0)</f>
        <v>1.4768182541644512</v>
      </c>
      <c r="L23" s="41">
        <f t="shared" ref="L23:L24" si="13">IFERROR(E23/F23,0)</f>
        <v>49.216166666666673</v>
      </c>
      <c r="M23" s="41">
        <f t="shared" ref="M23:M24" si="14">I23/F23</f>
        <v>72.683333333333337</v>
      </c>
      <c r="N23" s="44">
        <f t="shared" ref="N23:N24" si="15">H23+J23</f>
        <v>105000000</v>
      </c>
      <c r="O23" s="18"/>
      <c r="P23" s="40" t="s">
        <v>326</v>
      </c>
      <c r="Q23" s="40" t="s">
        <v>149</v>
      </c>
      <c r="R23" s="40" t="str">
        <f t="shared" ref="R23:R24" si="16">D23</f>
        <v>DT Hino 700 ZY 382</v>
      </c>
    </row>
    <row r="24" spans="2:18" x14ac:dyDescent="0.3">
      <c r="B24" s="40">
        <f t="shared" si="4"/>
        <v>17</v>
      </c>
      <c r="C24" s="40"/>
      <c r="D24" s="40" t="s">
        <v>355</v>
      </c>
      <c r="E24" s="41">
        <v>2522.1099999999997</v>
      </c>
      <c r="F24" s="41">
        <v>52</v>
      </c>
      <c r="G24" s="48">
        <f>VLOOKUP(Q24,'list rate unit'!$B$3:$K$41,10,FALSE)</f>
        <v>500000</v>
      </c>
      <c r="H24" s="43">
        <f t="shared" si="0"/>
        <v>105000000</v>
      </c>
      <c r="I24" s="41">
        <v>3957</v>
      </c>
      <c r="J24" s="43">
        <f t="shared" si="1"/>
        <v>0</v>
      </c>
      <c r="K24" s="41">
        <f t="shared" si="12"/>
        <v>1.5689244323205571</v>
      </c>
      <c r="L24" s="41">
        <f t="shared" si="13"/>
        <v>48.502115384615379</v>
      </c>
      <c r="M24" s="41">
        <f t="shared" si="14"/>
        <v>76.09615384615384</v>
      </c>
      <c r="N24" s="44">
        <f t="shared" si="15"/>
        <v>105000000</v>
      </c>
      <c r="O24" s="18"/>
      <c r="P24" s="40" t="s">
        <v>326</v>
      </c>
      <c r="Q24" s="40" t="s">
        <v>149</v>
      </c>
      <c r="R24" s="40" t="str">
        <f t="shared" si="16"/>
        <v>DT Hino 700 ZY 384</v>
      </c>
    </row>
    <row r="25" spans="2:18" x14ac:dyDescent="0.3">
      <c r="B25" s="40">
        <f t="shared" si="4"/>
        <v>18</v>
      </c>
      <c r="C25" s="40"/>
      <c r="D25" s="40" t="s">
        <v>359</v>
      </c>
      <c r="E25" s="41">
        <v>341.24</v>
      </c>
      <c r="F25" s="41">
        <v>7</v>
      </c>
      <c r="G25" s="48">
        <f>VLOOKUP(Q25,'list rate unit'!$B$3:$K$41,10,FALSE)</f>
        <v>500000</v>
      </c>
      <c r="H25" s="43">
        <f t="shared" si="0"/>
        <v>105000000</v>
      </c>
      <c r="I25" s="41">
        <v>595</v>
      </c>
      <c r="J25" s="43">
        <f t="shared" si="1"/>
        <v>0</v>
      </c>
      <c r="K25" s="41">
        <f t="shared" ref="K25:K31" si="17">IFERROR(I25/E25,0)</f>
        <v>1.7436408392919938</v>
      </c>
      <c r="L25" s="41">
        <f t="shared" ref="L25:L31" si="18">IFERROR(E25/F25,0)</f>
        <v>48.748571428571431</v>
      </c>
      <c r="M25" s="41">
        <f t="shared" ref="M25:M31" si="19">I25/F25</f>
        <v>85</v>
      </c>
      <c r="N25" s="44">
        <f t="shared" ref="N25:N31" si="20">H25+J25</f>
        <v>105000000</v>
      </c>
      <c r="O25" s="18"/>
      <c r="P25" s="40" t="s">
        <v>326</v>
      </c>
      <c r="Q25" s="40" t="s">
        <v>149</v>
      </c>
      <c r="R25" s="40" t="str">
        <f t="shared" ref="R25:R31" si="21">D25</f>
        <v>DT Hino 700 ZY 385</v>
      </c>
    </row>
    <row r="26" spans="2:18" x14ac:dyDescent="0.3">
      <c r="B26" s="40">
        <f t="shared" si="4"/>
        <v>19</v>
      </c>
      <c r="C26" s="40"/>
      <c r="D26" s="40" t="s">
        <v>360</v>
      </c>
      <c r="E26" s="41">
        <v>390.37</v>
      </c>
      <c r="F26" s="41">
        <v>8</v>
      </c>
      <c r="G26" s="48">
        <f>VLOOKUP(Q26,'list rate unit'!$B$3:$K$41,10,FALSE)</f>
        <v>500000</v>
      </c>
      <c r="H26" s="43">
        <f t="shared" si="0"/>
        <v>105000000</v>
      </c>
      <c r="I26" s="41">
        <v>425</v>
      </c>
      <c r="J26" s="43">
        <f t="shared" si="1"/>
        <v>0</v>
      </c>
      <c r="K26" s="41">
        <f t="shared" si="17"/>
        <v>1.0887107103517175</v>
      </c>
      <c r="L26" s="41">
        <f t="shared" si="18"/>
        <v>48.796250000000001</v>
      </c>
      <c r="M26" s="41">
        <f t="shared" si="19"/>
        <v>53.125</v>
      </c>
      <c r="N26" s="44">
        <f t="shared" si="20"/>
        <v>105000000</v>
      </c>
      <c r="O26" s="18"/>
      <c r="P26" s="40" t="s">
        <v>326</v>
      </c>
      <c r="Q26" s="40" t="s">
        <v>149</v>
      </c>
      <c r="R26" s="40" t="str">
        <f t="shared" si="21"/>
        <v>DT Hino 700 ZY 386</v>
      </c>
    </row>
    <row r="27" spans="2:18" x14ac:dyDescent="0.3">
      <c r="B27" s="40">
        <f t="shared" si="4"/>
        <v>20</v>
      </c>
      <c r="C27" s="40"/>
      <c r="D27" s="40" t="s">
        <v>361</v>
      </c>
      <c r="E27" s="41">
        <v>396.65</v>
      </c>
      <c r="F27" s="41">
        <v>8</v>
      </c>
      <c r="G27" s="48">
        <f>VLOOKUP(Q27,'list rate unit'!$B$3:$K$41,10,FALSE)</f>
        <v>500000</v>
      </c>
      <c r="H27" s="43">
        <f t="shared" si="0"/>
        <v>105000000</v>
      </c>
      <c r="I27" s="41">
        <v>645</v>
      </c>
      <c r="J27" s="43">
        <f t="shared" si="1"/>
        <v>0</v>
      </c>
      <c r="K27" s="41">
        <f t="shared" si="17"/>
        <v>1.6261187444850624</v>
      </c>
      <c r="L27" s="41">
        <f t="shared" si="18"/>
        <v>49.581249999999997</v>
      </c>
      <c r="M27" s="41">
        <f t="shared" si="19"/>
        <v>80.625</v>
      </c>
      <c r="N27" s="44">
        <f t="shared" si="20"/>
        <v>105000000</v>
      </c>
      <c r="O27" s="18"/>
      <c r="P27" s="40" t="s">
        <v>326</v>
      </c>
      <c r="Q27" s="40" t="s">
        <v>149</v>
      </c>
      <c r="R27" s="40" t="str">
        <f t="shared" si="21"/>
        <v>DT Hino 700 ZY 387</v>
      </c>
    </row>
    <row r="28" spans="2:18" x14ac:dyDescent="0.3">
      <c r="B28" s="40">
        <f t="shared" si="4"/>
        <v>21</v>
      </c>
      <c r="C28" s="40"/>
      <c r="D28" s="40" t="s">
        <v>362</v>
      </c>
      <c r="E28" s="41">
        <v>392.51000000000005</v>
      </c>
      <c r="F28" s="41">
        <v>8</v>
      </c>
      <c r="G28" s="48">
        <f>VLOOKUP(Q28,'list rate unit'!$B$3:$K$41,10,FALSE)</f>
        <v>500000</v>
      </c>
      <c r="H28" s="43">
        <f t="shared" si="0"/>
        <v>105000000</v>
      </c>
      <c r="I28" s="41">
        <v>170</v>
      </c>
      <c r="J28" s="43">
        <f t="shared" si="1"/>
        <v>0</v>
      </c>
      <c r="K28" s="41">
        <f t="shared" si="17"/>
        <v>0.43310998445899462</v>
      </c>
      <c r="L28" s="41">
        <f t="shared" si="18"/>
        <v>49.063750000000006</v>
      </c>
      <c r="M28" s="41">
        <f t="shared" si="19"/>
        <v>21.25</v>
      </c>
      <c r="N28" s="44">
        <f t="shared" si="20"/>
        <v>105000000</v>
      </c>
      <c r="O28" s="18"/>
      <c r="P28" s="40" t="s">
        <v>326</v>
      </c>
      <c r="Q28" s="40" t="s">
        <v>149</v>
      </c>
      <c r="R28" s="40" t="str">
        <f t="shared" si="21"/>
        <v>DT Hino 700 ZY 388</v>
      </c>
    </row>
    <row r="29" spans="2:18" x14ac:dyDescent="0.3">
      <c r="B29" s="40">
        <f t="shared" si="4"/>
        <v>22</v>
      </c>
      <c r="C29" s="40"/>
      <c r="D29" s="40" t="s">
        <v>363</v>
      </c>
      <c r="E29" s="41">
        <v>344.84</v>
      </c>
      <c r="F29" s="41">
        <v>7</v>
      </c>
      <c r="G29" s="48">
        <f>VLOOKUP(Q29,'list rate unit'!$B$3:$K$41,10,FALSE)</f>
        <v>500000</v>
      </c>
      <c r="H29" s="43">
        <f t="shared" si="0"/>
        <v>105000000</v>
      </c>
      <c r="I29" s="41">
        <v>170</v>
      </c>
      <c r="J29" s="43">
        <f t="shared" si="1"/>
        <v>0</v>
      </c>
      <c r="K29" s="41">
        <f t="shared" si="17"/>
        <v>0.49298225263890505</v>
      </c>
      <c r="L29" s="41">
        <f t="shared" si="18"/>
        <v>49.262857142857136</v>
      </c>
      <c r="M29" s="41">
        <f t="shared" si="19"/>
        <v>24.285714285714285</v>
      </c>
      <c r="N29" s="44">
        <f t="shared" si="20"/>
        <v>105000000</v>
      </c>
      <c r="O29" s="18"/>
      <c r="P29" s="40" t="s">
        <v>326</v>
      </c>
      <c r="Q29" s="40" t="s">
        <v>149</v>
      </c>
      <c r="R29" s="40" t="str">
        <f t="shared" si="21"/>
        <v>DT Hino 700 ZY 389</v>
      </c>
    </row>
    <row r="30" spans="2:18" x14ac:dyDescent="0.3">
      <c r="B30" s="40">
        <f t="shared" si="4"/>
        <v>23</v>
      </c>
      <c r="C30" s="40"/>
      <c r="D30" s="40" t="s">
        <v>364</v>
      </c>
      <c r="E30" s="41">
        <v>392.74</v>
      </c>
      <c r="F30" s="41">
        <v>8</v>
      </c>
      <c r="G30" s="48">
        <f>VLOOKUP(Q30,'list rate unit'!$B$3:$K$41,10,FALSE)</f>
        <v>500000</v>
      </c>
      <c r="H30" s="43">
        <f t="shared" si="0"/>
        <v>105000000</v>
      </c>
      <c r="I30" s="41">
        <v>510</v>
      </c>
      <c r="J30" s="43">
        <f t="shared" si="1"/>
        <v>0</v>
      </c>
      <c r="K30" s="41">
        <f t="shared" si="17"/>
        <v>1.2985690278555788</v>
      </c>
      <c r="L30" s="41">
        <f t="shared" si="18"/>
        <v>49.092500000000001</v>
      </c>
      <c r="M30" s="41">
        <f t="shared" si="19"/>
        <v>63.75</v>
      </c>
      <c r="N30" s="44">
        <f t="shared" si="20"/>
        <v>105000000</v>
      </c>
      <c r="O30" s="18"/>
      <c r="P30" s="40" t="s">
        <v>326</v>
      </c>
      <c r="Q30" s="40" t="s">
        <v>149</v>
      </c>
      <c r="R30" s="40" t="str">
        <f t="shared" si="21"/>
        <v>DT Hino 700 ZY 390</v>
      </c>
    </row>
    <row r="31" spans="2:18" x14ac:dyDescent="0.3">
      <c r="B31" s="40">
        <f t="shared" si="4"/>
        <v>24</v>
      </c>
      <c r="C31" s="40"/>
      <c r="D31" s="40" t="s">
        <v>365</v>
      </c>
      <c r="E31" s="41">
        <v>302.58999999999997</v>
      </c>
      <c r="F31" s="41">
        <v>6</v>
      </c>
      <c r="G31" s="48">
        <f>VLOOKUP(Q31,'list rate unit'!$B$3:$K$41,10,FALSE)</f>
        <v>500000</v>
      </c>
      <c r="H31" s="43">
        <f t="shared" si="0"/>
        <v>105000000</v>
      </c>
      <c r="I31" s="41">
        <v>595</v>
      </c>
      <c r="J31" s="43">
        <f t="shared" si="1"/>
        <v>0</v>
      </c>
      <c r="K31" s="41">
        <f t="shared" si="17"/>
        <v>1.9663571168908425</v>
      </c>
      <c r="L31" s="41">
        <f t="shared" si="18"/>
        <v>50.431666666666665</v>
      </c>
      <c r="M31" s="41">
        <f t="shared" si="19"/>
        <v>99.166666666666671</v>
      </c>
      <c r="N31" s="44">
        <f t="shared" si="20"/>
        <v>105000000</v>
      </c>
      <c r="O31" s="18"/>
      <c r="P31" s="40" t="s">
        <v>326</v>
      </c>
      <c r="Q31" s="40" t="s">
        <v>149</v>
      </c>
      <c r="R31" s="40" t="str">
        <f t="shared" si="21"/>
        <v>DT Hino 700 ZY 391</v>
      </c>
    </row>
    <row r="32" spans="2:18" x14ac:dyDescent="0.3">
      <c r="B32" s="40">
        <f t="shared" si="4"/>
        <v>25</v>
      </c>
      <c r="C32" s="40"/>
      <c r="D32" s="40" t="s">
        <v>366</v>
      </c>
      <c r="E32" s="41">
        <v>397.62</v>
      </c>
      <c r="F32" s="41">
        <v>8</v>
      </c>
      <c r="G32" s="48">
        <f>VLOOKUP(Q32,'list rate unit'!$B$3:$K$41,10,FALSE)</f>
        <v>500000</v>
      </c>
      <c r="H32" s="43">
        <f t="shared" si="0"/>
        <v>105000000</v>
      </c>
      <c r="I32" s="41">
        <v>510</v>
      </c>
      <c r="J32" s="43">
        <f t="shared" si="1"/>
        <v>0</v>
      </c>
      <c r="K32" s="41">
        <f t="shared" ref="K32:K40" si="22">IFERROR(I32/E32,0)</f>
        <v>1.2826316583672854</v>
      </c>
      <c r="L32" s="41">
        <f t="shared" ref="L32:L40" si="23">IFERROR(E32/F32,0)</f>
        <v>49.702500000000001</v>
      </c>
      <c r="M32" s="41">
        <f t="shared" ref="M32:M40" si="24">I32/F32</f>
        <v>63.75</v>
      </c>
      <c r="N32" s="44">
        <f t="shared" ref="N32:N40" si="25">H32+J32</f>
        <v>105000000</v>
      </c>
      <c r="O32" s="18"/>
      <c r="P32" s="40" t="s">
        <v>326</v>
      </c>
      <c r="Q32" s="40" t="s">
        <v>149</v>
      </c>
      <c r="R32" s="40" t="str">
        <f t="shared" ref="R32:R40" si="26">D32</f>
        <v>DT Hino 700 ZY 392</v>
      </c>
    </row>
    <row r="33" spans="2:18" x14ac:dyDescent="0.3">
      <c r="B33" s="40">
        <f t="shared" si="4"/>
        <v>26</v>
      </c>
      <c r="C33" s="40"/>
      <c r="D33" s="40" t="s">
        <v>345</v>
      </c>
      <c r="E33" s="41">
        <v>2721.7799999999997</v>
      </c>
      <c r="F33" s="41">
        <v>53</v>
      </c>
      <c r="G33" s="48">
        <f>VLOOKUP(Q33,'list rate unit'!$B$3:$K$41,10,FALSE)</f>
        <v>500000</v>
      </c>
      <c r="H33" s="43">
        <f t="shared" si="0"/>
        <v>105000000</v>
      </c>
      <c r="I33" s="41">
        <v>3952</v>
      </c>
      <c r="J33" s="43">
        <f t="shared" si="1"/>
        <v>0</v>
      </c>
      <c r="K33" s="41">
        <f t="shared" si="22"/>
        <v>1.4519909764933243</v>
      </c>
      <c r="L33" s="41">
        <f t="shared" si="23"/>
        <v>51.354339622641504</v>
      </c>
      <c r="M33" s="41">
        <f t="shared" si="24"/>
        <v>74.566037735849051</v>
      </c>
      <c r="N33" s="44">
        <f t="shared" si="25"/>
        <v>105000000</v>
      </c>
      <c r="O33" s="18"/>
      <c r="P33" s="40" t="s">
        <v>326</v>
      </c>
      <c r="Q33" s="40" t="s">
        <v>149</v>
      </c>
      <c r="R33" s="40" t="str">
        <f t="shared" si="26"/>
        <v>DT Hino 700 ZY 393</v>
      </c>
    </row>
    <row r="34" spans="2:18" x14ac:dyDescent="0.3">
      <c r="B34" s="40">
        <f t="shared" si="4"/>
        <v>27</v>
      </c>
      <c r="C34" s="40"/>
      <c r="D34" s="40" t="s">
        <v>367</v>
      </c>
      <c r="E34" s="41">
        <v>399.03999999999996</v>
      </c>
      <c r="F34" s="41">
        <v>8</v>
      </c>
      <c r="G34" s="48">
        <f>VLOOKUP(Q34,'list rate unit'!$B$3:$K$41,10,FALSE)</f>
        <v>500000</v>
      </c>
      <c r="H34" s="43">
        <f t="shared" si="0"/>
        <v>105000000</v>
      </c>
      <c r="I34" s="41">
        <v>425</v>
      </c>
      <c r="J34" s="43">
        <f t="shared" si="1"/>
        <v>0</v>
      </c>
      <c r="K34" s="41">
        <f t="shared" si="22"/>
        <v>1.065056134723336</v>
      </c>
      <c r="L34" s="41">
        <f t="shared" si="23"/>
        <v>49.879999999999995</v>
      </c>
      <c r="M34" s="41">
        <f t="shared" si="24"/>
        <v>53.125</v>
      </c>
      <c r="N34" s="44">
        <f t="shared" si="25"/>
        <v>105000000</v>
      </c>
      <c r="O34" s="18"/>
      <c r="P34" s="40" t="s">
        <v>326</v>
      </c>
      <c r="Q34" s="40" t="s">
        <v>149</v>
      </c>
      <c r="R34" s="40" t="str">
        <f t="shared" si="26"/>
        <v>DT Hino 700 ZY 394</v>
      </c>
    </row>
    <row r="35" spans="2:18" x14ac:dyDescent="0.3">
      <c r="B35" s="40">
        <f t="shared" si="4"/>
        <v>28</v>
      </c>
      <c r="C35" s="40"/>
      <c r="D35" s="40" t="s">
        <v>346</v>
      </c>
      <c r="E35" s="41">
        <v>2981.44</v>
      </c>
      <c r="F35" s="41">
        <v>53</v>
      </c>
      <c r="G35" s="48">
        <f>VLOOKUP(Q35,'list rate unit'!$B$3:$K$41,10,FALSE)</f>
        <v>500000</v>
      </c>
      <c r="H35" s="43">
        <f t="shared" si="0"/>
        <v>105000000</v>
      </c>
      <c r="I35" s="41">
        <v>4512</v>
      </c>
      <c r="J35" s="43">
        <f t="shared" si="1"/>
        <v>0</v>
      </c>
      <c r="K35" s="41">
        <f t="shared" si="22"/>
        <v>1.5133626703874636</v>
      </c>
      <c r="L35" s="41">
        <f t="shared" si="23"/>
        <v>56.253584905660375</v>
      </c>
      <c r="M35" s="41">
        <f t="shared" si="24"/>
        <v>85.132075471698116</v>
      </c>
      <c r="N35" s="44">
        <f t="shared" si="25"/>
        <v>105000000</v>
      </c>
      <c r="O35" s="18"/>
      <c r="P35" s="40" t="s">
        <v>326</v>
      </c>
      <c r="Q35" s="40" t="s">
        <v>328</v>
      </c>
      <c r="R35" s="40" t="str">
        <f t="shared" si="26"/>
        <v>DT Hongyan 395</v>
      </c>
    </row>
    <row r="36" spans="2:18" x14ac:dyDescent="0.3">
      <c r="B36" s="40">
        <f t="shared" si="4"/>
        <v>29</v>
      </c>
      <c r="C36" s="40"/>
      <c r="D36" s="40" t="s">
        <v>347</v>
      </c>
      <c r="E36" s="41">
        <v>3554.4000000000005</v>
      </c>
      <c r="F36" s="41">
        <v>63</v>
      </c>
      <c r="G36" s="48">
        <f>VLOOKUP(Q36,'list rate unit'!$B$3:$K$41,10,FALSE)</f>
        <v>500000</v>
      </c>
      <c r="H36" s="43">
        <f t="shared" si="0"/>
        <v>105000000</v>
      </c>
      <c r="I36" s="41">
        <v>4846</v>
      </c>
      <c r="J36" s="43">
        <f t="shared" si="1"/>
        <v>0</v>
      </c>
      <c r="K36" s="41">
        <f t="shared" si="22"/>
        <v>1.3633805986945755</v>
      </c>
      <c r="L36" s="41">
        <f t="shared" si="23"/>
        <v>56.419047619047625</v>
      </c>
      <c r="M36" s="41">
        <f t="shared" si="24"/>
        <v>76.920634920634924</v>
      </c>
      <c r="N36" s="44">
        <f t="shared" si="25"/>
        <v>105000000</v>
      </c>
      <c r="O36" s="18"/>
      <c r="P36" s="40" t="s">
        <v>326</v>
      </c>
      <c r="Q36" s="40" t="s">
        <v>328</v>
      </c>
      <c r="R36" s="40" t="str">
        <f t="shared" si="26"/>
        <v>DT Hongyan 396</v>
      </c>
    </row>
    <row r="37" spans="2:18" x14ac:dyDescent="0.3">
      <c r="B37" s="40">
        <f t="shared" si="4"/>
        <v>30</v>
      </c>
      <c r="C37" s="40"/>
      <c r="D37" s="40" t="s">
        <v>348</v>
      </c>
      <c r="E37" s="41">
        <v>2663.04</v>
      </c>
      <c r="F37" s="41">
        <v>47</v>
      </c>
      <c r="G37" s="48">
        <f>VLOOKUP(Q37,'list rate unit'!$B$3:$K$41,10,FALSE)</f>
        <v>500000</v>
      </c>
      <c r="H37" s="43">
        <f t="shared" si="0"/>
        <v>105000000</v>
      </c>
      <c r="I37" s="41">
        <v>4241</v>
      </c>
      <c r="J37" s="43">
        <f t="shared" si="1"/>
        <v>0</v>
      </c>
      <c r="K37" s="41">
        <f t="shared" si="22"/>
        <v>1.5925408555635665</v>
      </c>
      <c r="L37" s="41">
        <f t="shared" si="23"/>
        <v>56.660425531914896</v>
      </c>
      <c r="M37" s="41">
        <f t="shared" si="24"/>
        <v>90.234042553191486</v>
      </c>
      <c r="N37" s="44">
        <f t="shared" si="25"/>
        <v>105000000</v>
      </c>
      <c r="O37" s="18"/>
      <c r="P37" s="40" t="s">
        <v>326</v>
      </c>
      <c r="Q37" s="40" t="s">
        <v>328</v>
      </c>
      <c r="R37" s="40" t="str">
        <f t="shared" si="26"/>
        <v>DT Hongyan 397</v>
      </c>
    </row>
    <row r="38" spans="2:18" x14ac:dyDescent="0.3">
      <c r="B38" s="40">
        <f t="shared" si="4"/>
        <v>31</v>
      </c>
      <c r="C38" s="40"/>
      <c r="D38" s="40" t="s">
        <v>349</v>
      </c>
      <c r="E38" s="41">
        <v>2440.1000000000004</v>
      </c>
      <c r="F38" s="41">
        <v>43</v>
      </c>
      <c r="G38" s="48">
        <f>VLOOKUP(Q38,'list rate unit'!$B$3:$K$41,10,FALSE)</f>
        <v>500000</v>
      </c>
      <c r="H38" s="43">
        <f t="shared" si="0"/>
        <v>105000000</v>
      </c>
      <c r="I38" s="41">
        <v>3729</v>
      </c>
      <c r="J38" s="43">
        <f t="shared" si="1"/>
        <v>0</v>
      </c>
      <c r="K38" s="41">
        <f t="shared" si="22"/>
        <v>1.5282160567189866</v>
      </c>
      <c r="L38" s="41">
        <f t="shared" si="23"/>
        <v>56.746511627906983</v>
      </c>
      <c r="M38" s="41">
        <f t="shared" si="24"/>
        <v>86.720930232558146</v>
      </c>
      <c r="N38" s="44">
        <f t="shared" si="25"/>
        <v>105000000</v>
      </c>
      <c r="O38" s="18"/>
      <c r="P38" s="40" t="s">
        <v>326</v>
      </c>
      <c r="Q38" s="40" t="s">
        <v>328</v>
      </c>
      <c r="R38" s="40" t="str">
        <f t="shared" si="26"/>
        <v>DT Hongyan 398</v>
      </c>
    </row>
    <row r="39" spans="2:18" x14ac:dyDescent="0.3">
      <c r="B39" s="40">
        <f t="shared" si="4"/>
        <v>32</v>
      </c>
      <c r="C39" s="40"/>
      <c r="D39" s="40" t="s">
        <v>350</v>
      </c>
      <c r="E39" s="41">
        <v>3807.56</v>
      </c>
      <c r="F39" s="41">
        <v>68</v>
      </c>
      <c r="G39" s="48">
        <f>VLOOKUP(Q39,'list rate unit'!$B$3:$K$41,10,FALSE)</f>
        <v>500000</v>
      </c>
      <c r="H39" s="43">
        <f t="shared" si="0"/>
        <v>105000000</v>
      </c>
      <c r="I39" s="41">
        <v>5450</v>
      </c>
      <c r="J39" s="43">
        <f t="shared" si="1"/>
        <v>0</v>
      </c>
      <c r="K39" s="41">
        <f t="shared" si="22"/>
        <v>1.4313628675582264</v>
      </c>
      <c r="L39" s="41">
        <f t="shared" si="23"/>
        <v>55.993529411764705</v>
      </c>
      <c r="M39" s="41">
        <f t="shared" si="24"/>
        <v>80.147058823529406</v>
      </c>
      <c r="N39" s="44">
        <f t="shared" si="25"/>
        <v>105000000</v>
      </c>
      <c r="O39" s="18"/>
      <c r="P39" s="40" t="s">
        <v>326</v>
      </c>
      <c r="Q39" s="40" t="s">
        <v>328</v>
      </c>
      <c r="R39" s="40" t="str">
        <f t="shared" si="26"/>
        <v>DT Hongyan 399</v>
      </c>
    </row>
    <row r="40" spans="2:18" x14ac:dyDescent="0.3">
      <c r="B40" s="40">
        <f t="shared" si="4"/>
        <v>33</v>
      </c>
      <c r="C40" s="40"/>
      <c r="D40" s="40" t="s">
        <v>356</v>
      </c>
      <c r="E40" s="41">
        <v>3437.5299999999997</v>
      </c>
      <c r="F40" s="41">
        <v>61</v>
      </c>
      <c r="G40" s="48">
        <f>VLOOKUP(Q40,'list rate unit'!$B$3:$K$41,10,FALSE)</f>
        <v>500000</v>
      </c>
      <c r="H40" s="43">
        <f t="shared" si="0"/>
        <v>105000000</v>
      </c>
      <c r="I40" s="41">
        <v>5020</v>
      </c>
      <c r="J40" s="43">
        <f t="shared" si="1"/>
        <v>0</v>
      </c>
      <c r="K40" s="41">
        <f t="shared" si="22"/>
        <v>1.4603508914831289</v>
      </c>
      <c r="L40" s="41">
        <f t="shared" si="23"/>
        <v>56.352950819672124</v>
      </c>
      <c r="M40" s="41">
        <f t="shared" si="24"/>
        <v>82.295081967213122</v>
      </c>
      <c r="N40" s="44">
        <f t="shared" si="25"/>
        <v>105000000</v>
      </c>
      <c r="O40" s="18"/>
      <c r="P40" s="40" t="s">
        <v>326</v>
      </c>
      <c r="Q40" s="40" t="s">
        <v>328</v>
      </c>
      <c r="R40" s="40" t="str">
        <f t="shared" si="26"/>
        <v>DT Hongyan 516</v>
      </c>
    </row>
    <row r="41" spans="2:18" x14ac:dyDescent="0.3">
      <c r="E41" s="18"/>
      <c r="F41" s="18"/>
      <c r="I41" s="18"/>
      <c r="J41" s="30"/>
      <c r="K41" s="18"/>
      <c r="L41" s="18"/>
      <c r="M41" s="18"/>
      <c r="N41" s="33"/>
      <c r="O41" s="18"/>
    </row>
    <row r="42" spans="2:18" ht="15.75" customHeight="1" x14ac:dyDescent="0.3">
      <c r="B42" s="205" t="s">
        <v>21</v>
      </c>
      <c r="C42" s="205"/>
      <c r="D42" s="205"/>
      <c r="E42" s="45">
        <f>SUM(E8:E41)</f>
        <v>55038.850000000006</v>
      </c>
      <c r="F42" s="45">
        <f>SUM(F8:F41)</f>
        <v>1148</v>
      </c>
      <c r="G42" s="49"/>
      <c r="H42" s="50">
        <f>SUM(H8:H41)</f>
        <v>3381000000</v>
      </c>
      <c r="I42" s="45">
        <f>SUM(I8:I41)</f>
        <v>84767</v>
      </c>
      <c r="J42" s="46">
        <f>SUM(J8:J41)</f>
        <v>0</v>
      </c>
      <c r="K42" s="45">
        <f>IFERROR(I42/E42,0)</f>
        <v>1.5401302897862146</v>
      </c>
      <c r="L42" s="45">
        <f>IFERROR(E42/F42,0)</f>
        <v>47.943249128919867</v>
      </c>
      <c r="M42" s="45">
        <f>IFERROR(I42/F42,0)</f>
        <v>73.838850174216034</v>
      </c>
      <c r="N42" s="47">
        <f>SUM(N8:N41)</f>
        <v>3381000000</v>
      </c>
      <c r="O42" s="17"/>
    </row>
    <row r="44" spans="2:18" x14ac:dyDescent="0.3">
      <c r="B44" s="28"/>
      <c r="C44" s="28"/>
      <c r="D44" s="15" t="s">
        <v>58</v>
      </c>
      <c r="M44" s="18"/>
      <c r="N44" s="18"/>
      <c r="O44" s="18"/>
    </row>
    <row r="45" spans="2:18" x14ac:dyDescent="0.3">
      <c r="B45" s="204" t="s">
        <v>34</v>
      </c>
      <c r="C45" s="204"/>
      <c r="D45" s="29">
        <f>'REPORT unit OB'!D24</f>
        <v>14848</v>
      </c>
      <c r="E45" s="30"/>
    </row>
    <row r="46" spans="2:18" x14ac:dyDescent="0.3">
      <c r="B46" s="204" t="s">
        <v>35</v>
      </c>
      <c r="C46" s="204"/>
      <c r="D46" s="29">
        <f>SUMMARY!$J$13</f>
        <v>0</v>
      </c>
      <c r="E46" s="30"/>
    </row>
    <row r="47" spans="2:18" x14ac:dyDescent="0.3">
      <c r="B47" s="204" t="s">
        <v>50</v>
      </c>
      <c r="C47" s="204"/>
      <c r="D47" s="34">
        <v>210</v>
      </c>
      <c r="E47" s="29" t="s">
        <v>51</v>
      </c>
    </row>
    <row r="48" spans="2:18" x14ac:dyDescent="0.3">
      <c r="E48" s="18"/>
    </row>
    <row r="51" spans="5:6" x14ac:dyDescent="0.3">
      <c r="E51" s="18"/>
    </row>
    <row r="53" spans="5:6" x14ac:dyDescent="0.3">
      <c r="F53" s="18"/>
    </row>
    <row r="54" spans="5:6" x14ac:dyDescent="0.3">
      <c r="F54" s="18"/>
    </row>
    <row r="55" spans="5:6" x14ac:dyDescent="0.3">
      <c r="F55" s="18"/>
    </row>
    <row r="56" spans="5:6" x14ac:dyDescent="0.3">
      <c r="F56" s="18"/>
    </row>
    <row r="57" spans="5:6" x14ac:dyDescent="0.3">
      <c r="F57" s="18"/>
    </row>
    <row r="58" spans="5:6" x14ac:dyDescent="0.3">
      <c r="F58" s="18"/>
    </row>
    <row r="59" spans="5:6" x14ac:dyDescent="0.3">
      <c r="F59" s="18"/>
    </row>
    <row r="60" spans="5:6" x14ac:dyDescent="0.3">
      <c r="F60" s="18"/>
    </row>
    <row r="61" spans="5:6" x14ac:dyDescent="0.3">
      <c r="F61" s="18"/>
    </row>
    <row r="62" spans="5:6" x14ac:dyDescent="0.3">
      <c r="F62" s="18"/>
    </row>
    <row r="63" spans="5:6" x14ac:dyDescent="0.3">
      <c r="F63" s="18"/>
    </row>
    <row r="64" spans="5:6" x14ac:dyDescent="0.3">
      <c r="F64" s="18"/>
    </row>
    <row r="65" spans="6:6" x14ac:dyDescent="0.3">
      <c r="F65" s="18"/>
    </row>
    <row r="66" spans="6:6" x14ac:dyDescent="0.3">
      <c r="F66" s="18"/>
    </row>
    <row r="67" spans="6:6" x14ac:dyDescent="0.3">
      <c r="F67" s="18"/>
    </row>
    <row r="68" spans="6:6" x14ac:dyDescent="0.3">
      <c r="F68" s="18"/>
    </row>
    <row r="69" spans="6:6" x14ac:dyDescent="0.3">
      <c r="F69" s="18"/>
    </row>
    <row r="70" spans="6:6" x14ac:dyDescent="0.3">
      <c r="F70" s="18"/>
    </row>
    <row r="71" spans="6:6" x14ac:dyDescent="0.3">
      <c r="F71" s="18"/>
    </row>
    <row r="72" spans="6:6" x14ac:dyDescent="0.3">
      <c r="F72" s="18"/>
    </row>
    <row r="73" spans="6:6" x14ac:dyDescent="0.3">
      <c r="F73" s="18"/>
    </row>
    <row r="74" spans="6:6" x14ac:dyDescent="0.3">
      <c r="F74" s="18"/>
    </row>
    <row r="75" spans="6:6" x14ac:dyDescent="0.3">
      <c r="F75" s="18"/>
    </row>
    <row r="76" spans="6:6" x14ac:dyDescent="0.3">
      <c r="F76" s="18"/>
    </row>
    <row r="77" spans="6:6" x14ac:dyDescent="0.3">
      <c r="F77" s="18"/>
    </row>
    <row r="78" spans="6:6" x14ac:dyDescent="0.3">
      <c r="F78" s="18"/>
    </row>
    <row r="79" spans="6:6" x14ac:dyDescent="0.3">
      <c r="F79" s="18"/>
    </row>
    <row r="80" spans="6:6" x14ac:dyDescent="0.3">
      <c r="F80" s="18"/>
    </row>
    <row r="81" spans="6:6" x14ac:dyDescent="0.3">
      <c r="F81" s="18"/>
    </row>
    <row r="82" spans="6:6" x14ac:dyDescent="0.3">
      <c r="F82" s="18"/>
    </row>
    <row r="83" spans="6:6" x14ac:dyDescent="0.3">
      <c r="F83" s="18"/>
    </row>
    <row r="84" spans="6:6" x14ac:dyDescent="0.3">
      <c r="F84" s="18"/>
    </row>
    <row r="85" spans="6:6" x14ac:dyDescent="0.3">
      <c r="F85" s="18"/>
    </row>
    <row r="86" spans="6:6" x14ac:dyDescent="0.3">
      <c r="F86" s="18"/>
    </row>
    <row r="87" spans="6:6" x14ac:dyDescent="0.3">
      <c r="F87" s="18"/>
    </row>
    <row r="88" spans="6:6" x14ac:dyDescent="0.3">
      <c r="F88" s="18"/>
    </row>
    <row r="89" spans="6:6" x14ac:dyDescent="0.3">
      <c r="F89" s="18"/>
    </row>
    <row r="90" spans="6:6" x14ac:dyDescent="0.3">
      <c r="F90" s="18"/>
    </row>
    <row r="91" spans="6:6" x14ac:dyDescent="0.3">
      <c r="F91" s="18"/>
    </row>
    <row r="92" spans="6:6" x14ac:dyDescent="0.3">
      <c r="F92" s="18"/>
    </row>
    <row r="93" spans="6:6" x14ac:dyDescent="0.3">
      <c r="F93" s="18"/>
    </row>
    <row r="94" spans="6:6" x14ac:dyDescent="0.3">
      <c r="F94" s="18"/>
    </row>
    <row r="95" spans="6:6" x14ac:dyDescent="0.3">
      <c r="F95" s="18"/>
    </row>
    <row r="96" spans="6:6" x14ac:dyDescent="0.3">
      <c r="F96" s="18"/>
    </row>
    <row r="97" spans="6:6" x14ac:dyDescent="0.3">
      <c r="F97" s="18"/>
    </row>
    <row r="98" spans="6:6" x14ac:dyDescent="0.3">
      <c r="F98" s="18"/>
    </row>
    <row r="99" spans="6:6" x14ac:dyDescent="0.3">
      <c r="F99" s="18"/>
    </row>
    <row r="100" spans="6:6" x14ac:dyDescent="0.3">
      <c r="F100" s="18"/>
    </row>
    <row r="101" spans="6:6" x14ac:dyDescent="0.3">
      <c r="F101" s="18"/>
    </row>
    <row r="102" spans="6:6" x14ac:dyDescent="0.3">
      <c r="F102" s="18"/>
    </row>
    <row r="103" spans="6:6" x14ac:dyDescent="0.3">
      <c r="F103" s="18"/>
    </row>
    <row r="104" spans="6:6" x14ac:dyDescent="0.3">
      <c r="F104" s="18"/>
    </row>
    <row r="105" spans="6:6" x14ac:dyDescent="0.3">
      <c r="F105" s="18"/>
    </row>
    <row r="106" spans="6:6" x14ac:dyDescent="0.3">
      <c r="F106" s="18"/>
    </row>
    <row r="107" spans="6:6" x14ac:dyDescent="0.3">
      <c r="F107" s="18"/>
    </row>
    <row r="108" spans="6:6" x14ac:dyDescent="0.3">
      <c r="F108" s="18"/>
    </row>
    <row r="109" spans="6:6" x14ac:dyDescent="0.3">
      <c r="F109" s="18"/>
    </row>
    <row r="110" spans="6:6" x14ac:dyDescent="0.3">
      <c r="F110" s="18"/>
    </row>
    <row r="111" spans="6:6" x14ac:dyDescent="0.3">
      <c r="F111" s="18"/>
    </row>
    <row r="112" spans="6:6" x14ac:dyDescent="0.3">
      <c r="F112" s="18"/>
    </row>
    <row r="113" spans="6:6" x14ac:dyDescent="0.3">
      <c r="F113" s="18"/>
    </row>
    <row r="114" spans="6:6" x14ac:dyDescent="0.3">
      <c r="F114" s="18"/>
    </row>
    <row r="115" spans="6:6" x14ac:dyDescent="0.3">
      <c r="F115" s="18"/>
    </row>
    <row r="116" spans="6:6" x14ac:dyDescent="0.3">
      <c r="F116" s="18"/>
    </row>
    <row r="117" spans="6:6" x14ac:dyDescent="0.3">
      <c r="F117" s="18"/>
    </row>
    <row r="118" spans="6:6" x14ac:dyDescent="0.3">
      <c r="F118" s="18"/>
    </row>
    <row r="119" spans="6:6" x14ac:dyDescent="0.3">
      <c r="F119" s="18"/>
    </row>
    <row r="120" spans="6:6" x14ac:dyDescent="0.3">
      <c r="F120" s="18"/>
    </row>
    <row r="121" spans="6:6" x14ac:dyDescent="0.3">
      <c r="F121" s="18"/>
    </row>
    <row r="122" spans="6:6" x14ac:dyDescent="0.3">
      <c r="F122" s="18"/>
    </row>
    <row r="123" spans="6:6" x14ac:dyDescent="0.3">
      <c r="F123" s="18"/>
    </row>
    <row r="124" spans="6:6" x14ac:dyDescent="0.3">
      <c r="F124" s="18"/>
    </row>
    <row r="125" spans="6:6" x14ac:dyDescent="0.3">
      <c r="F125" s="18"/>
    </row>
    <row r="126" spans="6:6" x14ac:dyDescent="0.3">
      <c r="F126" s="18"/>
    </row>
    <row r="127" spans="6:6" x14ac:dyDescent="0.3">
      <c r="F127" s="18"/>
    </row>
    <row r="128" spans="6:6" x14ac:dyDescent="0.3">
      <c r="F128" s="18"/>
    </row>
    <row r="129" spans="6:6" x14ac:dyDescent="0.3">
      <c r="F129" s="18"/>
    </row>
    <row r="130" spans="6:6" x14ac:dyDescent="0.3">
      <c r="F130" s="18"/>
    </row>
    <row r="131" spans="6:6" x14ac:dyDescent="0.3">
      <c r="F131" s="18"/>
    </row>
    <row r="132" spans="6:6" x14ac:dyDescent="0.3">
      <c r="F132" s="18"/>
    </row>
    <row r="133" spans="6:6" x14ac:dyDescent="0.3">
      <c r="F133" s="18"/>
    </row>
    <row r="134" spans="6:6" x14ac:dyDescent="0.3">
      <c r="F134" s="18"/>
    </row>
  </sheetData>
  <autoFilter ref="B7:R31" xr:uid="{00000000-0009-0000-0000-000004000000}">
    <filterColumn colId="15" showButton="0"/>
  </autoFilter>
  <mergeCells count="18">
    <mergeCell ref="G5:H5"/>
    <mergeCell ref="H6:H7"/>
    <mergeCell ref="Q5:R7"/>
    <mergeCell ref="J6:J7"/>
    <mergeCell ref="B5:B7"/>
    <mergeCell ref="D5:D7"/>
    <mergeCell ref="E5:F5"/>
    <mergeCell ref="I5:J5"/>
    <mergeCell ref="P5:P7"/>
    <mergeCell ref="E6:F6"/>
    <mergeCell ref="K5:M6"/>
    <mergeCell ref="N5:N7"/>
    <mergeCell ref="C5:C7"/>
    <mergeCell ref="B45:C45"/>
    <mergeCell ref="B46:C46"/>
    <mergeCell ref="B47:C47"/>
    <mergeCell ref="B2:D3"/>
    <mergeCell ref="B42:D42"/>
  </mergeCells>
  <phoneticPr fontId="14" type="noConversion"/>
  <conditionalFormatting sqref="D8:D40">
    <cfRule type="duplicateValues" dxfId="1" priority="53"/>
  </conditionalFormatting>
  <conditionalFormatting sqref="K8:K40">
    <cfRule type="cellIs" dxfId="0" priority="1" operator="greaterThanOrEqual">
      <formula>1.75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unit'!$B$6:$B$27</xm:f>
          </x14:formula1>
          <xm:sqref>Q1:Q1048576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M14"/>
  <sheetViews>
    <sheetView workbookViewId="0">
      <pane xSplit="4" ySplit="7" topLeftCell="E8" activePane="bottomRight" state="frozenSplit"/>
      <selection pane="topRight" activeCell="C1" sqref="C1"/>
      <selection pane="bottomLeft" activeCell="A7" sqref="A7"/>
      <selection pane="bottomRight" activeCell="F8" sqref="F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5.109375" style="15" bestFit="1" customWidth="1"/>
    <col min="5" max="5" width="19.5546875" style="15" customWidth="1"/>
    <col min="6" max="6" width="12.6640625" style="15" customWidth="1"/>
    <col min="7" max="7" width="18.6640625" style="15" customWidth="1"/>
    <col min="8" max="8" width="11" style="15" customWidth="1"/>
    <col min="9" max="9" width="20.77734375" style="15" customWidth="1"/>
    <col min="10" max="10" width="11" style="15" customWidth="1"/>
    <col min="11" max="11" width="18.5546875" style="15" customWidth="1"/>
    <col min="12" max="12" width="16.44140625" style="15" bestFit="1" customWidth="1"/>
    <col min="13" max="13" width="25.109375" style="15" bestFit="1" customWidth="1"/>
    <col min="14" max="16384" width="9.109375" style="15"/>
  </cols>
  <sheetData>
    <row r="2" spans="2:13" x14ac:dyDescent="0.3">
      <c r="B2" s="199" t="s">
        <v>81</v>
      </c>
      <c r="C2" s="199"/>
      <c r="D2" s="199"/>
    </row>
    <row r="3" spans="2:13" x14ac:dyDescent="0.3">
      <c r="B3" s="199"/>
      <c r="C3" s="199"/>
      <c r="D3" s="199"/>
    </row>
    <row r="5" spans="2:13" ht="15" customHeight="1" x14ac:dyDescent="0.3">
      <c r="B5" s="200" t="s">
        <v>1</v>
      </c>
      <c r="C5" s="200" t="s">
        <v>351</v>
      </c>
      <c r="D5" s="200" t="s">
        <v>86</v>
      </c>
      <c r="E5" s="200" t="s">
        <v>89</v>
      </c>
      <c r="F5" s="203" t="s">
        <v>37</v>
      </c>
      <c r="G5" s="203"/>
      <c r="H5" s="200" t="s">
        <v>88</v>
      </c>
      <c r="I5" s="201" t="s">
        <v>80</v>
      </c>
      <c r="J5" s="31"/>
      <c r="K5" s="200" t="s">
        <v>47</v>
      </c>
      <c r="L5" s="200" t="s">
        <v>87</v>
      </c>
      <c r="M5" s="200"/>
    </row>
    <row r="6" spans="2:13" ht="15" customHeight="1" x14ac:dyDescent="0.3">
      <c r="B6" s="200"/>
      <c r="C6" s="200"/>
      <c r="D6" s="200"/>
      <c r="E6" s="200"/>
      <c r="F6" s="38" t="s">
        <v>27</v>
      </c>
      <c r="G6" s="200" t="s">
        <v>28</v>
      </c>
      <c r="H6" s="200"/>
      <c r="I6" s="201"/>
      <c r="J6" s="31"/>
      <c r="K6" s="200"/>
      <c r="L6" s="200"/>
      <c r="M6" s="200"/>
    </row>
    <row r="7" spans="2:13" x14ac:dyDescent="0.3">
      <c r="B7" s="200"/>
      <c r="C7" s="200"/>
      <c r="D7" s="200"/>
      <c r="E7" s="38" t="s">
        <v>45</v>
      </c>
      <c r="F7" s="38" t="s">
        <v>32</v>
      </c>
      <c r="G7" s="200"/>
      <c r="H7" s="38" t="s">
        <v>53</v>
      </c>
      <c r="I7" s="201"/>
      <c r="J7" s="31"/>
      <c r="K7" s="200"/>
      <c r="L7" s="200"/>
      <c r="M7" s="200"/>
    </row>
    <row r="8" spans="2:13" x14ac:dyDescent="0.3">
      <c r="B8" s="40">
        <f>ROW(B8)-7</f>
        <v>1</v>
      </c>
      <c r="C8" s="40"/>
      <c r="D8" s="40" t="s">
        <v>304</v>
      </c>
      <c r="E8" s="43">
        <f>IFERROR(VLOOKUP(L8,'list rate unit'!$B$6:$K$28,10,FALSE),0)</f>
        <v>210000</v>
      </c>
      <c r="F8" s="41">
        <v>1074</v>
      </c>
      <c r="G8" s="43">
        <f>F8*$D$13</f>
        <v>0</v>
      </c>
      <c r="H8" s="41"/>
      <c r="I8" s="44">
        <f>E8+G8</f>
        <v>210000</v>
      </c>
      <c r="J8" s="18"/>
      <c r="K8" s="40"/>
      <c r="L8" s="40" t="str">
        <f>VLOOKUP(M8,'list rate unit'!O:P,2,FALSE)</f>
        <v>FM 260 Ti</v>
      </c>
      <c r="M8" s="40" t="str">
        <f t="shared" ref="M8" si="0">D8</f>
        <v>FUEL TRUCK - 02</v>
      </c>
    </row>
    <row r="9" spans="2:13" x14ac:dyDescent="0.3">
      <c r="E9" s="30"/>
      <c r="F9" s="18"/>
      <c r="G9" s="30"/>
      <c r="H9" s="18"/>
      <c r="I9" s="18"/>
      <c r="J9" s="18"/>
    </row>
    <row r="10" spans="2:13" ht="15.75" customHeight="1" x14ac:dyDescent="0.3">
      <c r="B10" s="205" t="s">
        <v>21</v>
      </c>
      <c r="C10" s="205"/>
      <c r="D10" s="205"/>
      <c r="E10" s="50">
        <f>SUM(E8:E9)</f>
        <v>210000</v>
      </c>
      <c r="F10" s="45">
        <f>SUM(F8:F9)</f>
        <v>1074</v>
      </c>
      <c r="G10" s="46">
        <f>SUM(G8:G9)</f>
        <v>0</v>
      </c>
      <c r="H10" s="45">
        <f>IFERROR(F10/#REF!,0)</f>
        <v>0</v>
      </c>
      <c r="I10" s="47">
        <f>SUM(I8:I9)</f>
        <v>210000</v>
      </c>
      <c r="J10" s="17"/>
    </row>
    <row r="12" spans="2:13" x14ac:dyDescent="0.3">
      <c r="B12" s="204" t="s">
        <v>34</v>
      </c>
      <c r="C12" s="204"/>
      <c r="D12" s="29">
        <f>'REPORT unit DT HAUL'!D45</f>
        <v>14848</v>
      </c>
    </row>
    <row r="13" spans="2:13" x14ac:dyDescent="0.3">
      <c r="B13" s="204" t="s">
        <v>35</v>
      </c>
      <c r="C13" s="204"/>
      <c r="D13" s="29">
        <f>SUMMARY!$J$13</f>
        <v>0</v>
      </c>
    </row>
    <row r="14" spans="2:13" x14ac:dyDescent="0.3">
      <c r="K14" s="27"/>
    </row>
  </sheetData>
  <mergeCells count="14">
    <mergeCell ref="L5:M7"/>
    <mergeCell ref="E5:E6"/>
    <mergeCell ref="H5:H6"/>
    <mergeCell ref="B5:B7"/>
    <mergeCell ref="D5:D7"/>
    <mergeCell ref="F5:G5"/>
    <mergeCell ref="I5:I7"/>
    <mergeCell ref="C5:C7"/>
    <mergeCell ref="B12:C12"/>
    <mergeCell ref="B13:C13"/>
    <mergeCell ref="B10:D10"/>
    <mergeCell ref="B2:D3"/>
    <mergeCell ref="K5:K7"/>
    <mergeCell ref="G6:G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unit'!$B$4:$B$28</xm:f>
          </x14:formula1>
          <xm:sqref>L1:L7 L9:L1048576</xm:sqref>
        </x14:dataValidation>
        <x14:dataValidation type="list" allowBlank="1" showInputMessage="1" showErrorMessage="1" xr:uid="{75B9498A-83E4-4815-A39E-ADBBDB20D76B}">
          <x14:formula1>
            <xm:f>'list rate unit'!$B$6:$B$27</xm:f>
          </x14:formula1>
          <xm:sqref>L8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2024-04-03T06:22:19Z</cp:lastPrinted>
  <dcterms:created xsi:type="dcterms:W3CDTF">2019-02-05T01:55:23Z</dcterms:created>
  <dcterms:modified xsi:type="dcterms:W3CDTF">2024-04-04T06:14:38Z</dcterms:modified>
</cp:coreProperties>
</file>