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1 DATA PERSONAL\Data Tambang\Laporan Produksi\Report_2023\CV_SA\cost production report SA\"/>
    </mc:Choice>
  </mc:AlternateContent>
  <xr:revisionPtr revIDLastSave="0" documentId="13_ncr:1_{A5953E87-007F-4205-8228-B0B07C23A322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1" r:id="rId1"/>
    <sheet name="SUMMARY MTD" sheetId="12" r:id="rId2"/>
    <sheet name="REPORT unit OB" sheetId="4" r:id="rId3"/>
    <sheet name="REPORT unit QUARRY" sheetId="13" r:id="rId4"/>
    <sheet name="REPORT unit DEVELOP" sheetId="14" r:id="rId5"/>
    <sheet name="REPORT unit ORE GETTING" sheetId="15" r:id="rId6"/>
    <sheet name="REPORT unit DT HAUL" sheetId="7" r:id="rId7"/>
    <sheet name="REPORT unit LV &amp; support" sheetId="6" r:id="rId8"/>
    <sheet name="HOUR METER" sheetId="1" state="hidden" r:id="rId9"/>
    <sheet name="FUEL UNIT" sheetId="2" state="hidden" r:id="rId10"/>
    <sheet name="list rate unit" sheetId="5" r:id="rId11"/>
  </sheets>
  <externalReferences>
    <externalReference r:id="rId12"/>
  </externalReferences>
  <definedNames>
    <definedName name="_xlnm._FilterDatabase" localSheetId="4" hidden="1">'REPORT unit DEVELOP'!$B$7:$O$10</definedName>
    <definedName name="_xlnm._FilterDatabase" localSheetId="6" hidden="1">'REPORT unit DT HAUL'!$B$7:$Q$32</definedName>
    <definedName name="_xlnm._FilterDatabase" localSheetId="2" hidden="1">'REPORT unit OB'!$B$7:$O$22</definedName>
    <definedName name="_xlnm._FilterDatabase" localSheetId="5" hidden="1">'REPORT unit ORE GETTING'!$B$7:$O$17</definedName>
    <definedName name="_xlnm._FilterDatabase" localSheetId="3" hidden="1">'REPORT unit QUARRY'!$B$7:$O$14</definedName>
    <definedName name="_xlnm.Print_Area" localSheetId="0">SUMMARY!$B$2:$L$37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2" l="1"/>
  <c r="F29" i="12"/>
  <c r="F28" i="12"/>
  <c r="F27" i="12"/>
  <c r="F25" i="12"/>
  <c r="F26" i="12"/>
  <c r="F24" i="12"/>
  <c r="F23" i="12"/>
  <c r="F18" i="12"/>
  <c r="F17" i="12"/>
  <c r="F12" i="12"/>
  <c r="F13" i="12"/>
  <c r="F14" i="12"/>
  <c r="F15" i="12"/>
  <c r="F16" i="12"/>
  <c r="F11" i="12"/>
  <c r="F10" i="12"/>
  <c r="K8" i="6"/>
  <c r="H17" i="4"/>
  <c r="I17" i="4"/>
  <c r="N17" i="4"/>
  <c r="M17" i="4" s="1"/>
  <c r="E17" i="4" s="1"/>
  <c r="F17" i="4" s="1"/>
  <c r="H18" i="4"/>
  <c r="I18" i="4"/>
  <c r="N18" i="4"/>
  <c r="M18" i="4" s="1"/>
  <c r="E18" i="4" s="1"/>
  <c r="F18" i="4" s="1"/>
  <c r="J18" i="4" l="1"/>
  <c r="J17" i="4"/>
  <c r="F22" i="12" l="1"/>
  <c r="F19" i="12"/>
  <c r="F21" i="12" s="1"/>
  <c r="F20" i="12"/>
  <c r="O28" i="12"/>
  <c r="O9" i="12"/>
  <c r="O8" i="12"/>
  <c r="O7" i="12"/>
  <c r="C23" i="12" l="1"/>
  <c r="O23" i="12" l="1"/>
  <c r="C17" i="6"/>
  <c r="C44" i="7"/>
  <c r="C22" i="15"/>
  <c r="C15" i="14"/>
  <c r="C21" i="13"/>
  <c r="C25" i="4"/>
  <c r="J10" i="11"/>
  <c r="F12" i="11"/>
  <c r="F10" i="11"/>
  <c r="L11" i="6"/>
  <c r="K11" i="6" s="1"/>
  <c r="D11" i="6" s="1"/>
  <c r="I15" i="15"/>
  <c r="N15" i="15"/>
  <c r="M15" i="15" s="1"/>
  <c r="E15" i="15" s="1"/>
  <c r="F15" i="15" s="1"/>
  <c r="I16" i="15"/>
  <c r="N16" i="15"/>
  <c r="M16" i="15" s="1"/>
  <c r="E16" i="15" s="1"/>
  <c r="F16" i="15" s="1"/>
  <c r="I17" i="15"/>
  <c r="N17" i="15"/>
  <c r="M17" i="15" s="1"/>
  <c r="E17" i="15" s="1"/>
  <c r="F17" i="15" s="1"/>
  <c r="D22" i="12" l="1"/>
  <c r="D20" i="12"/>
  <c r="D19" i="12"/>
  <c r="D21" i="12" s="1"/>
  <c r="Q38" i="7"/>
  <c r="L38" i="7"/>
  <c r="K38" i="7"/>
  <c r="J38" i="7"/>
  <c r="Q37" i="7"/>
  <c r="L37" i="7"/>
  <c r="K37" i="7"/>
  <c r="J37" i="7"/>
  <c r="Q36" i="7"/>
  <c r="L36" i="7"/>
  <c r="K36" i="7"/>
  <c r="J36" i="7"/>
  <c r="Q35" i="7"/>
  <c r="L35" i="7"/>
  <c r="K35" i="7"/>
  <c r="J35" i="7"/>
  <c r="Q34" i="7"/>
  <c r="L34" i="7"/>
  <c r="K34" i="7"/>
  <c r="J34" i="7"/>
  <c r="Q33" i="7"/>
  <c r="L33" i="7"/>
  <c r="K33" i="7"/>
  <c r="J33" i="7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D40" i="7"/>
  <c r="G19" i="15"/>
  <c r="D19" i="15"/>
  <c r="G18" i="13"/>
  <c r="E18" i="13"/>
  <c r="D18" i="13"/>
  <c r="N16" i="13"/>
  <c r="I16" i="13"/>
  <c r="N15" i="13"/>
  <c r="I15" i="13"/>
  <c r="E16" i="13"/>
  <c r="F16" i="13" s="1"/>
  <c r="E15" i="13"/>
  <c r="F15" i="13" s="1"/>
  <c r="N20" i="4"/>
  <c r="M20" i="4" s="1"/>
  <c r="E20" i="4" s="1"/>
  <c r="F20" i="4" s="1"/>
  <c r="N19" i="4"/>
  <c r="M19" i="4" s="1"/>
  <c r="E19" i="4" s="1"/>
  <c r="F19" i="4" s="1"/>
  <c r="I20" i="4"/>
  <c r="I19" i="4"/>
  <c r="C22" i="12" l="1"/>
  <c r="C20" i="12"/>
  <c r="C19" i="12"/>
  <c r="C21" i="12" s="1"/>
  <c r="E10" i="13" l="1"/>
  <c r="F10" i="13" s="1"/>
  <c r="I10" i="13"/>
  <c r="N10" i="13"/>
  <c r="E11" i="13"/>
  <c r="F11" i="13" s="1"/>
  <c r="I11" i="13"/>
  <c r="N11" i="13"/>
  <c r="I11" i="4"/>
  <c r="N11" i="4"/>
  <c r="M11" i="4" s="1"/>
  <c r="E11" i="4" s="1"/>
  <c r="F11" i="4" s="1"/>
  <c r="I12" i="4"/>
  <c r="N12" i="4"/>
  <c r="M12" i="4" s="1"/>
  <c r="E12" i="4" s="1"/>
  <c r="F12" i="4" s="1"/>
  <c r="L12" i="6" l="1"/>
  <c r="K12" i="6" s="1"/>
  <c r="N9" i="14" l="1"/>
  <c r="M9" i="14" s="1"/>
  <c r="E9" i="14" s="1"/>
  <c r="F9" i="14" s="1"/>
  <c r="I9" i="14"/>
  <c r="E18" i="11"/>
  <c r="F18" i="11" s="1"/>
  <c r="E14" i="6"/>
  <c r="D22" i="4" l="1"/>
  <c r="G14" i="6" l="1"/>
  <c r="C21" i="15" l="1"/>
  <c r="N14" i="15"/>
  <c r="M14" i="15" s="1"/>
  <c r="E14" i="15" s="1"/>
  <c r="F14" i="15" s="1"/>
  <c r="I14" i="15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I8" i="15"/>
  <c r="H9" i="14"/>
  <c r="J9" i="14" s="1"/>
  <c r="C14" i="14"/>
  <c r="G12" i="14"/>
  <c r="D12" i="14"/>
  <c r="N10" i="14"/>
  <c r="M10" i="14" s="1"/>
  <c r="E10" i="14" s="1"/>
  <c r="I10" i="14"/>
  <c r="N8" i="14"/>
  <c r="M8" i="14" s="1"/>
  <c r="E8" i="14" s="1"/>
  <c r="F8" i="14" s="1"/>
  <c r="I8" i="14"/>
  <c r="N14" i="13"/>
  <c r="I14" i="13"/>
  <c r="E14" i="13"/>
  <c r="F14" i="13" s="1"/>
  <c r="N13" i="13"/>
  <c r="I13" i="13"/>
  <c r="E13" i="13"/>
  <c r="F13" i="13" s="1"/>
  <c r="N12" i="13"/>
  <c r="I12" i="13"/>
  <c r="E12" i="13"/>
  <c r="F12" i="13" s="1"/>
  <c r="N9" i="13"/>
  <c r="I9" i="13"/>
  <c r="E9" i="13"/>
  <c r="F9" i="13" s="1"/>
  <c r="N8" i="13"/>
  <c r="I8" i="13"/>
  <c r="E8" i="13"/>
  <c r="F8" i="13" s="1"/>
  <c r="F18" i="13" s="1"/>
  <c r="H17" i="15" l="1"/>
  <c r="J17" i="15" s="1"/>
  <c r="H16" i="15"/>
  <c r="J16" i="15" s="1"/>
  <c r="H15" i="15"/>
  <c r="J15" i="15" s="1"/>
  <c r="F8" i="15"/>
  <c r="E19" i="15"/>
  <c r="F19" i="15"/>
  <c r="E12" i="14"/>
  <c r="H8" i="15"/>
  <c r="H12" i="15"/>
  <c r="J12" i="15" s="1"/>
  <c r="H10" i="15"/>
  <c r="J10" i="15" s="1"/>
  <c r="H14" i="15"/>
  <c r="J14" i="15" s="1"/>
  <c r="H13" i="15"/>
  <c r="J13" i="15" s="1"/>
  <c r="H9" i="15"/>
  <c r="J9" i="15" s="1"/>
  <c r="H11" i="15"/>
  <c r="J11" i="15" s="1"/>
  <c r="F10" i="14"/>
  <c r="F12" i="14" s="1"/>
  <c r="H10" i="14"/>
  <c r="H8" i="14"/>
  <c r="J8" i="14" s="1"/>
  <c r="I19" i="15"/>
  <c r="I12" i="14"/>
  <c r="I18" i="13"/>
  <c r="J8" i="15" l="1"/>
  <c r="J19" i="15" s="1"/>
  <c r="H19" i="15"/>
  <c r="J10" i="14"/>
  <c r="J12" i="14" s="1"/>
  <c r="D24" i="11" s="1"/>
  <c r="H12" i="14"/>
  <c r="D25" i="11"/>
  <c r="C20" i="13" l="1"/>
  <c r="H16" i="13" l="1"/>
  <c r="J16" i="13" s="1"/>
  <c r="H15" i="13"/>
  <c r="J15" i="13" s="1"/>
  <c r="H10" i="13"/>
  <c r="J10" i="13" s="1"/>
  <c r="H11" i="13"/>
  <c r="J11" i="13" s="1"/>
  <c r="H9" i="13"/>
  <c r="J9" i="13" s="1"/>
  <c r="H8" i="13"/>
  <c r="H12" i="13"/>
  <c r="J12" i="13" s="1"/>
  <c r="H13" i="13"/>
  <c r="J13" i="13" s="1"/>
  <c r="H14" i="13"/>
  <c r="J14" i="13" s="1"/>
  <c r="H18" i="13" l="1"/>
  <c r="J8" i="13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0" i="4"/>
  <c r="M10" i="4" s="1"/>
  <c r="E10" i="4" s="1"/>
  <c r="F10" i="4" s="1"/>
  <c r="I10" i="4"/>
  <c r="N9" i="4"/>
  <c r="M9" i="4" s="1"/>
  <c r="E9" i="4" s="1"/>
  <c r="F9" i="4" s="1"/>
  <c r="I9" i="4"/>
  <c r="J18" i="13" l="1"/>
  <c r="D23" i="11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L10" i="6" l="1"/>
  <c r="K10" i="6" s="1"/>
  <c r="D10" i="6" s="1"/>
  <c r="I34" i="7" l="1"/>
  <c r="M34" i="7" s="1"/>
  <c r="I37" i="7"/>
  <c r="M37" i="7" s="1"/>
  <c r="I33" i="7"/>
  <c r="M33" i="7" s="1"/>
  <c r="I36" i="7"/>
  <c r="M36" i="7" s="1"/>
  <c r="I35" i="7"/>
  <c r="M35" i="7" s="1"/>
  <c r="I38" i="7"/>
  <c r="M38" i="7" s="1"/>
  <c r="F12" i="6"/>
  <c r="F11" i="6"/>
  <c r="H11" i="6" s="1"/>
  <c r="H20" i="4"/>
  <c r="J20" i="4" s="1"/>
  <c r="H19" i="4"/>
  <c r="J19" i="4" s="1"/>
  <c r="H11" i="4"/>
  <c r="J11" i="4" s="1"/>
  <c r="H12" i="4"/>
  <c r="J12" i="4" s="1"/>
  <c r="H15" i="4"/>
  <c r="J15" i="4" s="1"/>
  <c r="H10" i="4"/>
  <c r="J10" i="4" s="1"/>
  <c r="H14" i="4"/>
  <c r="J14" i="4" s="1"/>
  <c r="H16" i="4"/>
  <c r="J16" i="4" s="1"/>
  <c r="H9" i="4"/>
  <c r="J9" i="4" s="1"/>
  <c r="H13" i="4"/>
  <c r="J13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9" i="7"/>
  <c r="M9" i="7" s="1"/>
  <c r="I17" i="7"/>
  <c r="M17" i="7" s="1"/>
  <c r="I25" i="7"/>
  <c r="M25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21" i="7"/>
  <c r="M21" i="7" s="1"/>
  <c r="I13" i="7"/>
  <c r="M13" i="7" s="1"/>
  <c r="I29" i="7"/>
  <c r="M29" i="7" s="1"/>
  <c r="O5" i="12" l="1"/>
  <c r="A12" i="12"/>
  <c r="A13" i="12"/>
  <c r="A14" i="12"/>
  <c r="A15" i="12"/>
  <c r="A16" i="12"/>
  <c r="A11" i="12"/>
  <c r="O14" i="12" l="1"/>
  <c r="O16" i="12"/>
  <c r="O15" i="12"/>
  <c r="O30" i="12" l="1"/>
  <c r="A30" i="12"/>
  <c r="O29" i="12"/>
  <c r="O27" i="12"/>
  <c r="O26" i="12"/>
  <c r="O25" i="12"/>
  <c r="O24" i="12"/>
  <c r="O18" i="12"/>
  <c r="O13" i="12"/>
  <c r="O12" i="12"/>
  <c r="O17" i="12"/>
  <c r="O10" i="12"/>
  <c r="O4" i="12"/>
  <c r="O3" i="12"/>
  <c r="O20" i="12" l="1"/>
  <c r="O22" i="12"/>
  <c r="O19" i="12"/>
  <c r="O21" i="12" s="1"/>
  <c r="O6" i="12"/>
  <c r="O11" i="12"/>
  <c r="K27" i="5" l="1"/>
  <c r="D12" i="6" l="1"/>
  <c r="H12" i="6" s="1"/>
  <c r="L9" i="6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9" i="6" l="1"/>
  <c r="H9" i="6" s="1"/>
  <c r="E11" i="11"/>
  <c r="D31" i="11" s="1"/>
  <c r="E40" i="7"/>
  <c r="F11" i="11" l="1"/>
  <c r="J23" i="11"/>
  <c r="J25" i="11"/>
  <c r="J24" i="11"/>
  <c r="E13" i="11"/>
  <c r="F13" i="11" s="1"/>
  <c r="K25" i="11" l="1"/>
  <c r="K24" i="11"/>
  <c r="K23" i="11"/>
  <c r="F29" i="2" l="1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40" i="7" l="1"/>
  <c r="AK29" i="2" l="1"/>
  <c r="K40" i="7" l="1"/>
  <c r="D36" i="1" l="1"/>
  <c r="D35" i="1" l="1"/>
  <c r="D34" i="1"/>
  <c r="D32" i="1"/>
  <c r="D33" i="1"/>
  <c r="L8" i="6"/>
  <c r="D8" i="6" s="1"/>
  <c r="D14" i="6" s="1"/>
  <c r="N8" i="4"/>
  <c r="AK4" i="2"/>
  <c r="M8" i="4" l="1"/>
  <c r="E8" i="4" s="1"/>
  <c r="AK30" i="2"/>
  <c r="H8" i="4"/>
  <c r="AK5" i="1"/>
  <c r="AK4" i="1"/>
  <c r="F8" i="6"/>
  <c r="F14" i="6" s="1"/>
  <c r="F8" i="4" l="1"/>
  <c r="J8" i="4" s="1"/>
  <c r="J22" i="4" s="1"/>
  <c r="E22" i="4"/>
  <c r="AK29" i="1"/>
  <c r="G22" i="4"/>
  <c r="H8" i="6"/>
  <c r="H40" i="7"/>
  <c r="I8" i="4"/>
  <c r="E39" i="2"/>
  <c r="E41" i="2" s="1"/>
  <c r="J18" i="11" l="1"/>
  <c r="J19" i="11" s="1"/>
  <c r="H14" i="6"/>
  <c r="D27" i="11" s="1"/>
  <c r="J27" i="11" s="1"/>
  <c r="H22" i="4"/>
  <c r="D22" i="11"/>
  <c r="M40" i="7"/>
  <c r="D26" i="11" s="1"/>
  <c r="L40" i="7"/>
  <c r="I40" i="7"/>
  <c r="D38" i="1"/>
  <c r="D40" i="1" s="1"/>
  <c r="J40" i="7"/>
  <c r="D30" i="11" l="1"/>
  <c r="E14" i="11"/>
  <c r="F14" i="11" s="1"/>
  <c r="J22" i="11"/>
  <c r="J26" i="11"/>
  <c r="K26" i="11" s="1"/>
  <c r="K27" i="11"/>
  <c r="F22" i="4"/>
  <c r="I22" i="4"/>
  <c r="B35" i="11" l="1"/>
  <c r="D33" i="11"/>
  <c r="K22" i="11"/>
  <c r="K28" i="11" s="1"/>
  <c r="J28" i="11"/>
  <c r="C24" i="4"/>
  <c r="C43" i="7" s="1"/>
  <c r="C16" i="6" s="1"/>
  <c r="J30" i="11" l="1"/>
  <c r="J31" i="11" s="1"/>
  <c r="I22" i="11" l="1"/>
  <c r="I23" i="11"/>
  <c r="I27" i="11"/>
  <c r="I25" i="11"/>
  <c r="I24" i="11"/>
  <c r="I26" i="11"/>
  <c r="I28" i="11" l="1"/>
</calcChain>
</file>

<file path=xl/sharedStrings.xml><?xml version="1.0" encoding="utf-8"?>
<sst xmlns="http://schemas.openxmlformats.org/spreadsheetml/2006/main" count="825" uniqueCount="362">
  <si>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</si>
  <si>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</si>
  <si>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</si>
  <si>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</si>
  <si>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</si>
  <si>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</si>
  <si>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</si>
  <si>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</si>
  <si>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</si>
  <si>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</si>
  <si>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</si>
  <si>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</si>
  <si>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</si>
  <si>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</si>
  <si>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</si>
  <si>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</si>
  <si>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</si>
  <si>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</si>
  <si>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</si>
  <si>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</si>
  <si>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</si>
  <si>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</si>
  <si>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</si>
  <si>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</si>
  <si>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</si>
  <si>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</si>
  <si>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</si>
  <si>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</si>
  <si>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</si>
  <si>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</si>
  <si>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</si>
  <si>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</si>
  <si>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</si>
  <si>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</si>
  <si>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</si>
  <si>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</si>
  <si>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</si>
  <si>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</si>
  <si>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</si>
  <si>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</si>
  <si>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</si>
  <si>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</si>
  <si>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</si>
  <si>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</si>
  <si>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</si>
  <si>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</si>
  <si>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</si>
  <si>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</si>
  <si>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</si>
  <si>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</si>
  <si>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</si>
  <si>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</si>
  <si>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</si>
  <si>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</si>
  <si>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</si>
  <si>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</si>
  <si>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</si>
  <si>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</si>
  <si>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</si>
  <si>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</si>
  <si>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</si>
  <si>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</si>
  <si>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</si>
  <si>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</si>
  <si>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</si>
  <si>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</si>
  <si>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</si>
  <si>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</si>
  <si>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</si>
  <si>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</si>
  <si>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</si>
  <si>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</si>
  <si>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</si>
  <si>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</si>
  <si>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WORKING HOUR</t>
  </si>
  <si>
    <t>ORE MINING</t>
  </si>
  <si>
    <t>MECANICAL AVAILABILITY</t>
  </si>
  <si>
    <t>STRIPING RATIO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</si>
  <si>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</si>
  <si>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</si>
  <si>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</si>
  <si>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</si>
  <si>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</si>
  <si>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</si>
  <si>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</si>
  <si>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</si>
  <si>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</si>
  <si>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</si>
  <si>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</si>
  <si>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</si>
  <si>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</si>
  <si>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</si>
  <si>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</si>
  <si>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</si>
  <si>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</si>
  <si>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</si>
  <si>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</si>
  <si>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</si>
  <si>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</si>
  <si>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</si>
  <si>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</si>
  <si>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</si>
  <si>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</si>
  <si>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</si>
  <si>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</si>
  <si>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</si>
  <si>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</si>
  <si>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</si>
  <si>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</si>
  <si>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</si>
  <si>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</si>
  <si>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</si>
  <si>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</si>
  <si>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</si>
  <si>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</si>
  <si>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</si>
  <si>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</si>
  <si>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</si>
  <si>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</si>
  <si>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</si>
  <si>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</si>
  <si>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</si>
  <si>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</si>
  <si>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</si>
  <si>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</si>
  <si>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</si>
  <si>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</si>
  <si>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</si>
  <si>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</si>
  <si>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</si>
  <si>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</si>
  <si>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</si>
  <si>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</si>
  <si>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</si>
  <si>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</si>
  <si>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</si>
  <si>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</si>
  <si>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</si>
  <si>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</si>
  <si>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</si>
  <si>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</si>
  <si>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</si>
  <si>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</si>
  <si>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</si>
  <si>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</si>
  <si>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</si>
  <si>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</si>
  <si>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</si>
  <si>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</si>
  <si>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</si>
  <si>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</si>
  <si>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</si>
  <si>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</si>
  <si>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</si>
  <si>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</si>
  <si>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</si>
  <si>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</si>
  <si>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</si>
  <si>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</si>
  <si>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</si>
  <si>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</si>
  <si>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</si>
  <si>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</si>
  <si>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</si>
  <si>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</si>
  <si>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</si>
  <si>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</si>
  <si>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</si>
  <si>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</si>
  <si>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</si>
  <si>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</si>
  <si>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</si>
  <si>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</si>
  <si>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</si>
  <si>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</si>
  <si>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</si>
  <si>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</si>
  <si>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</si>
  <si>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</si>
  <si>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</si>
  <si>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</si>
  <si>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</si>
  <si>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</si>
  <si>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</si>
  <si>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</si>
  <si>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</si>
  <si>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</si>
  <si>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</si>
  <si>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</si>
  <si>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</si>
  <si>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</si>
  <si>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</si>
  <si>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</si>
  <si>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</si>
  <si>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</si>
  <si>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</si>
  <si>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</si>
  <si>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</si>
  <si>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</si>
  <si>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</si>
  <si>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</si>
  <si>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</si>
  <si>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</si>
  <si>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</si>
  <si>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</si>
  <si>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</si>
  <si>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</si>
  <si>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</si>
  <si>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</si>
  <si>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</si>
  <si>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</si>
  <si>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</si>
  <si>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</si>
  <si>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</si>
  <si>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</si>
  <si>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</si>
  <si>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</si>
  <si>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</si>
  <si>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</si>
  <si>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</si>
  <si>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</si>
  <si>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</si>
  <si>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</si>
  <si>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</si>
  <si>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</si>
  <si>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</si>
  <si>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</si>
  <si>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</si>
  <si>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</si>
  <si>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</si>
  <si>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</si>
  <si>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</si>
  <si>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</si>
  <si>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</si>
  <si>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</si>
  <si>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</si>
  <si>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</si>
  <si>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</si>
  <si>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</si>
  <si>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</si>
  <si>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</si>
  <si>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</si>
  <si>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</si>
  <si>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</si>
  <si>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</si>
  <si>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</si>
  <si>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</si>
  <si>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</si>
  <si>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</si>
  <si>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</si>
  <si>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</si>
  <si>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</si>
  <si>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</si>
  <si>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</si>
  <si>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</si>
  <si>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</si>
  <si>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</si>
  <si>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</si>
  <si>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</si>
  <si>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</si>
  <si>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</si>
  <si>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</si>
  <si>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</si>
  <si>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</si>
  <si>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</si>
  <si>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</si>
  <si>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</si>
  <si>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</si>
  <si>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</si>
  <si>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</si>
  <si>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</si>
  <si>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</si>
  <si>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</si>
  <si>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</si>
  <si>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</si>
  <si>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</si>
  <si>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</si>
  <si>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</si>
  <si>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</si>
  <si>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</si>
  <si>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</si>
  <si>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</si>
  <si>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</si>
  <si>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</si>
  <si>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</si>
  <si>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</si>
  <si>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</si>
  <si>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</si>
  <si>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</si>
  <si>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</si>
  <si>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</si>
  <si>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</si>
  <si>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</si>
  <si>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</si>
  <si>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</si>
  <si>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</si>
  <si>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</si>
  <si>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TOTAL 2022</t>
  </si>
  <si>
    <t>LV PAJERO SILVER - 21</t>
  </si>
  <si>
    <t>source data ( owning &amp; operating cost)</t>
  </si>
  <si>
    <t>CV. SENTOSA ABADI</t>
  </si>
  <si>
    <t>KOMATSU PC 200 - 24</t>
  </si>
  <si>
    <t>KOMATSU SK 200 - 19</t>
  </si>
  <si>
    <t>DT Hino 260</t>
  </si>
  <si>
    <t>DT Hino 261</t>
  </si>
  <si>
    <t>DT Hino 262</t>
  </si>
  <si>
    <t>DT Hino 264</t>
  </si>
  <si>
    <t>DT Hino 268</t>
  </si>
  <si>
    <t>DT Hino 273</t>
  </si>
  <si>
    <t>DT Hino 275</t>
  </si>
  <si>
    <t>DT Hino 285</t>
  </si>
  <si>
    <t>DT Hino 286</t>
  </si>
  <si>
    <t>DT Hino 287</t>
  </si>
  <si>
    <t>DT Hino 288</t>
  </si>
  <si>
    <t>DT Hino 289</t>
  </si>
  <si>
    <t>DT Hino 290</t>
  </si>
  <si>
    <t>DT Hino 293</t>
  </si>
  <si>
    <t>DT Hino 294</t>
  </si>
  <si>
    <t>DT Hino 295</t>
  </si>
  <si>
    <t>DT Hino 296</t>
  </si>
  <si>
    <t>DT Hino 297</t>
  </si>
  <si>
    <t>DT Hino 299</t>
  </si>
  <si>
    <t>DT Hino 301</t>
  </si>
  <si>
    <t>DT Hino 308</t>
  </si>
  <si>
    <t>LV TRITON PUTIH - 28</t>
  </si>
  <si>
    <t>TRUCK TYRE (LT-06)</t>
  </si>
  <si>
    <t>WELDER CAR (LT-07)</t>
  </si>
  <si>
    <t>PC 400 (bcm/hour)</t>
  </si>
  <si>
    <t>(fuel not include in contract)</t>
  </si>
  <si>
    <t>KOMATSU PC 200 - 10</t>
  </si>
  <si>
    <t>FUEL TRUCK - 02</t>
  </si>
  <si>
    <t>last year (2022)</t>
  </si>
  <si>
    <t>SAKAI - 01</t>
  </si>
  <si>
    <t>DT Hino 265</t>
  </si>
  <si>
    <t>DT Hino 271</t>
  </si>
  <si>
    <t>DT Hino 278</t>
  </si>
  <si>
    <t>DT Hino 280</t>
  </si>
  <si>
    <t>DT Hino 283</t>
  </si>
  <si>
    <t>PLAN</t>
  </si>
  <si>
    <t>ACTUAL</t>
  </si>
  <si>
    <t>ACH %</t>
  </si>
  <si>
    <t>OVERBURDEN REMOVAL</t>
  </si>
  <si>
    <t>FUEL RATIO OVERALL (L/Ton)</t>
  </si>
  <si>
    <t>days</t>
  </si>
  <si>
    <t>hours</t>
  </si>
  <si>
    <t>PA</t>
  </si>
  <si>
    <t>PHYSICHAL AVAILIBILITY</t>
  </si>
  <si>
    <t>COST ITEM / TON ORE</t>
  </si>
  <si>
    <t>SUMMARY BDM BLOK 8 NAKULA</t>
  </si>
  <si>
    <t>ACH % ORE MINING</t>
  </si>
  <si>
    <t>ACH % OVERBURDEN</t>
  </si>
  <si>
    <t>ACH % QUARRY</t>
  </si>
  <si>
    <t>ACH % FUEL RATIO</t>
  </si>
  <si>
    <t>ACH % FUEL CONSUMPTION</t>
  </si>
  <si>
    <t>April 2023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</si>
  <si>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(APRIL)</t>
    </r>
  </si>
  <si>
    <t>DT Hino 266</t>
  </si>
  <si>
    <t>DT Hino 282</t>
  </si>
  <si>
    <t>DT Hino 292</t>
  </si>
  <si>
    <t>DT Hino 302</t>
  </si>
  <si>
    <t>DT Hino 304</t>
  </si>
  <si>
    <t>LV HILUX MERAH - 06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</si>
</sst>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5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4" fillId="0" borderId="0" xfId="2" applyNumberFormat="1" applyFont="1" applyBorder="1" applyAlignment="1">
      <alignment vertical="center"/>
    </xf>
    <xf numFmtId="170" fontId="34" fillId="0" borderId="0" xfId="0" applyNumberFormat="1" applyFont="1" applyAlignment="1">
      <alignment horizontal="center" vertical="center"/>
    </xf>
    <xf numFmtId="173" fontId="34" fillId="0" borderId="0" xfId="2" applyNumberFormat="1" applyFont="1" applyAlignment="1">
      <alignment horizontal="center" vertical="center"/>
    </xf>
    <xf numFmtId="169" fontId="34" fillId="0" borderId="0" xfId="3" applyNumberFormat="1" applyFont="1" applyBorder="1" applyAlignment="1">
      <alignment vertical="center"/>
    </xf>
    <xf numFmtId="169" fontId="34" fillId="0" borderId="0" xfId="13" applyNumberFormat="1" applyFont="1" applyAlignment="1">
      <alignment vertical="center"/>
    </xf>
    <xf numFmtId="169" fontId="34" fillId="0" borderId="0" xfId="13" applyNumberFormat="1" applyFont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165" fontId="34" fillId="0" borderId="0" xfId="2" applyFont="1" applyAlignment="1">
      <alignment horizontal="center" vertical="center"/>
    </xf>
    <xf numFmtId="0" fontId="34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69" fontId="37" fillId="0" borderId="0" xfId="13" applyNumberFormat="1" applyFont="1" applyAlignment="1">
      <alignment horizontal="center"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5" borderId="0" xfId="0" quotePrefix="1" applyFont="1" applyFill="1" applyAlignment="1">
      <alignment horizontal="center" vertical="center"/>
    </xf>
    <xf numFmtId="0" fontId="40" fillId="5" borderId="0" xfId="0" applyFont="1" applyFill="1" applyAlignment="1">
      <alignment horizontal="center" vertical="center"/>
    </xf>
    <xf numFmtId="0" fontId="39" fillId="12" borderId="0" xfId="0" applyFont="1" applyFill="1" applyAlignment="1">
      <alignment horizontal="center" vertical="center"/>
    </xf>
    <xf numFmtId="43" fontId="41" fillId="12" borderId="0" xfId="0" applyNumberFormat="1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9" fillId="13" borderId="0" xfId="0" applyFont="1" applyFill="1" applyAlignment="1">
      <alignment horizontal="center" vertical="center"/>
    </xf>
    <xf numFmtId="43" fontId="41" fillId="13" borderId="0" xfId="0" applyNumberFormat="1" applyFont="1" applyFill="1" applyAlignment="1">
      <alignment horizontal="center" vertical="center"/>
    </xf>
    <xf numFmtId="0" fontId="39" fillId="4" borderId="0" xfId="0" applyFont="1" applyFill="1" applyAlignment="1">
      <alignment horizontal="center" vertical="center"/>
    </xf>
    <xf numFmtId="43" fontId="41" fillId="4" borderId="0" xfId="0" applyNumberFormat="1" applyFont="1" applyFill="1" applyAlignment="1">
      <alignment horizontal="center" vertical="center"/>
    </xf>
    <xf numFmtId="43" fontId="41" fillId="0" borderId="0" xfId="0" applyNumberFormat="1" applyFont="1" applyAlignment="1">
      <alignment horizontal="center" vertical="center"/>
    </xf>
    <xf numFmtId="170" fontId="41" fillId="0" borderId="0" xfId="0" applyNumberFormat="1" applyFont="1" applyAlignment="1">
      <alignment horizontal="center" vertical="center"/>
    </xf>
    <xf numFmtId="170" fontId="42" fillId="5" borderId="0" xfId="0" applyNumberFormat="1" applyFont="1" applyFill="1" applyAlignment="1">
      <alignment horizontal="center" vertical="center"/>
    </xf>
    <xf numFmtId="9" fontId="41" fillId="0" borderId="0" xfId="3" applyFont="1" applyAlignment="1">
      <alignment horizontal="center" vertical="center"/>
    </xf>
    <xf numFmtId="4" fontId="41" fillId="0" borderId="0" xfId="0" applyNumberFormat="1" applyFont="1" applyAlignment="1">
      <alignment horizontal="center" vertical="center"/>
    </xf>
    <xf numFmtId="0" fontId="40" fillId="14" borderId="0" xfId="0" applyFont="1" applyFill="1" applyAlignment="1">
      <alignment horizontal="center" vertical="center"/>
    </xf>
    <xf numFmtId="169" fontId="42" fillId="14" borderId="0" xfId="2" applyNumberFormat="1" applyFont="1" applyFill="1" applyAlignment="1">
      <alignment horizontal="center" vertical="center"/>
    </xf>
    <xf numFmtId="0" fontId="40" fillId="15" borderId="0" xfId="0" applyFont="1" applyFill="1" applyAlignment="1">
      <alignment horizontal="center" vertical="center"/>
    </xf>
    <xf numFmtId="9" fontId="42" fillId="15" borderId="0" xfId="3" applyFont="1" applyFill="1" applyAlignment="1">
      <alignment horizontal="center" vertical="center"/>
    </xf>
    <xf numFmtId="9" fontId="40" fillId="15" borderId="0" xfId="3" applyFont="1" applyFill="1" applyAlignment="1">
      <alignment horizontal="center" vertical="center"/>
    </xf>
    <xf numFmtId="0" fontId="43" fillId="16" borderId="0" xfId="0" applyFont="1" applyFill="1" applyAlignment="1">
      <alignment horizontal="center" vertical="center"/>
    </xf>
    <xf numFmtId="43" fontId="44" fillId="16" borderId="0" xfId="1" applyFont="1" applyFill="1" applyAlignment="1">
      <alignment horizontal="center" vertical="center"/>
    </xf>
    <xf numFmtId="43" fontId="39" fillId="12" borderId="0" xfId="0" applyNumberFormat="1" applyFont="1" applyFill="1" applyAlignment="1">
      <alignment horizontal="center" vertical="center"/>
    </xf>
    <xf numFmtId="43" fontId="39" fillId="13" borderId="0" xfId="0" applyNumberFormat="1" applyFont="1" applyFill="1" applyAlignment="1">
      <alignment horizontal="center" vertical="center"/>
    </xf>
    <xf numFmtId="43" fontId="39" fillId="4" borderId="0" xfId="0" applyNumberFormat="1" applyFont="1" applyFill="1" applyAlignment="1">
      <alignment horizontal="center" vertical="center"/>
    </xf>
    <xf numFmtId="43" fontId="39" fillId="0" borderId="0" xfId="0" applyNumberFormat="1" applyFont="1" applyAlignment="1">
      <alignment horizontal="center" vertical="center"/>
    </xf>
    <xf numFmtId="170" fontId="39" fillId="0" borderId="0" xfId="0" applyNumberFormat="1" applyFont="1" applyAlignment="1">
      <alignment horizontal="center" vertical="center"/>
    </xf>
    <xf numFmtId="170" fontId="40" fillId="5" borderId="0" xfId="0" applyNumberFormat="1" applyFont="1" applyFill="1" applyAlignment="1">
      <alignment horizontal="center" vertical="center"/>
    </xf>
    <xf numFmtId="43" fontId="43" fillId="16" borderId="0" xfId="1" applyFont="1" applyFill="1" applyAlignment="1">
      <alignment horizontal="center" vertical="center"/>
    </xf>
    <xf numFmtId="9" fontId="39" fillId="0" borderId="0" xfId="3" applyFont="1" applyAlignment="1">
      <alignment horizontal="center" vertical="center"/>
    </xf>
    <xf numFmtId="4" fontId="39" fillId="0" borderId="0" xfId="0" applyNumberFormat="1" applyFont="1" applyAlignment="1">
      <alignment horizontal="center" vertical="center"/>
    </xf>
    <xf numFmtId="169" fontId="40" fillId="14" borderId="0" xfId="2" applyNumberFormat="1" applyFont="1" applyFill="1" applyAlignment="1">
      <alignment horizontal="center" vertical="center"/>
    </xf>
    <xf numFmtId="0" fontId="39" fillId="9" borderId="0" xfId="0" applyFont="1" applyFill="1" applyAlignment="1">
      <alignment horizontal="center" vertical="center"/>
    </xf>
    <xf numFmtId="43" fontId="41" fillId="9" borderId="0" xfId="0" applyNumberFormat="1" applyFont="1" applyFill="1" applyAlignment="1">
      <alignment horizontal="center" vertical="center"/>
    </xf>
    <xf numFmtId="43" fontId="39" fillId="9" borderId="0" xfId="0" applyNumberFormat="1" applyFont="1" applyFill="1" applyAlignment="1">
      <alignment horizontal="center" vertical="center"/>
    </xf>
    <xf numFmtId="165" fontId="40" fillId="14" borderId="0" xfId="2" applyFont="1" applyFill="1" applyAlignment="1">
      <alignment horizontal="center" vertical="center"/>
    </xf>
    <xf numFmtId="165" fontId="42" fillId="14" borderId="0" xfId="2" applyFont="1" applyFill="1" applyAlignment="1">
      <alignment horizontal="center" vertical="center"/>
    </xf>
    <xf numFmtId="165" fontId="41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1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4" fontId="22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47" fillId="5" borderId="0" xfId="0" applyNumberFormat="1" applyFont="1" applyFill="1" applyAlignment="1">
      <alignment horizontal="right" vertical="center"/>
    </xf>
    <xf numFmtId="165" fontId="47" fillId="5" borderId="0" xfId="2" applyFont="1" applyFill="1" applyBorder="1" applyAlignment="1">
      <alignment horizontal="right" vertical="center"/>
    </xf>
    <xf numFmtId="169" fontId="47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5" fillId="5" borderId="0" xfId="0" applyFont="1" applyFill="1" applyAlignment="1">
      <alignment vertical="center"/>
    </xf>
    <xf numFmtId="165" fontId="45" fillId="5" borderId="0" xfId="2" applyFont="1" applyFill="1" applyBorder="1" applyAlignment="1">
      <alignment horizontal="left" vertical="center"/>
    </xf>
    <xf numFmtId="169" fontId="46" fillId="5" borderId="0" xfId="2" applyNumberFormat="1" applyFont="1" applyFill="1" applyBorder="1" applyAlignment="1">
      <alignment horizontal="center" vertical="center"/>
    </xf>
    <xf numFmtId="166" fontId="23" fillId="5" borderId="0" xfId="1" applyNumberFormat="1" applyFont="1" applyFill="1" applyBorder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46" fillId="5" borderId="0" xfId="0" applyFont="1" applyFill="1" applyAlignment="1">
      <alignment horizontal="right" vertical="center"/>
    </xf>
    <xf numFmtId="0" fontId="46" fillId="5" borderId="0" xfId="0" applyFont="1" applyFill="1" applyAlignment="1">
      <alignment vertical="center"/>
    </xf>
    <xf numFmtId="0" fontId="32" fillId="5" borderId="0" xfId="0" applyFont="1" applyFill="1" applyAlignment="1">
      <alignment vertical="center"/>
    </xf>
    <xf numFmtId="0" fontId="33" fillId="5" borderId="0" xfId="0" applyFont="1" applyFill="1" applyAlignment="1">
      <alignment horizontal="right" vertical="center"/>
    </xf>
    <xf numFmtId="169" fontId="32" fillId="5" borderId="0" xfId="2" applyNumberFormat="1" applyFont="1" applyFill="1" applyBorder="1" applyAlignment="1">
      <alignment horizontal="right" vertical="center"/>
    </xf>
    <xf numFmtId="10" fontId="39" fillId="0" borderId="0" xfId="3" applyNumberFormat="1" applyFont="1" applyAlignment="1">
      <alignment horizontal="center" vertical="center"/>
    </xf>
    <xf numFmtId="10" fontId="3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10" fontId="44" fillId="16" borderId="0" xfId="1" applyNumberFormat="1" applyFont="1" applyFill="1" applyAlignment="1">
      <alignment horizontal="center" vertical="center"/>
    </xf>
    <xf numFmtId="10" fontId="43" fillId="16" borderId="0" xfId="3" applyNumberFormat="1" applyFont="1" applyFill="1" applyAlignment="1">
      <alignment horizontal="center" vertical="center"/>
    </xf>
    <xf numFmtId="10" fontId="41" fillId="0" borderId="0" xfId="3" applyNumberFormat="1" applyFont="1" applyFill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0" fillId="5" borderId="5" xfId="1" applyFont="1" applyFill="1" applyBorder="1" applyAlignment="1">
      <alignment vertical="center"/>
    </xf>
    <xf numFmtId="43" fontId="50" fillId="5" borderId="3" xfId="1" applyFont="1" applyFill="1" applyBorder="1" applyAlignment="1">
      <alignment vertical="center"/>
    </xf>
    <xf numFmtId="10" fontId="19" fillId="5" borderId="5" xfId="3" applyNumberFormat="1" applyFont="1" applyFill="1" applyBorder="1" applyAlignment="1">
      <alignment vertical="center"/>
    </xf>
    <xf numFmtId="43" fontId="50" fillId="5" borderId="4" xfId="1" applyFont="1" applyFill="1" applyBorder="1" applyAlignment="1">
      <alignment vertical="center"/>
    </xf>
    <xf numFmtId="43" fontId="50" fillId="5" borderId="0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1" fillId="5" borderId="0" xfId="0" applyFont="1" applyFill="1" applyAlignment="1">
      <alignment horizontal="left" vertical="center"/>
    </xf>
    <xf numFmtId="43" fontId="50" fillId="5" borderId="0" xfId="1" applyFont="1" applyFill="1" applyAlignment="1">
      <alignment vertical="center"/>
    </xf>
    <xf numFmtId="10" fontId="19" fillId="5" borderId="0" xfId="3" applyNumberFormat="1" applyFont="1" applyFill="1" applyBorder="1" applyAlignment="1">
      <alignment vertical="center"/>
    </xf>
    <xf numFmtId="0" fontId="50" fillId="5" borderId="0" xfId="0" applyFont="1" applyFill="1" applyAlignment="1">
      <alignment vertical="center"/>
    </xf>
    <xf numFmtId="171" fontId="50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4" xfId="0" applyFont="1" applyFill="1" applyBorder="1" applyAlignment="1">
      <alignment horizontal="left" vertical="center"/>
    </xf>
    <xf numFmtId="4" fontId="19" fillId="5" borderId="4" xfId="0" applyNumberFormat="1" applyFont="1" applyFill="1" applyBorder="1" applyAlignment="1">
      <alignment vertical="center"/>
    </xf>
    <xf numFmtId="0" fontId="19" fillId="5" borderId="4" xfId="0" applyFont="1" applyFill="1" applyBorder="1" applyAlignment="1">
      <alignment horizontal="right" vertical="center"/>
    </xf>
    <xf numFmtId="43" fontId="50" fillId="5" borderId="4" xfId="0" applyNumberFormat="1" applyFont="1" applyFill="1" applyBorder="1" applyAlignment="1">
      <alignment vertical="center"/>
    </xf>
    <xf numFmtId="0" fontId="17" fillId="5" borderId="4" xfId="0" applyFont="1" applyFill="1" applyBorder="1" applyAlignment="1">
      <alignment horizontal="right" vertical="center"/>
    </xf>
    <xf numFmtId="0" fontId="52" fillId="5" borderId="0" xfId="1" applyNumberFormat="1" applyFont="1" applyFill="1" applyBorder="1" applyAlignment="1">
      <alignment horizontal="left" vertical="center"/>
    </xf>
    <xf numFmtId="43" fontId="0" fillId="0" borderId="0" xfId="0" applyNumberFormat="1" applyAlignment="1">
      <alignment vertical="center"/>
    </xf>
    <xf numFmtId="0" fontId="27" fillId="6" borderId="0" xfId="0" applyFont="1" applyFill="1" applyAlignment="1">
      <alignment horizontal="center" vertical="center"/>
    </xf>
    <xf numFmtId="4" fontId="38" fillId="5" borderId="0" xfId="1" applyNumberFormat="1" applyFont="1" applyFill="1" applyBorder="1" applyAlignment="1">
      <alignment horizontal="right" vertical="center"/>
    </xf>
    <xf numFmtId="0" fontId="38" fillId="5" borderId="0" xfId="0" applyFont="1" applyFill="1" applyAlignment="1">
      <alignment horizontal="center" vertical="center"/>
    </xf>
    <xf numFmtId="165" fontId="23" fillId="5" borderId="0" xfId="2" applyFont="1" applyFill="1" applyAlignment="1">
      <alignment horizontal="center" vertical="center"/>
    </xf>
    <xf numFmtId="0" fontId="30" fillId="5" borderId="0" xfId="0" applyFont="1" applyFill="1" applyAlignment="1">
      <alignment horizontal="center" vertical="center"/>
    </xf>
    <xf numFmtId="169" fontId="32" fillId="5" borderId="0" xfId="2" applyNumberFormat="1" applyFont="1" applyFill="1" applyBorder="1" applyAlignment="1">
      <alignment horizontal="center" vertical="center"/>
    </xf>
    <xf numFmtId="165" fontId="32" fillId="5" borderId="0" xfId="2" applyFont="1" applyFill="1" applyBorder="1" applyAlignment="1">
      <alignment horizontal="center" vertical="center"/>
    </xf>
    <xf numFmtId="169" fontId="45" fillId="5" borderId="0" xfId="2" applyNumberFormat="1" applyFont="1" applyFill="1" applyBorder="1" applyAlignment="1">
      <alignment horizontal="center" vertical="center"/>
    </xf>
    <xf numFmtId="165" fontId="45" fillId="5" borderId="0" xfId="2" applyFont="1" applyFill="1" applyBorder="1" applyAlignment="1">
      <alignment horizontal="center" vertical="center"/>
    </xf>
    <xf numFmtId="165" fontId="53" fillId="5" borderId="0" xfId="2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165" fontId="23" fillId="5" borderId="0" xfId="2" applyFont="1" applyFill="1" applyBorder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172" fontId="18" fillId="17" borderId="0" xfId="0" quotePrefix="1" applyNumberFormat="1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165" fontId="31" fillId="10" borderId="0" xfId="0" applyNumberFormat="1" applyFont="1" applyFill="1" applyAlignment="1">
      <alignment horizontal="center" vertical="center"/>
    </xf>
    <xf numFmtId="0" fontId="31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</cellXfs>
  <cellStyles count="25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Currency 5" xfId="24" xr:uid="{BC37C665-CE6D-4B05-862B-0B30F6BBC98A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MTD'!$C$3:$N$3</c:f>
              <c:numCache>
                <c:formatCode>_(* #,##0.00_);_(* \(#,##0.00\);_(* "-"??_);_(@_)</c:formatCode>
                <c:ptCount val="12"/>
                <c:pt idx="0">
                  <c:v>23545.18</c:v>
                </c:pt>
                <c:pt idx="1">
                  <c:v>29931.979999999996</c:v>
                </c:pt>
                <c:pt idx="2">
                  <c:v>18697.04</c:v>
                </c:pt>
                <c:pt idx="3">
                  <c:v>18697.04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64719.619999999995</c:v>
                </c:pt>
                <c:pt idx="1">
                  <c:v>76341.759999999995</c:v>
                </c:pt>
                <c:pt idx="2">
                  <c:v>71048.760000000009</c:v>
                </c:pt>
                <c:pt idx="3">
                  <c:v>71048.760000000009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MTD'!$C$6:$N$6</c:f>
              <c:numCache>
                <c:formatCode>_(* #,##0.00_);_(* \(#,##0.00\);_(* "-"??_);_(@_)</c:formatCode>
                <c:ptCount val="12"/>
                <c:pt idx="0">
                  <c:v>0.36380281590034058</c:v>
                </c:pt>
                <c:pt idx="1">
                  <c:v>0.39207872598169075</c:v>
                </c:pt>
                <c:pt idx="2">
                  <c:v>0.26315786510559785</c:v>
                </c:pt>
                <c:pt idx="3">
                  <c:v>0.26315786510559785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MTD'!$C$17:$N$17</c:f>
              <c:numCache>
                <c:formatCode>_-[$Rp-3809]* #,##0.00_-;\-[$Rp-3809]* #,##0.00_-;_-[$Rp-3809]* "-"??_-;_-@_-</c:formatCode>
                <c:ptCount val="12"/>
                <c:pt idx="0">
                  <c:v>4028785747.1515021</c:v>
                </c:pt>
                <c:pt idx="1">
                  <c:v>4686612138.4179249</c:v>
                </c:pt>
                <c:pt idx="2">
                  <c:v>4787111618.3285179</c:v>
                </c:pt>
                <c:pt idx="3">
                  <c:v>5026141793.8723221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MTD'!$C$18:$N$18</c:f>
              <c:numCache>
                <c:formatCode>_-[$Rp-3809]* #,##0.00_-;\-[$Rp-3809]* #,##0.00_-;_-[$Rp-3809]* "-"??_-;_-@_-</c:formatCode>
                <c:ptCount val="12"/>
                <c:pt idx="0">
                  <c:v>7687655342.0799999</c:v>
                </c:pt>
                <c:pt idx="1">
                  <c:v>9068179619.8400002</c:v>
                </c:pt>
                <c:pt idx="2">
                  <c:v>8439455907.8400011</c:v>
                </c:pt>
                <c:pt idx="3">
                  <c:v>6729864314.8799992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MTD'!$C$21:$N$21</c:f>
              <c:numCache>
                <c:formatCode>0%</c:formatCode>
                <c:ptCount val="12"/>
                <c:pt idx="0">
                  <c:v>0.47594089902819975</c:v>
                </c:pt>
                <c:pt idx="1">
                  <c:v>0.48318049102553884</c:v>
                </c:pt>
                <c:pt idx="2">
                  <c:v>0.43277011331009679</c:v>
                </c:pt>
                <c:pt idx="3">
                  <c:v>0.25315852464375521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MTD'!$C$27:$N$27</c:f>
              <c:numCache>
                <c:formatCode>#,##0.00</c:formatCode>
                <c:ptCount val="12"/>
                <c:pt idx="0">
                  <c:v>131810</c:v>
                </c:pt>
                <c:pt idx="1">
                  <c:v>153187.8031256058</c:v>
                </c:pt>
                <c:pt idx="2">
                  <c:v>145293</c:v>
                </c:pt>
                <c:pt idx="3">
                  <c:v>117279.33802816902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64719.619999999995</c:v>
                </c:pt>
                <c:pt idx="1">
                  <c:v>76341.759999999995</c:v>
                </c:pt>
                <c:pt idx="2">
                  <c:v>71048.760000000009</c:v>
                </c:pt>
                <c:pt idx="3">
                  <c:v>71048.760000000009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MTD'!$C$22:$N$22</c:f>
              <c:numCache>
                <c:formatCode>_(* #,##0.00_);_(* \(#,##0.00\);_(* "-"??_);_(@_)</c:formatCode>
                <c:ptCount val="12"/>
                <c:pt idx="0">
                  <c:v>2.0366312410363352</c:v>
                </c:pt>
                <c:pt idx="1">
                  <c:v>2.0066055999443266</c:v>
                </c:pt>
                <c:pt idx="2">
                  <c:v>2.0449758729075636</c:v>
                </c:pt>
                <c:pt idx="3">
                  <c:v>1.6506880349237483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MTD'!$C$30:$N$30</c:f>
              <c:numCache>
                <c:formatCode>_([$$-409]* #,##0.00_);_([$$-409]* \(#,##0.00\);_([$$-409]* "-"??_);_(@_)</c:formatCode>
                <c:ptCount val="12"/>
                <c:pt idx="0">
                  <c:v>4.1924728077744016</c:v>
                </c:pt>
                <c:pt idx="1">
                  <c:v>4.1345560717956893</c:v>
                </c:pt>
                <c:pt idx="2">
                  <c:v>4.5378390935192261</c:v>
                </c:pt>
                <c:pt idx="3">
                  <c:v>5.9747318028499583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MTD'!$C$7:$N$7</c:f>
              <c:numCache>
                <c:formatCode>0.00%</c:formatCode>
                <c:ptCount val="12"/>
                <c:pt idx="0">
                  <c:v>0.84908269622145682</c:v>
                </c:pt>
                <c:pt idx="1">
                  <c:v>1.035658101803042</c:v>
                </c:pt>
                <c:pt idx="2">
                  <c:v>0.39127206136036835</c:v>
                </c:pt>
                <c:pt idx="3">
                  <c:v>0.39127206136036835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MTD'!$C$8:$N$8</c:f>
              <c:numCache>
                <c:formatCode>0.00%</c:formatCode>
                <c:ptCount val="12"/>
                <c:pt idx="0">
                  <c:v>1.1800244320460924</c:v>
                </c:pt>
                <c:pt idx="1">
                  <c:v>1.0641843667922801</c:v>
                </c:pt>
                <c:pt idx="2">
                  <c:v>0.81724145889208089</c:v>
                </c:pt>
                <c:pt idx="3">
                  <c:v>0.81724145889208089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MTD'!$C$9:$N$9</c:f>
              <c:numCache>
                <c:formatCode>0.00%</c:formatCode>
                <c:ptCount val="12"/>
                <c:pt idx="0">
                  <c:v>8.9735099859968484E-2</c:v>
                </c:pt>
                <c:pt idx="1">
                  <c:v>7.4688396108511593E-2</c:v>
                </c:pt>
                <c:pt idx="2">
                  <c:v>1.3207330843037188</c:v>
                </c:pt>
                <c:pt idx="3">
                  <c:v>1.3207330843037188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MTD'!$C$23:$N$23</c:f>
              <c:numCache>
                <c:formatCode>0.00%</c:formatCode>
                <c:ptCount val="12"/>
                <c:pt idx="0">
                  <c:v>1.0409346362187997</c:v>
                </c:pt>
                <c:pt idx="1">
                  <c:v>0.96680683042737714</c:v>
                </c:pt>
                <c:pt idx="2">
                  <c:v>1.0652538625179695</c:v>
                </c:pt>
                <c:pt idx="3">
                  <c:v>1.0677308600294704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74F-9A30-FE87E628C430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MTD'!$C$28:$N$28</c:f>
              <c:numCache>
                <c:formatCode>0.00%</c:formatCode>
                <c:ptCount val="12"/>
                <c:pt idx="0">
                  <c:v>0.8822540778393142</c:v>
                </c:pt>
                <c:pt idx="1">
                  <c:v>0.90920737263787432</c:v>
                </c:pt>
                <c:pt idx="2">
                  <c:v>1.3034750634923911</c:v>
                </c:pt>
                <c:pt idx="3">
                  <c:v>1.3589440175874787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74F-9A30-FE87E628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254121</xdr:colOff>
      <xdr:row>4</xdr:row>
      <xdr:rowOff>46084</xdr:rowOff>
    </xdr:from>
    <xdr:to>
      <xdr:col>9</xdr:col>
      <xdr:colOff>912706</xdr:colOff>
      <xdr:row>6</xdr:row>
      <xdr:rowOff>91728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7848B-DEC2-46E5-B83C-4AE07004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814" b="93605" l="6667" r="94815">
                      <a14:foregroundMark x1="23704" y1="22093" x2="23704" y2="22093"/>
                      <a14:foregroundMark x1="36667" y1="45349" x2="36667" y2="45349"/>
                      <a14:foregroundMark x1="42222" y1="61628" x2="42222" y2="61628"/>
                      <a14:foregroundMark x1="55926" y1="28488" x2="55926" y2="28488"/>
                      <a14:foregroundMark x1="68889" y1="11628" x2="68889" y2="11628"/>
                      <a14:foregroundMark x1="41852" y1="38372" x2="41852" y2="38372"/>
                      <a14:foregroundMark x1="8148" y1="87209" x2="8148" y2="87209"/>
                      <a14:foregroundMark x1="7407" y1="94767" x2="7407" y2="94767"/>
                      <a14:foregroundMark x1="60741" y1="27326" x2="60741" y2="27326"/>
                      <a14:foregroundMark x1="80370" y1="13372" x2="80370" y2="13372"/>
                      <a14:foregroundMark x1="84815" y1="11047" x2="84815" y2="11047"/>
                      <a14:foregroundMark x1="93333" y1="6395" x2="93333" y2="6395"/>
                      <a14:foregroundMark x1="94815" y1="5814" x2="94815" y2="5814"/>
                    </a14:backgroundRemoval>
                  </a14:imgEffect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01" y="777604"/>
          <a:ext cx="658585" cy="419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31</xdr:row>
      <xdr:rowOff>0</xdr:rowOff>
    </xdr:from>
    <xdr:to>
      <xdr:col>7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1021080</xdr:colOff>
      <xdr:row>31</xdr:row>
      <xdr:rowOff>0</xdr:rowOff>
    </xdr:from>
    <xdr:to>
      <xdr:col>11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640080</xdr:colOff>
      <xdr:row>31</xdr:row>
      <xdr:rowOff>0</xdr:rowOff>
    </xdr:from>
    <xdr:to>
      <xdr:col>14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22859</xdr:colOff>
      <xdr:row>49</xdr:row>
      <xdr:rowOff>13124</xdr:rowOff>
    </xdr:from>
    <xdr:to>
      <xdr:col>8</xdr:col>
      <xdr:colOff>575733</xdr:colOff>
      <xdr:row>66</xdr:row>
      <xdr:rowOff>24554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36050-DE2C-FC1C-D098-18B1B8F4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ambang\Laporan%20Produksi\Report_2021\CV_APP\cost%20production%20report%20APP\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7" totalsRowShown="0" headerRowDxfId="26" dataDxfId="25">
  <autoFilter ref="A3:K27" xr:uid="{C21316D5-582A-4B4E-924D-E90E6148CE3A}"/>
  <tableColumns count="11">
    <tableColumn id="1" xr3:uid="{5C4A96E9-13BF-420C-8C4F-2824DDA0EEA6}" name="NO" dataDxfId="24"/>
    <tableColumn id="2" xr3:uid="{A30811DE-1B25-4EA9-BFF9-9FCB5EAB9D3F}" name="UNIT" dataDxfId="23"/>
    <tableColumn id="3" xr3:uid="{90FFD443-AE37-456F-9D47-036A2B58CD4C}" name="Ltr/Hr" dataDxfId="22"/>
    <tableColumn id="4" xr3:uid="{FF157741-D8C7-41B9-A25C-31DBC7DCD9C7}" name="Rent/Hr" dataDxfId="21"/>
    <tableColumn id="5" xr3:uid="{232C8140-C725-4045-BAD7-6F91599E87EB}" name="Column1" dataDxfId="20"/>
    <tableColumn id="6" xr3:uid="{0367BD61-51E8-463C-8438-0A60CD60EFB1}" name="Column2" dataDxfId="19"/>
    <tableColumn id="7" xr3:uid="{E9FE6373-CA0C-4E51-A94D-4927FFF53E43}" name="Description" dataDxfId="18"/>
    <tableColumn id="9" xr3:uid="{D9F902DE-079B-4658-A26E-089747F06395}" name="Column4" dataDxfId="17"/>
    <tableColumn id="10" xr3:uid="{C56AEA91-38B0-4BB8-AA04-C3D1091FE881}" name="Column5" dataDxfId="16"/>
    <tableColumn id="11" xr3:uid="{56B66294-CCAF-4FC8-87AE-3080125B8E07}" name="Column6" dataDxfId="15"/>
    <tableColumn id="8" xr3:uid="{C1445579-8B84-4BA2-886C-BC0FD60B2383}" name="Column7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0:C35" totalsRowShown="0" headerRowDxfId="13" dataDxfId="11" headerRowBorderDxfId="12">
  <autoFilter ref="A30:C35" xr:uid="{964D139A-6BF5-4B3E-8719-4E4AEEB109EA}"/>
  <tableColumns count="3">
    <tableColumn id="1" xr3:uid="{821CC7F3-E8BB-4F1A-8856-A803DAEEAAE2}" name="NO" dataDxfId="10"/>
    <tableColumn id="2" xr3:uid="{9511BAF7-5327-483F-B8B9-37B18C6674E9}" name="UNIT" dataDxfId="9"/>
    <tableColumn id="3" xr3:uid="{8A5D4DB1-E8BE-4B48-8CB1-50DF43EA00D2}" name="$ / KM" dataDxfId="8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L39"/>
  <sheetViews>
    <sheetView tabSelected="1" zoomScale="85" zoomScaleNormal="85" workbookViewId="0">
      <selection activeCell="O22" sqref="O22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2" ht="19.95" customHeight="1" x14ac:dyDescent="0.3">
      <c r="B2" s="168" t="s">
        <v>355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</row>
    <row r="3" spans="2:12" ht="19.95" customHeight="1" x14ac:dyDescent="0.3"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</row>
    <row r="4" spans="2:12" x14ac:dyDescent="0.3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15" customHeight="1" x14ac:dyDescent="0.3">
      <c r="B5" s="107"/>
      <c r="C5" s="180" t="s">
        <v>348</v>
      </c>
      <c r="D5" s="182" t="s">
        <v>354</v>
      </c>
      <c r="E5" s="182"/>
      <c r="F5" s="182"/>
      <c r="G5" s="107"/>
      <c r="H5" s="181" t="s">
        <v>300</v>
      </c>
      <c r="I5" s="181"/>
      <c r="J5" s="181"/>
      <c r="K5" s="107"/>
      <c r="L5" s="107"/>
    </row>
    <row r="6" spans="2:12" ht="14.4" customHeight="1" x14ac:dyDescent="0.3">
      <c r="B6" s="107"/>
      <c r="C6" s="180"/>
      <c r="D6" s="182"/>
      <c r="E6" s="182"/>
      <c r="F6" s="182"/>
      <c r="G6" s="107"/>
      <c r="H6" s="181"/>
      <c r="I6" s="181"/>
      <c r="J6" s="181"/>
      <c r="K6" s="107"/>
      <c r="L6" s="107"/>
    </row>
    <row r="7" spans="2:12" ht="14.4" customHeight="1" x14ac:dyDescent="0.3">
      <c r="B7" s="107"/>
      <c r="C7" s="180"/>
      <c r="D7" s="182"/>
      <c r="E7" s="182"/>
      <c r="F7" s="182"/>
      <c r="G7" s="107"/>
      <c r="H7" s="181"/>
      <c r="I7" s="181"/>
      <c r="J7" s="181"/>
      <c r="K7" s="107"/>
      <c r="L7" s="107"/>
    </row>
    <row r="8" spans="2:12" ht="15.6" x14ac:dyDescent="0.3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2" ht="15.6" x14ac:dyDescent="0.3">
      <c r="B9" s="107"/>
      <c r="C9" s="107"/>
      <c r="D9" s="145" t="s">
        <v>338</v>
      </c>
      <c r="E9" s="146" t="s">
        <v>339</v>
      </c>
      <c r="F9" s="145" t="s">
        <v>340</v>
      </c>
      <c r="G9" s="107"/>
      <c r="H9" s="109" t="s">
        <v>73</v>
      </c>
      <c r="I9" s="109"/>
      <c r="J9" s="115">
        <v>30</v>
      </c>
      <c r="K9" s="112" t="s">
        <v>343</v>
      </c>
      <c r="L9" s="107"/>
    </row>
    <row r="10" spans="2:12" ht="15.6" x14ac:dyDescent="0.3">
      <c r="B10" s="107"/>
      <c r="C10" s="109" t="s">
        <v>341</v>
      </c>
      <c r="D10" s="147">
        <v>41511.782400000004</v>
      </c>
      <c r="E10" s="148">
        <v>27308.81</v>
      </c>
      <c r="F10" s="149">
        <f>E10/D10</f>
        <v>0.65785684018231894</v>
      </c>
      <c r="G10" s="107"/>
      <c r="H10" s="109" t="s">
        <v>74</v>
      </c>
      <c r="I10" s="109"/>
      <c r="J10" s="115">
        <f>9*J9</f>
        <v>270</v>
      </c>
      <c r="K10" s="112" t="s">
        <v>344</v>
      </c>
      <c r="L10" s="107"/>
    </row>
    <row r="11" spans="2:12" ht="15.6" x14ac:dyDescent="0.3">
      <c r="B11" s="107"/>
      <c r="C11" s="109" t="s">
        <v>75</v>
      </c>
      <c r="D11" s="150">
        <v>86937.29280000001</v>
      </c>
      <c r="E11" s="151">
        <f>'REPORT unit DT HAUL'!D40</f>
        <v>56656.319999999992</v>
      </c>
      <c r="F11" s="152">
        <f t="shared" ref="F11:F12" si="0">E11/D11</f>
        <v>0.65169179043035474</v>
      </c>
      <c r="G11" s="107"/>
      <c r="H11" s="109" t="s">
        <v>346</v>
      </c>
      <c r="I11" s="111"/>
      <c r="J11" s="153">
        <v>0.85</v>
      </c>
      <c r="K11" s="112" t="s">
        <v>345</v>
      </c>
      <c r="L11" s="107"/>
    </row>
    <row r="12" spans="2:12" ht="15.6" x14ac:dyDescent="0.3">
      <c r="B12" s="107"/>
      <c r="C12" s="109" t="s">
        <v>181</v>
      </c>
      <c r="D12" s="150">
        <v>4981.413888</v>
      </c>
      <c r="E12" s="151">
        <v>7992.67</v>
      </c>
      <c r="F12" s="152">
        <f t="shared" si="0"/>
        <v>1.6044982769357872</v>
      </c>
      <c r="G12" s="107"/>
      <c r="H12" s="109"/>
      <c r="I12" s="111"/>
      <c r="J12" s="153"/>
      <c r="K12" s="112"/>
      <c r="L12" s="107"/>
    </row>
    <row r="13" spans="2:12" ht="15.6" x14ac:dyDescent="0.3">
      <c r="B13" s="107"/>
      <c r="C13" s="109" t="s">
        <v>77</v>
      </c>
      <c r="D13" s="150">
        <v>0.57568279177152493</v>
      </c>
      <c r="E13" s="151">
        <f>E10/E11</f>
        <v>0.48200818549457508</v>
      </c>
      <c r="F13" s="152">
        <f>D13/E13</f>
        <v>1.1943423557855828</v>
      </c>
      <c r="G13" s="107"/>
      <c r="H13" s="109" t="s">
        <v>85</v>
      </c>
      <c r="I13" s="112"/>
      <c r="J13" s="154">
        <v>0</v>
      </c>
      <c r="K13" s="154"/>
      <c r="L13" s="107"/>
    </row>
    <row r="14" spans="2:12" ht="15.6" x14ac:dyDescent="0.3">
      <c r="B14" s="107"/>
      <c r="C14" s="109" t="s">
        <v>342</v>
      </c>
      <c r="D14" s="150">
        <v>2.2102171206408023</v>
      </c>
      <c r="E14" s="151">
        <f>J18/E11</f>
        <v>2.0700133370499363</v>
      </c>
      <c r="F14" s="152">
        <f>D14/E14</f>
        <v>1.0677308600294704</v>
      </c>
      <c r="G14" s="107"/>
      <c r="H14" s="155" t="s">
        <v>328</v>
      </c>
      <c r="I14" s="112"/>
      <c r="J14" s="110"/>
      <c r="K14" s="107"/>
      <c r="L14" s="107"/>
    </row>
    <row r="15" spans="2:12" ht="15.6" x14ac:dyDescent="0.3">
      <c r="B15" s="107"/>
      <c r="C15" s="109"/>
      <c r="D15" s="156"/>
      <c r="E15" s="151"/>
      <c r="F15" s="157"/>
      <c r="G15" s="107"/>
      <c r="H15" s="155"/>
      <c r="I15" s="112"/>
      <c r="J15" s="110"/>
      <c r="K15" s="107"/>
      <c r="L15" s="107"/>
    </row>
    <row r="16" spans="2:12" ht="7.95" customHeight="1" x14ac:dyDescent="0.3">
      <c r="B16" s="107"/>
      <c r="C16" s="109"/>
      <c r="D16" s="156"/>
      <c r="E16" s="151"/>
      <c r="F16" s="157"/>
      <c r="G16" s="107"/>
      <c r="H16" s="155"/>
      <c r="I16" s="112"/>
      <c r="J16" s="110"/>
      <c r="K16" s="107"/>
      <c r="L16" s="107"/>
    </row>
    <row r="17" spans="2:12" ht="15.6" x14ac:dyDescent="0.3">
      <c r="B17" s="107"/>
      <c r="C17" s="109" t="s">
        <v>327</v>
      </c>
      <c r="D17" s="158"/>
      <c r="E17" s="159"/>
      <c r="F17" s="157"/>
      <c r="G17" s="107"/>
      <c r="H17" s="178" t="s">
        <v>139</v>
      </c>
      <c r="I17" s="161" t="s">
        <v>338</v>
      </c>
      <c r="J17" s="162">
        <v>159376.05479999998</v>
      </c>
      <c r="K17" s="163" t="s">
        <v>140</v>
      </c>
      <c r="L17" s="115"/>
    </row>
    <row r="18" spans="2:12" ht="15.6" x14ac:dyDescent="0.3">
      <c r="B18" s="107"/>
      <c r="C18" s="109" t="s">
        <v>163</v>
      </c>
      <c r="D18" s="164">
        <v>348.14</v>
      </c>
      <c r="E18" s="151">
        <f>(E10+E12)/AVERAGE('REPORT unit OB'!D8:D16)</f>
        <v>497.20394366197189</v>
      </c>
      <c r="F18" s="152">
        <f t="shared" ref="F18" si="1">E18/D18</f>
        <v>1.4281724124259547</v>
      </c>
      <c r="G18" s="107"/>
      <c r="H18" s="178"/>
      <c r="I18" s="161" t="s">
        <v>339</v>
      </c>
      <c r="J18" s="162">
        <f>'REPORT unit OB'!G22+'REPORT unit QUARRY'!G18+'REPORT unit DEVELOP'!G12+'REPORT unit ORE GETTING'!G19+'REPORT unit DT HAUL'!H40+'REPORT unit LV &amp; support'!E14</f>
        <v>117279.33802816902</v>
      </c>
      <c r="K18" s="165" t="s">
        <v>140</v>
      </c>
      <c r="L18" s="107"/>
    </row>
    <row r="19" spans="2:12" ht="15.6" x14ac:dyDescent="0.3">
      <c r="B19" s="107"/>
      <c r="C19" s="109"/>
      <c r="D19" s="109"/>
      <c r="E19" s="113"/>
      <c r="F19" s="107"/>
      <c r="G19" s="107"/>
      <c r="H19" s="178"/>
      <c r="I19" s="161" t="s">
        <v>340</v>
      </c>
      <c r="J19" s="152">
        <f>J17/J18</f>
        <v>1.3589440175874787</v>
      </c>
      <c r="K19" s="165"/>
      <c r="L19" s="107"/>
    </row>
    <row r="20" spans="2:12" ht="7.95" customHeight="1" x14ac:dyDescent="0.3">
      <c r="B20" s="107"/>
      <c r="C20" s="109"/>
      <c r="D20" s="109"/>
      <c r="E20" s="113"/>
      <c r="F20" s="107"/>
      <c r="G20" s="107"/>
      <c r="H20" s="160"/>
      <c r="I20" s="115"/>
      <c r="J20" s="118"/>
      <c r="K20" s="112"/>
      <c r="L20" s="107"/>
    </row>
    <row r="21" spans="2:12" ht="17.399999999999999" x14ac:dyDescent="0.3">
      <c r="B21" s="107"/>
      <c r="C21" s="116" t="s">
        <v>169</v>
      </c>
      <c r="D21" s="116"/>
      <c r="E21" s="117"/>
      <c r="F21" s="107"/>
      <c r="G21" s="107"/>
      <c r="H21" s="166" t="s">
        <v>347</v>
      </c>
      <c r="I21" s="112"/>
      <c r="J21" s="118"/>
      <c r="K21" s="107"/>
      <c r="L21" s="107"/>
    </row>
    <row r="22" spans="2:12" ht="15.6" x14ac:dyDescent="0.3">
      <c r="B22" s="107"/>
      <c r="C22" s="119" t="s">
        <v>170</v>
      </c>
      <c r="D22" s="177">
        <f>'REPORT unit OB'!J22</f>
        <v>1103086793.8723218</v>
      </c>
      <c r="E22" s="177"/>
      <c r="F22" s="177"/>
      <c r="G22" s="107"/>
      <c r="H22" s="109" t="s">
        <v>179</v>
      </c>
      <c r="I22" s="121">
        <f>J22/$J$30</f>
        <v>0.21946989144181381</v>
      </c>
      <c r="J22" s="122">
        <f>D22/E11</f>
        <v>19469.792493976347</v>
      </c>
      <c r="K22" s="123">
        <f>J22/$J$32</f>
        <v>1.3112737401654329</v>
      </c>
      <c r="L22" s="123"/>
    </row>
    <row r="23" spans="2:12" ht="15.6" x14ac:dyDescent="0.3">
      <c r="B23" s="107"/>
      <c r="C23" s="119" t="s">
        <v>171</v>
      </c>
      <c r="D23" s="177">
        <f>'REPORT unit QUARRY'!J18</f>
        <v>446450000</v>
      </c>
      <c r="E23" s="177"/>
      <c r="F23" s="177"/>
      <c r="G23" s="107"/>
      <c r="H23" s="109" t="s">
        <v>180</v>
      </c>
      <c r="I23" s="121">
        <f t="shared" ref="I23:I27" si="2">J23/$J$30</f>
        <v>8.8825587957803862E-2</v>
      </c>
      <c r="J23" s="122">
        <f>D23/E11</f>
        <v>7879.9682012527473</v>
      </c>
      <c r="K23" s="123">
        <f t="shared" ref="K23:K27" si="3">J23/$J$32</f>
        <v>0.53070906527833694</v>
      </c>
      <c r="L23" s="123"/>
    </row>
    <row r="24" spans="2:12" ht="15.6" x14ac:dyDescent="0.3">
      <c r="B24" s="107"/>
      <c r="C24" s="119" t="s">
        <v>172</v>
      </c>
      <c r="D24" s="177">
        <f>'REPORT unit DEVELOP'!J12</f>
        <v>0</v>
      </c>
      <c r="E24" s="177"/>
      <c r="F24" s="177"/>
      <c r="G24" s="107"/>
      <c r="H24" s="109" t="s">
        <v>175</v>
      </c>
      <c r="I24" s="121">
        <f t="shared" si="2"/>
        <v>0</v>
      </c>
      <c r="J24" s="122">
        <f>D24/E11</f>
        <v>0</v>
      </c>
      <c r="K24" s="123">
        <f t="shared" si="3"/>
        <v>0</v>
      </c>
      <c r="L24" s="123"/>
    </row>
    <row r="25" spans="2:12" ht="15.6" x14ac:dyDescent="0.3">
      <c r="B25" s="107"/>
      <c r="C25" s="119" t="s">
        <v>173</v>
      </c>
      <c r="D25" s="177">
        <f>'REPORT unit ORE GETTING'!J19</f>
        <v>445795000</v>
      </c>
      <c r="E25" s="177"/>
      <c r="F25" s="177"/>
      <c r="G25" s="107"/>
      <c r="H25" s="109" t="s">
        <v>176</v>
      </c>
      <c r="I25" s="121">
        <f t="shared" si="2"/>
        <v>8.8695269310447244E-2</v>
      </c>
      <c r="J25" s="122">
        <f>D25/E11</f>
        <v>7868.4072668327217</v>
      </c>
      <c r="K25" s="123">
        <f t="shared" si="3"/>
        <v>0.52993044631147102</v>
      </c>
      <c r="L25" s="123"/>
    </row>
    <row r="26" spans="2:12" ht="15.6" x14ac:dyDescent="0.3">
      <c r="B26" s="107"/>
      <c r="C26" s="119" t="s">
        <v>174</v>
      </c>
      <c r="D26" s="177">
        <f>'REPORT unit DT HAUL'!M40</f>
        <v>2994600000</v>
      </c>
      <c r="E26" s="177"/>
      <c r="F26" s="177"/>
      <c r="G26" s="107"/>
      <c r="H26" s="109" t="s">
        <v>177</v>
      </c>
      <c r="I26" s="121">
        <f t="shared" si="2"/>
        <v>0.59580491812843417</v>
      </c>
      <c r="J26" s="122">
        <f>D26/E11</f>
        <v>52855.533151464842</v>
      </c>
      <c r="K26" s="123">
        <f t="shared" si="3"/>
        <v>3.5597745926363715</v>
      </c>
      <c r="L26" s="123"/>
    </row>
    <row r="27" spans="2:12" ht="15.6" x14ac:dyDescent="0.3">
      <c r="B27" s="107"/>
      <c r="C27" s="119" t="s">
        <v>81</v>
      </c>
      <c r="D27" s="177">
        <f>'REPORT unit LV &amp; support'!H14</f>
        <v>36210000</v>
      </c>
      <c r="E27" s="177"/>
      <c r="F27" s="177"/>
      <c r="G27" s="107"/>
      <c r="H27" s="109" t="s">
        <v>178</v>
      </c>
      <c r="I27" s="121">
        <f t="shared" si="2"/>
        <v>7.2043331615009015E-3</v>
      </c>
      <c r="J27" s="122">
        <f>D27/E11</f>
        <v>639.11669518952169</v>
      </c>
      <c r="K27" s="123">
        <f t="shared" si="3"/>
        <v>4.3043958458346021E-2</v>
      </c>
      <c r="L27" s="123"/>
    </row>
    <row r="28" spans="2:12" ht="15.6" x14ac:dyDescent="0.3">
      <c r="B28" s="107"/>
      <c r="C28" s="119"/>
      <c r="D28" s="119"/>
      <c r="E28" s="120"/>
      <c r="F28" s="107"/>
      <c r="G28" s="107"/>
      <c r="H28" s="114"/>
      <c r="I28" s="124">
        <f>SUM(I22:I27)</f>
        <v>1</v>
      </c>
      <c r="J28" s="125">
        <f t="shared" ref="J28:K28" si="4">SUM(J22:J27)</f>
        <v>88712.81780871618</v>
      </c>
      <c r="K28" s="126">
        <f t="shared" si="4"/>
        <v>5.9747318028499592</v>
      </c>
      <c r="L28" s="126"/>
    </row>
    <row r="29" spans="2:12" ht="15.6" x14ac:dyDescent="0.3">
      <c r="B29" s="107"/>
      <c r="C29" s="127"/>
      <c r="D29" s="127"/>
      <c r="E29" s="128"/>
      <c r="F29" s="107"/>
      <c r="G29" s="107"/>
      <c r="H29" s="129"/>
      <c r="I29" s="121"/>
      <c r="J29" s="130"/>
      <c r="K29" s="131"/>
      <c r="L29" s="131"/>
    </row>
    <row r="30" spans="2:12" ht="18" x14ac:dyDescent="0.3">
      <c r="B30" s="107"/>
      <c r="C30" s="132" t="s">
        <v>46</v>
      </c>
      <c r="D30" s="179">
        <f>SUM(D22:F27)</f>
        <v>5026141793.8723221</v>
      </c>
      <c r="E30" s="179"/>
      <c r="F30" s="179"/>
      <c r="G30" s="133"/>
      <c r="H30" s="129" t="s">
        <v>93</v>
      </c>
      <c r="I30" s="134"/>
      <c r="J30" s="176">
        <f>D30/E11</f>
        <v>88712.81780871618</v>
      </c>
      <c r="K30" s="176"/>
      <c r="L30" s="131"/>
    </row>
    <row r="31" spans="2:12" ht="18" x14ac:dyDescent="0.3">
      <c r="B31" s="107"/>
      <c r="C31" s="132" t="s">
        <v>49</v>
      </c>
      <c r="D31" s="171">
        <f>E11*(J33*J32)</f>
        <v>6729864314.8799992</v>
      </c>
      <c r="E31" s="171"/>
      <c r="F31" s="171"/>
      <c r="G31" s="133"/>
      <c r="H31" s="129" t="s">
        <v>83</v>
      </c>
      <c r="I31" s="134"/>
      <c r="J31" s="175">
        <f>J30/J32</f>
        <v>5.9747318028499583</v>
      </c>
      <c r="K31" s="175"/>
      <c r="L31" s="135"/>
    </row>
    <row r="32" spans="2:12" ht="18" x14ac:dyDescent="0.3">
      <c r="B32" s="107"/>
      <c r="C32" s="132"/>
      <c r="D32" s="171"/>
      <c r="E32" s="171"/>
      <c r="F32" s="171"/>
      <c r="G32" s="133"/>
      <c r="H32" s="136" t="s">
        <v>78</v>
      </c>
      <c r="I32" s="137"/>
      <c r="J32" s="174">
        <v>14848</v>
      </c>
      <c r="K32" s="174"/>
      <c r="L32" s="107"/>
    </row>
    <row r="33" spans="2:12" ht="18" x14ac:dyDescent="0.3">
      <c r="B33" s="107"/>
      <c r="C33" s="170" t="s">
        <v>79</v>
      </c>
      <c r="D33" s="169">
        <f>D31-D30</f>
        <v>1703722521.0076771</v>
      </c>
      <c r="E33" s="169"/>
      <c r="F33" s="169"/>
      <c r="G33" s="107"/>
      <c r="H33" s="136" t="s">
        <v>84</v>
      </c>
      <c r="I33" s="137"/>
      <c r="J33" s="173">
        <v>8</v>
      </c>
      <c r="K33" s="173"/>
      <c r="L33" s="107"/>
    </row>
    <row r="34" spans="2:12" ht="18" x14ac:dyDescent="0.3">
      <c r="B34" s="107"/>
      <c r="C34" s="170"/>
      <c r="D34" s="169"/>
      <c r="E34" s="169"/>
      <c r="F34" s="169"/>
      <c r="G34" s="107"/>
      <c r="H34" s="136"/>
      <c r="I34" s="137"/>
      <c r="J34" s="138"/>
      <c r="K34" s="107"/>
      <c r="L34" s="107"/>
    </row>
    <row r="35" spans="2:12" ht="14.4" customHeight="1" x14ac:dyDescent="0.3">
      <c r="B35" s="172" t="str">
        <f>IF(D31&lt;D30,("….RUGI …..!!!!!"),("OKE….."))</f>
        <v>OKE…..</v>
      </c>
      <c r="C35" s="172"/>
      <c r="D35" s="172"/>
      <c r="E35" s="172"/>
      <c r="F35" s="172"/>
      <c r="G35" s="172"/>
      <c r="H35" s="172"/>
      <c r="I35" s="172"/>
      <c r="J35" s="172"/>
      <c r="K35" s="172"/>
      <c r="L35" s="172"/>
    </row>
    <row r="36" spans="2:12" ht="14.4" customHeight="1" x14ac:dyDescent="0.3"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</row>
    <row r="37" spans="2:12" ht="14.4" customHeight="1" x14ac:dyDescent="0.3"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</row>
    <row r="39" spans="2:12" x14ac:dyDescent="0.3">
      <c r="H39" s="167"/>
    </row>
  </sheetData>
  <mergeCells count="21">
    <mergeCell ref="D26:F26"/>
    <mergeCell ref="D25:F25"/>
    <mergeCell ref="C5:C7"/>
    <mergeCell ref="H5:J7"/>
    <mergeCell ref="D5:F7"/>
    <mergeCell ref="B2:L3"/>
    <mergeCell ref="D33:F34"/>
    <mergeCell ref="C33:C34"/>
    <mergeCell ref="D31:F31"/>
    <mergeCell ref="B35:L37"/>
    <mergeCell ref="J33:K33"/>
    <mergeCell ref="J32:K32"/>
    <mergeCell ref="J31:K31"/>
    <mergeCell ref="J30:K30"/>
    <mergeCell ref="D24:F24"/>
    <mergeCell ref="D23:F23"/>
    <mergeCell ref="D22:F22"/>
    <mergeCell ref="H17:H19"/>
    <mergeCell ref="D32:F32"/>
    <mergeCell ref="D30:F30"/>
    <mergeCell ref="D27:F27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190" t="s">
        <v>1</v>
      </c>
      <c r="E2" s="190" t="s">
        <v>2</v>
      </c>
      <c r="F2" s="190" t="s">
        <v>22</v>
      </c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89" t="s">
        <v>23</v>
      </c>
      <c r="AL2" s="189" t="s">
        <v>24</v>
      </c>
      <c r="AN2" s="3"/>
    </row>
    <row r="3" spans="1:40" s="4" customFormat="1" x14ac:dyDescent="0.3">
      <c r="C3" s="4" t="s">
        <v>5</v>
      </c>
      <c r="D3" s="190"/>
      <c r="E3" s="190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189"/>
      <c r="AL3" s="189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143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144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141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142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145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146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147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90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91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92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191" t="s">
        <v>12</v>
      </c>
      <c r="AB33" s="191"/>
      <c r="AC33" s="191"/>
      <c r="AH33" s="191" t="s">
        <v>13</v>
      </c>
      <c r="AI33" s="191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191" t="s">
        <v>9</v>
      </c>
      <c r="U35" s="191"/>
      <c r="V35" s="191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191" t="s">
        <v>19</v>
      </c>
      <c r="AB37" s="191"/>
      <c r="AC37" s="191"/>
      <c r="AH37" s="191" t="s">
        <v>20</v>
      </c>
      <c r="AI37" s="191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19"/>
  <sheetViews>
    <sheetView topLeftCell="D94" workbookViewId="0">
      <selection activeCell="P122" sqref="P122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94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294</v>
      </c>
      <c r="P2" s="64" t="s">
        <v>295</v>
      </c>
    </row>
    <row r="3" spans="1:16" x14ac:dyDescent="0.3">
      <c r="A3" s="64" t="s">
        <v>1</v>
      </c>
      <c r="B3" s="64" t="s">
        <v>86</v>
      </c>
      <c r="C3" s="64" t="s">
        <v>95</v>
      </c>
      <c r="D3" s="64" t="s">
        <v>96</v>
      </c>
      <c r="E3" s="64" t="s">
        <v>97</v>
      </c>
      <c r="F3" s="64" t="s">
        <v>98</v>
      </c>
      <c r="G3" s="64" t="s">
        <v>99</v>
      </c>
      <c r="H3" s="64" t="s">
        <v>100</v>
      </c>
      <c r="I3" s="64" t="s">
        <v>101</v>
      </c>
      <c r="J3" s="64" t="s">
        <v>102</v>
      </c>
      <c r="K3" s="64" t="s">
        <v>103</v>
      </c>
      <c r="O3" s="64" t="s">
        <v>182</v>
      </c>
      <c r="P3" s="64" t="s">
        <v>148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183</v>
      </c>
      <c r="P4" s="64" t="s">
        <v>148</v>
      </c>
    </row>
    <row r="5" spans="1:16" x14ac:dyDescent="0.3">
      <c r="D5" s="64" t="s">
        <v>104</v>
      </c>
      <c r="E5" s="64" t="s">
        <v>105</v>
      </c>
      <c r="F5" s="64" t="s">
        <v>106</v>
      </c>
      <c r="O5" s="64" t="s">
        <v>184</v>
      </c>
      <c r="P5" s="64" t="s">
        <v>148</v>
      </c>
    </row>
    <row r="6" spans="1:16" x14ac:dyDescent="0.3">
      <c r="A6" s="64">
        <v>1</v>
      </c>
      <c r="B6" s="64" t="s">
        <v>107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108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233</v>
      </c>
      <c r="P6" s="64" t="s">
        <v>148</v>
      </c>
    </row>
    <row r="7" spans="1:16" x14ac:dyDescent="0.3">
      <c r="A7" s="64">
        <v>2</v>
      </c>
      <c r="B7" s="64" t="s">
        <v>109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108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241</v>
      </c>
      <c r="P7" s="64" t="s">
        <v>111</v>
      </c>
    </row>
    <row r="8" spans="1:16" x14ac:dyDescent="0.3">
      <c r="A8" s="64">
        <v>3</v>
      </c>
      <c r="B8" s="64" t="s">
        <v>110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108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268</v>
      </c>
      <c r="P8" s="64" t="s">
        <v>111</v>
      </c>
    </row>
    <row r="9" spans="1:16" x14ac:dyDescent="0.3">
      <c r="A9" s="64">
        <v>4</v>
      </c>
      <c r="B9" s="64" t="s">
        <v>111</v>
      </c>
      <c r="C9" s="64">
        <v>38</v>
      </c>
      <c r="D9" s="56">
        <v>58.29</v>
      </c>
      <c r="E9" s="56">
        <v>61.6</v>
      </c>
      <c r="F9" s="56">
        <v>87.81</v>
      </c>
      <c r="G9" s="64" t="s">
        <v>108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234</v>
      </c>
      <c r="P9" s="64" t="s">
        <v>111</v>
      </c>
    </row>
    <row r="10" spans="1:16" x14ac:dyDescent="0.3">
      <c r="A10" s="64">
        <v>5</v>
      </c>
      <c r="B10" s="65" t="s">
        <v>148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108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185</v>
      </c>
      <c r="P10" s="64" t="s">
        <v>111</v>
      </c>
    </row>
    <row r="11" spans="1:16" x14ac:dyDescent="0.3">
      <c r="A11" s="64">
        <v>6</v>
      </c>
      <c r="B11" s="64" t="s">
        <v>112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108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242</v>
      </c>
      <c r="P11" s="64" t="s">
        <v>111</v>
      </c>
    </row>
    <row r="12" spans="1:16" x14ac:dyDescent="0.3">
      <c r="A12" s="64">
        <v>7</v>
      </c>
      <c r="B12" s="64" t="s">
        <v>113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108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186</v>
      </c>
      <c r="P12" s="64" t="s">
        <v>110</v>
      </c>
    </row>
    <row r="13" spans="1:16" x14ac:dyDescent="0.3">
      <c r="A13" s="64">
        <v>8</v>
      </c>
      <c r="B13" s="64" t="s">
        <v>114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115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290</v>
      </c>
      <c r="P13" s="64" t="s">
        <v>110</v>
      </c>
    </row>
    <row r="14" spans="1:16" x14ac:dyDescent="0.3">
      <c r="A14" s="64">
        <v>9</v>
      </c>
      <c r="B14" s="64" t="s">
        <v>116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117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256</v>
      </c>
      <c r="P14" s="64" t="s">
        <v>110</v>
      </c>
    </row>
    <row r="15" spans="1:16" x14ac:dyDescent="0.3">
      <c r="A15" s="64">
        <v>10</v>
      </c>
      <c r="B15" s="64" t="s">
        <v>118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117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243</v>
      </c>
      <c r="P15" s="64" t="s">
        <v>110</v>
      </c>
    </row>
    <row r="16" spans="1:16" x14ac:dyDescent="0.3">
      <c r="A16" s="64">
        <v>11</v>
      </c>
      <c r="B16" s="64" t="s">
        <v>119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120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257</v>
      </c>
      <c r="P16" s="64" t="s">
        <v>110</v>
      </c>
    </row>
    <row r="17" spans="1:16" x14ac:dyDescent="0.3">
      <c r="A17" s="64">
        <v>12</v>
      </c>
      <c r="B17" s="64" t="s">
        <v>121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122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258</v>
      </c>
      <c r="P17" s="64" t="s">
        <v>110</v>
      </c>
    </row>
    <row r="18" spans="1:16" x14ac:dyDescent="0.3">
      <c r="A18" s="64">
        <v>13</v>
      </c>
      <c r="B18" s="64" t="s">
        <v>123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122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269</v>
      </c>
      <c r="P18" s="64" t="s">
        <v>110</v>
      </c>
    </row>
    <row r="19" spans="1:16" x14ac:dyDescent="0.3">
      <c r="A19" s="64">
        <v>14</v>
      </c>
      <c r="B19" s="64" t="s">
        <v>124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122</v>
      </c>
      <c r="H19" s="53">
        <v>125052.51776336112</v>
      </c>
      <c r="I19" s="53">
        <v>168048.30180450308</v>
      </c>
      <c r="J19" s="53">
        <v>283048.30180450308</v>
      </c>
      <c r="O19" s="64" t="s">
        <v>187</v>
      </c>
      <c r="P19" s="64" t="s">
        <v>113</v>
      </c>
    </row>
    <row r="20" spans="1:16" x14ac:dyDescent="0.3">
      <c r="A20" s="64">
        <v>15</v>
      </c>
      <c r="B20" s="64" t="s">
        <v>125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126</v>
      </c>
      <c r="H20" s="53">
        <v>186614.06561388844</v>
      </c>
      <c r="I20" s="53">
        <v>229609.84965503035</v>
      </c>
      <c r="J20" s="53">
        <v>459609.84965503041</v>
      </c>
      <c r="O20" s="64" t="s">
        <v>188</v>
      </c>
      <c r="P20" s="64" t="s">
        <v>113</v>
      </c>
    </row>
    <row r="21" spans="1:16" x14ac:dyDescent="0.3">
      <c r="A21" s="64">
        <v>16</v>
      </c>
      <c r="B21" s="64" t="s">
        <v>127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126</v>
      </c>
      <c r="H21" s="53">
        <v>493209.98170661525</v>
      </c>
      <c r="I21" s="53">
        <v>536205.76574775728</v>
      </c>
      <c r="J21" s="53">
        <v>766205.76574775728</v>
      </c>
      <c r="O21" s="64" t="s">
        <v>259</v>
      </c>
      <c r="P21" s="64" t="s">
        <v>109</v>
      </c>
    </row>
    <row r="22" spans="1:16" x14ac:dyDescent="0.3">
      <c r="A22" s="64">
        <v>17</v>
      </c>
      <c r="B22" s="64" t="s">
        <v>128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129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260</v>
      </c>
      <c r="P22" s="64" t="s">
        <v>109</v>
      </c>
    </row>
    <row r="23" spans="1:16" x14ac:dyDescent="0.3">
      <c r="A23" s="64">
        <v>18</v>
      </c>
      <c r="B23" s="64" t="s">
        <v>130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129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261</v>
      </c>
      <c r="P23" s="64" t="s">
        <v>109</v>
      </c>
    </row>
    <row r="24" spans="1:16" x14ac:dyDescent="0.3">
      <c r="A24" s="64">
        <v>19</v>
      </c>
      <c r="B24" s="65" t="s">
        <v>149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129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262</v>
      </c>
      <c r="P24" s="64" t="s">
        <v>109</v>
      </c>
    </row>
    <row r="25" spans="1:16" x14ac:dyDescent="0.3">
      <c r="A25" s="64">
        <v>20</v>
      </c>
      <c r="B25" s="64" t="s">
        <v>38</v>
      </c>
      <c r="C25" s="64">
        <v>10</v>
      </c>
      <c r="D25" s="57"/>
      <c r="E25" s="57"/>
      <c r="F25" s="57"/>
      <c r="H25" s="53">
        <v>8000000</v>
      </c>
      <c r="I25" s="53"/>
      <c r="J25" s="53"/>
      <c r="K25" s="53">
        <v>8000000</v>
      </c>
      <c r="O25" s="64" t="s">
        <v>263</v>
      </c>
      <c r="P25" s="64" t="s">
        <v>109</v>
      </c>
    </row>
    <row r="26" spans="1:16" x14ac:dyDescent="0.3">
      <c r="A26" s="64">
        <v>21</v>
      </c>
      <c r="B26" s="64" t="s">
        <v>131</v>
      </c>
      <c r="C26" s="64">
        <v>4</v>
      </c>
      <c r="D26" s="57"/>
      <c r="E26" s="57"/>
      <c r="F26" s="57"/>
      <c r="H26" s="53">
        <v>3000000</v>
      </c>
      <c r="I26" s="53"/>
      <c r="J26" s="53"/>
      <c r="K26" s="53">
        <v>3000000</v>
      </c>
      <c r="O26" s="64" t="s">
        <v>189</v>
      </c>
      <c r="P26" s="64" t="s">
        <v>109</v>
      </c>
    </row>
    <row r="27" spans="1:16" x14ac:dyDescent="0.3">
      <c r="A27" s="65">
        <v>22</v>
      </c>
      <c r="B27" s="64" t="s">
        <v>150</v>
      </c>
      <c r="C27" s="65">
        <v>10</v>
      </c>
      <c r="D27" s="65"/>
      <c r="E27" s="65"/>
      <c r="F27" s="65"/>
      <c r="G27" s="65"/>
      <c r="H27" s="53">
        <v>12000000</v>
      </c>
      <c r="K27" s="53">
        <f>Table2[[#This Row],[Column4]]</f>
        <v>12000000</v>
      </c>
      <c r="O27" s="64" t="s">
        <v>190</v>
      </c>
      <c r="P27" s="64" t="s">
        <v>109</v>
      </c>
    </row>
    <row r="28" spans="1:16" x14ac:dyDescent="0.3">
      <c r="A28" s="192" t="s">
        <v>132</v>
      </c>
      <c r="B28" s="192"/>
      <c r="C28" s="192"/>
      <c r="O28" s="64" t="s">
        <v>301</v>
      </c>
      <c r="P28" s="64" t="s">
        <v>109</v>
      </c>
    </row>
    <row r="29" spans="1:16" x14ac:dyDescent="0.3">
      <c r="J29" s="141" t="s">
        <v>299</v>
      </c>
      <c r="O29" s="64" t="s">
        <v>302</v>
      </c>
      <c r="P29" s="64" t="s">
        <v>109</v>
      </c>
    </row>
    <row r="30" spans="1:16" ht="14.4" thickBot="1" x14ac:dyDescent="0.35">
      <c r="A30" s="58" t="s">
        <v>1</v>
      </c>
      <c r="B30" s="59" t="s">
        <v>86</v>
      </c>
      <c r="C30" s="59" t="s">
        <v>133</v>
      </c>
      <c r="O30" s="64" t="s">
        <v>291</v>
      </c>
      <c r="P30" s="64" t="s">
        <v>109</v>
      </c>
    </row>
    <row r="31" spans="1:16" ht="14.4" thickTop="1" x14ac:dyDescent="0.3">
      <c r="A31" s="64">
        <v>1</v>
      </c>
      <c r="B31" s="64" t="s">
        <v>134</v>
      </c>
      <c r="C31" s="60">
        <v>24</v>
      </c>
      <c r="O31" s="64" t="s">
        <v>191</v>
      </c>
      <c r="P31" s="64" t="s">
        <v>107</v>
      </c>
    </row>
    <row r="32" spans="1:16" x14ac:dyDescent="0.3">
      <c r="A32" s="64">
        <v>2</v>
      </c>
      <c r="B32" s="64" t="s">
        <v>135</v>
      </c>
      <c r="C32" s="60">
        <v>16</v>
      </c>
      <c r="O32" s="64" t="s">
        <v>192</v>
      </c>
      <c r="P32" s="64" t="s">
        <v>112</v>
      </c>
    </row>
    <row r="33" spans="1:16" x14ac:dyDescent="0.3">
      <c r="A33" s="64">
        <v>3</v>
      </c>
      <c r="B33" s="61" t="s">
        <v>136</v>
      </c>
      <c r="C33" s="60">
        <v>8</v>
      </c>
      <c r="O33" s="64" t="s">
        <v>244</v>
      </c>
      <c r="P33" s="64" t="s">
        <v>112</v>
      </c>
    </row>
    <row r="34" spans="1:16" x14ac:dyDescent="0.3">
      <c r="A34" s="64">
        <v>4</v>
      </c>
      <c r="B34" s="64" t="s">
        <v>137</v>
      </c>
      <c r="C34" s="60">
        <v>16</v>
      </c>
      <c r="O34" s="64" t="s">
        <v>193</v>
      </c>
      <c r="P34" s="64" t="s">
        <v>112</v>
      </c>
    </row>
    <row r="35" spans="1:16" x14ac:dyDescent="0.3">
      <c r="A35" s="64">
        <v>5</v>
      </c>
      <c r="B35" s="64" t="s">
        <v>138</v>
      </c>
      <c r="C35" s="60">
        <v>8</v>
      </c>
      <c r="O35" s="64" t="s">
        <v>194</v>
      </c>
      <c r="P35" s="64" t="s">
        <v>112</v>
      </c>
    </row>
    <row r="36" spans="1:16" x14ac:dyDescent="0.3">
      <c r="O36" s="64" t="s">
        <v>195</v>
      </c>
      <c r="P36" s="64" t="s">
        <v>112</v>
      </c>
    </row>
    <row r="37" spans="1:16" x14ac:dyDescent="0.3">
      <c r="O37" s="64" t="s">
        <v>196</v>
      </c>
      <c r="P37" s="64" t="s">
        <v>112</v>
      </c>
    </row>
    <row r="38" spans="1:16" x14ac:dyDescent="0.3">
      <c r="B38" s="64">
        <v>14652.34</v>
      </c>
      <c r="O38" s="64" t="s">
        <v>197</v>
      </c>
      <c r="P38" s="64" t="s">
        <v>112</v>
      </c>
    </row>
    <row r="39" spans="1:16" x14ac:dyDescent="0.3">
      <c r="O39" s="64" t="s">
        <v>198</v>
      </c>
      <c r="P39" s="64" t="s">
        <v>112</v>
      </c>
    </row>
    <row r="40" spans="1:16" x14ac:dyDescent="0.3">
      <c r="O40" s="64" t="s">
        <v>199</v>
      </c>
      <c r="P40" s="64" t="s">
        <v>112</v>
      </c>
    </row>
    <row r="41" spans="1:16" x14ac:dyDescent="0.3">
      <c r="O41" s="64" t="s">
        <v>200</v>
      </c>
      <c r="P41" s="64" t="s">
        <v>112</v>
      </c>
    </row>
    <row r="42" spans="1:16" x14ac:dyDescent="0.3">
      <c r="O42" s="64" t="s">
        <v>254</v>
      </c>
      <c r="P42" s="64" t="s">
        <v>114</v>
      </c>
    </row>
    <row r="43" spans="1:16" x14ac:dyDescent="0.3">
      <c r="O43" s="64" t="s">
        <v>273</v>
      </c>
      <c r="P43" s="64" t="s">
        <v>114</v>
      </c>
    </row>
    <row r="44" spans="1:16" x14ac:dyDescent="0.3">
      <c r="O44" s="64" t="s">
        <v>245</v>
      </c>
      <c r="P44" s="64" t="s">
        <v>114</v>
      </c>
    </row>
    <row r="45" spans="1:16" x14ac:dyDescent="0.3">
      <c r="O45" s="64" t="s">
        <v>255</v>
      </c>
      <c r="P45" s="64" t="s">
        <v>114</v>
      </c>
    </row>
    <row r="46" spans="1:16" x14ac:dyDescent="0.3">
      <c r="O46" s="64" t="s">
        <v>246</v>
      </c>
      <c r="P46" s="64" t="s">
        <v>114</v>
      </c>
    </row>
    <row r="47" spans="1:16" x14ac:dyDescent="0.3">
      <c r="O47" s="64" t="s">
        <v>247</v>
      </c>
      <c r="P47" s="64" t="s">
        <v>114</v>
      </c>
    </row>
    <row r="48" spans="1:16" x14ac:dyDescent="0.3">
      <c r="O48" s="64" t="s">
        <v>248</v>
      </c>
      <c r="P48" s="64" t="s">
        <v>114</v>
      </c>
    </row>
    <row r="49" spans="15:16" x14ac:dyDescent="0.3">
      <c r="O49" s="64" t="s">
        <v>201</v>
      </c>
      <c r="P49" s="64" t="s">
        <v>114</v>
      </c>
    </row>
    <row r="50" spans="15:16" x14ac:dyDescent="0.3">
      <c r="O50" s="64" t="s">
        <v>202</v>
      </c>
      <c r="P50" s="64" t="s">
        <v>114</v>
      </c>
    </row>
    <row r="51" spans="15:16" x14ac:dyDescent="0.3">
      <c r="O51" s="64" t="s">
        <v>203</v>
      </c>
      <c r="P51" s="64" t="s">
        <v>114</v>
      </c>
    </row>
    <row r="52" spans="15:16" x14ac:dyDescent="0.3">
      <c r="O52" s="64" t="s">
        <v>204</v>
      </c>
      <c r="P52" s="64" t="s">
        <v>114</v>
      </c>
    </row>
    <row r="53" spans="15:16" x14ac:dyDescent="0.3">
      <c r="O53" s="64" t="s">
        <v>205</v>
      </c>
      <c r="P53" s="64" t="s">
        <v>114</v>
      </c>
    </row>
    <row r="54" spans="15:16" x14ac:dyDescent="0.3">
      <c r="O54" s="64" t="s">
        <v>206</v>
      </c>
      <c r="P54" s="64" t="s">
        <v>114</v>
      </c>
    </row>
    <row r="55" spans="15:16" x14ac:dyDescent="0.3">
      <c r="O55" s="64" t="s">
        <v>207</v>
      </c>
      <c r="P55" s="64" t="s">
        <v>114</v>
      </c>
    </row>
    <row r="56" spans="15:16" x14ac:dyDescent="0.3">
      <c r="O56" s="64" t="s">
        <v>208</v>
      </c>
      <c r="P56" s="64" t="s">
        <v>114</v>
      </c>
    </row>
    <row r="57" spans="15:16" x14ac:dyDescent="0.3">
      <c r="O57" s="64" t="s">
        <v>209</v>
      </c>
      <c r="P57" s="64" t="s">
        <v>114</v>
      </c>
    </row>
    <row r="58" spans="15:16" x14ac:dyDescent="0.3">
      <c r="O58" s="64" t="s">
        <v>210</v>
      </c>
      <c r="P58" s="64" t="s">
        <v>114</v>
      </c>
    </row>
    <row r="59" spans="15:16" x14ac:dyDescent="0.3">
      <c r="O59" s="64" t="s">
        <v>211</v>
      </c>
      <c r="P59" s="64" t="s">
        <v>114</v>
      </c>
    </row>
    <row r="60" spans="15:16" x14ac:dyDescent="0.3">
      <c r="O60" s="64" t="s">
        <v>212</v>
      </c>
      <c r="P60" s="64" t="s">
        <v>114</v>
      </c>
    </row>
    <row r="61" spans="15:16" x14ac:dyDescent="0.3">
      <c r="O61" s="64" t="s">
        <v>213</v>
      </c>
      <c r="P61" s="64" t="s">
        <v>114</v>
      </c>
    </row>
    <row r="62" spans="15:16" x14ac:dyDescent="0.3">
      <c r="O62" s="64" t="s">
        <v>214</v>
      </c>
      <c r="P62" s="64" t="s">
        <v>114</v>
      </c>
    </row>
    <row r="63" spans="15:16" x14ac:dyDescent="0.3">
      <c r="O63" s="64" t="s">
        <v>235</v>
      </c>
      <c r="P63" s="64" t="s">
        <v>114</v>
      </c>
    </row>
    <row r="64" spans="15:16" x14ac:dyDescent="0.3">
      <c r="O64" s="64" t="s">
        <v>236</v>
      </c>
      <c r="P64" s="64" t="s">
        <v>114</v>
      </c>
    </row>
    <row r="65" spans="15:16" x14ac:dyDescent="0.3">
      <c r="O65" s="64" t="s">
        <v>237</v>
      </c>
      <c r="P65" s="64" t="s">
        <v>114</v>
      </c>
    </row>
    <row r="66" spans="15:16" x14ac:dyDescent="0.3">
      <c r="O66" s="64" t="s">
        <v>280</v>
      </c>
      <c r="P66" s="64" t="s">
        <v>118</v>
      </c>
    </row>
    <row r="67" spans="15:16" x14ac:dyDescent="0.3">
      <c r="O67" s="64" t="s">
        <v>249</v>
      </c>
      <c r="P67" s="64" t="s">
        <v>118</v>
      </c>
    </row>
    <row r="68" spans="15:16" x14ac:dyDescent="0.3">
      <c r="O68" s="64" t="s">
        <v>250</v>
      </c>
      <c r="P68" s="64" t="s">
        <v>118</v>
      </c>
    </row>
    <row r="69" spans="15:16" x14ac:dyDescent="0.3">
      <c r="O69" s="64" t="s">
        <v>215</v>
      </c>
      <c r="P69" s="64" t="s">
        <v>118</v>
      </c>
    </row>
    <row r="70" spans="15:16" x14ac:dyDescent="0.3">
      <c r="O70" s="64" t="s">
        <v>216</v>
      </c>
      <c r="P70" s="64" t="s">
        <v>118</v>
      </c>
    </row>
    <row r="71" spans="15:16" x14ac:dyDescent="0.3">
      <c r="O71" s="64" t="s">
        <v>217</v>
      </c>
      <c r="P71" s="64" t="s">
        <v>118</v>
      </c>
    </row>
    <row r="72" spans="15:16" x14ac:dyDescent="0.3">
      <c r="O72" s="64" t="s">
        <v>218</v>
      </c>
      <c r="P72" s="64" t="s">
        <v>118</v>
      </c>
    </row>
    <row r="73" spans="15:16" x14ac:dyDescent="0.3">
      <c r="O73" s="64" t="s">
        <v>238</v>
      </c>
      <c r="P73" s="64" t="s">
        <v>118</v>
      </c>
    </row>
    <row r="74" spans="15:16" x14ac:dyDescent="0.3">
      <c r="O74" s="64" t="s">
        <v>264</v>
      </c>
      <c r="P74" s="64" t="s">
        <v>116</v>
      </c>
    </row>
    <row r="75" spans="15:16" x14ac:dyDescent="0.3">
      <c r="O75" s="64" t="s">
        <v>219</v>
      </c>
      <c r="P75" s="64" t="s">
        <v>116</v>
      </c>
    </row>
    <row r="76" spans="15:16" x14ac:dyDescent="0.3">
      <c r="O76" s="64" t="s">
        <v>251</v>
      </c>
      <c r="P76" s="64" t="s">
        <v>116</v>
      </c>
    </row>
    <row r="77" spans="15:16" x14ac:dyDescent="0.3">
      <c r="O77" s="64" t="s">
        <v>220</v>
      </c>
      <c r="P77" s="64" t="s">
        <v>116</v>
      </c>
    </row>
    <row r="78" spans="15:16" x14ac:dyDescent="0.3">
      <c r="O78" s="64" t="s">
        <v>239</v>
      </c>
      <c r="P78" s="64" t="s">
        <v>116</v>
      </c>
    </row>
    <row r="79" spans="15:16" x14ac:dyDescent="0.3">
      <c r="O79" s="64" t="s">
        <v>221</v>
      </c>
      <c r="P79" s="64" t="s">
        <v>119</v>
      </c>
    </row>
    <row r="80" spans="15:16" x14ac:dyDescent="0.3">
      <c r="O80" s="64" t="s">
        <v>270</v>
      </c>
      <c r="P80" s="64" t="s">
        <v>127</v>
      </c>
    </row>
    <row r="81" spans="15:16" x14ac:dyDescent="0.3">
      <c r="O81" s="64" t="s">
        <v>332</v>
      </c>
      <c r="P81" s="64" t="s">
        <v>121</v>
      </c>
    </row>
    <row r="82" spans="15:16" x14ac:dyDescent="0.3">
      <c r="O82" s="64" t="s">
        <v>271</v>
      </c>
      <c r="P82" s="64" t="s">
        <v>121</v>
      </c>
    </row>
    <row r="83" spans="15:16" x14ac:dyDescent="0.3">
      <c r="O83" s="64" t="s">
        <v>281</v>
      </c>
      <c r="P83" s="64" t="s">
        <v>121</v>
      </c>
    </row>
    <row r="84" spans="15:16" x14ac:dyDescent="0.3">
      <c r="O84" s="64" t="s">
        <v>222</v>
      </c>
      <c r="P84" s="64" t="s">
        <v>121</v>
      </c>
    </row>
    <row r="85" spans="15:16" x14ac:dyDescent="0.3">
      <c r="O85" s="64" t="s">
        <v>285</v>
      </c>
      <c r="P85" s="64" t="s">
        <v>38</v>
      </c>
    </row>
    <row r="86" spans="15:16" x14ac:dyDescent="0.3">
      <c r="O86" s="64" t="s">
        <v>225</v>
      </c>
      <c r="P86" s="64" t="s">
        <v>38</v>
      </c>
    </row>
    <row r="87" spans="15:16" x14ac:dyDescent="0.3">
      <c r="O87" s="64" t="s">
        <v>226</v>
      </c>
      <c r="P87" s="64" t="s">
        <v>38</v>
      </c>
    </row>
    <row r="88" spans="15:16" x14ac:dyDescent="0.3">
      <c r="O88" s="64" t="s">
        <v>227</v>
      </c>
      <c r="P88" s="64" t="s">
        <v>38</v>
      </c>
    </row>
    <row r="89" spans="15:16" x14ac:dyDescent="0.3">
      <c r="O89" s="64" t="s">
        <v>240</v>
      </c>
      <c r="P89" s="64" t="s">
        <v>38</v>
      </c>
    </row>
    <row r="90" spans="15:16" x14ac:dyDescent="0.3">
      <c r="O90" s="64" t="s">
        <v>286</v>
      </c>
      <c r="P90" s="64" t="s">
        <v>38</v>
      </c>
    </row>
    <row r="91" spans="15:16" x14ac:dyDescent="0.3">
      <c r="O91" s="64" t="s">
        <v>223</v>
      </c>
      <c r="P91" s="64" t="s">
        <v>38</v>
      </c>
    </row>
    <row r="92" spans="15:16" x14ac:dyDescent="0.3">
      <c r="O92" s="64" t="s">
        <v>267</v>
      </c>
      <c r="P92" s="64" t="s">
        <v>38</v>
      </c>
    </row>
    <row r="93" spans="15:16" x14ac:dyDescent="0.3">
      <c r="O93" s="64" t="s">
        <v>274</v>
      </c>
      <c r="P93" s="64" t="s">
        <v>38</v>
      </c>
    </row>
    <row r="94" spans="15:16" x14ac:dyDescent="0.3">
      <c r="O94" s="64" t="s">
        <v>292</v>
      </c>
      <c r="P94" s="64" t="s">
        <v>38</v>
      </c>
    </row>
    <row r="95" spans="15:16" x14ac:dyDescent="0.3">
      <c r="O95" s="64" t="s">
        <v>275</v>
      </c>
      <c r="P95" s="64" t="s">
        <v>38</v>
      </c>
    </row>
    <row r="96" spans="15:16" x14ac:dyDescent="0.3">
      <c r="O96" s="64" t="s">
        <v>276</v>
      </c>
      <c r="P96" s="64" t="s">
        <v>38</v>
      </c>
    </row>
    <row r="97" spans="15:16" x14ac:dyDescent="0.3">
      <c r="O97" s="64" t="s">
        <v>277</v>
      </c>
      <c r="P97" s="64" t="s">
        <v>38</v>
      </c>
    </row>
    <row r="98" spans="15:16" x14ac:dyDescent="0.3">
      <c r="O98" s="64" t="s">
        <v>298</v>
      </c>
      <c r="P98" s="64" t="s">
        <v>38</v>
      </c>
    </row>
    <row r="99" spans="15:16" x14ac:dyDescent="0.3">
      <c r="O99" s="64" t="s">
        <v>224</v>
      </c>
      <c r="P99" s="64" t="s">
        <v>38</v>
      </c>
    </row>
    <row r="100" spans="15:16" x14ac:dyDescent="0.3">
      <c r="O100" s="64" t="s">
        <v>278</v>
      </c>
      <c r="P100" s="64" t="s">
        <v>38</v>
      </c>
    </row>
    <row r="101" spans="15:16" x14ac:dyDescent="0.3">
      <c r="O101" s="64" t="s">
        <v>293</v>
      </c>
      <c r="P101" s="64" t="s">
        <v>38</v>
      </c>
    </row>
    <row r="102" spans="15:16" x14ac:dyDescent="0.3">
      <c r="O102" s="64" t="s">
        <v>252</v>
      </c>
      <c r="P102" s="64" t="s">
        <v>38</v>
      </c>
    </row>
    <row r="103" spans="15:16" x14ac:dyDescent="0.3">
      <c r="O103" s="64" t="s">
        <v>266</v>
      </c>
      <c r="P103" s="64" t="s">
        <v>38</v>
      </c>
    </row>
    <row r="104" spans="15:16" x14ac:dyDescent="0.3">
      <c r="O104" s="64" t="s">
        <v>279</v>
      </c>
      <c r="P104" s="64" t="s">
        <v>38</v>
      </c>
    </row>
    <row r="105" spans="15:16" x14ac:dyDescent="0.3">
      <c r="O105" s="64" t="s">
        <v>228</v>
      </c>
      <c r="P105" s="64" t="s">
        <v>128</v>
      </c>
    </row>
    <row r="106" spans="15:16" x14ac:dyDescent="0.3">
      <c r="O106" s="64" t="s">
        <v>282</v>
      </c>
      <c r="P106" s="64" t="s">
        <v>150</v>
      </c>
    </row>
    <row r="107" spans="15:16" x14ac:dyDescent="0.3">
      <c r="O107" s="64" t="s">
        <v>330</v>
      </c>
      <c r="P107" s="64" t="s">
        <v>128</v>
      </c>
    </row>
    <row r="108" spans="15:16" x14ac:dyDescent="0.3">
      <c r="O108" s="64" t="s">
        <v>229</v>
      </c>
      <c r="P108" s="64" t="s">
        <v>128</v>
      </c>
    </row>
    <row r="109" spans="15:16" x14ac:dyDescent="0.3">
      <c r="O109" s="64" t="s">
        <v>230</v>
      </c>
      <c r="P109" s="64" t="s">
        <v>128</v>
      </c>
    </row>
    <row r="110" spans="15:16" x14ac:dyDescent="0.3">
      <c r="O110" s="64" t="s">
        <v>296</v>
      </c>
      <c r="P110" s="64" t="s">
        <v>128</v>
      </c>
    </row>
    <row r="111" spans="15:16" x14ac:dyDescent="0.3">
      <c r="O111" s="64" t="s">
        <v>287</v>
      </c>
      <c r="P111" s="64" t="s">
        <v>150</v>
      </c>
    </row>
    <row r="112" spans="15:16" x14ac:dyDescent="0.3">
      <c r="O112" s="64" t="s">
        <v>231</v>
      </c>
      <c r="P112" s="64" t="s">
        <v>150</v>
      </c>
    </row>
    <row r="113" spans="15:16" x14ac:dyDescent="0.3">
      <c r="O113" s="64" t="s">
        <v>232</v>
      </c>
      <c r="P113" s="64" t="s">
        <v>150</v>
      </c>
    </row>
    <row r="114" spans="15:16" x14ac:dyDescent="0.3">
      <c r="O114" s="64" t="s">
        <v>283</v>
      </c>
      <c r="P114" s="64" t="s">
        <v>150</v>
      </c>
    </row>
    <row r="115" spans="15:16" x14ac:dyDescent="0.3">
      <c r="O115" s="64" t="s">
        <v>289</v>
      </c>
    </row>
    <row r="116" spans="15:16" x14ac:dyDescent="0.3">
      <c r="O116" s="64" t="s">
        <v>324</v>
      </c>
      <c r="P116" s="64" t="s">
        <v>38</v>
      </c>
    </row>
    <row r="117" spans="15:16" x14ac:dyDescent="0.3">
      <c r="O117" s="64" t="s">
        <v>325</v>
      </c>
      <c r="P117" s="64" t="s">
        <v>150</v>
      </c>
    </row>
    <row r="118" spans="15:16" x14ac:dyDescent="0.3">
      <c r="O118" s="64" t="s">
        <v>326</v>
      </c>
      <c r="P118" s="64" t="s">
        <v>150</v>
      </c>
    </row>
    <row r="119" spans="15:16" x14ac:dyDescent="0.3">
      <c r="O119" s="64" t="s">
        <v>361</v>
      </c>
      <c r="P119" s="194" t="s">
        <v>38</v>
      </c>
    </row>
  </sheetData>
  <mergeCells count="1">
    <mergeCell ref="A28:C28"/>
  </mergeCells>
  <dataValidations count="1">
    <dataValidation type="list" allowBlank="1" showInputMessage="1" showErrorMessage="1" sqref="P1:P1048576" xr:uid="{36C518E1-E374-4D0C-9CAA-E2513EA46D10}">
      <formula1>$B$6:$B$27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Q43"/>
  <sheetViews>
    <sheetView zoomScale="90" zoomScaleNormal="9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I7" sqref="I7"/>
    </sheetView>
  </sheetViews>
  <sheetFormatPr defaultRowHeight="12" x14ac:dyDescent="0.3"/>
  <cols>
    <col min="1" max="1" width="26" style="69" customWidth="1"/>
    <col min="2" max="2" width="17.77734375" style="69" customWidth="1"/>
    <col min="3" max="14" width="15.77734375" style="74" customWidth="1"/>
    <col min="15" max="15" width="17.77734375" style="74" customWidth="1"/>
    <col min="16" max="16384" width="8.88671875" style="74"/>
  </cols>
  <sheetData>
    <row r="1" spans="1:17" x14ac:dyDescent="0.3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</row>
    <row r="2" spans="1:17" s="69" customFormat="1" x14ac:dyDescent="0.3">
      <c r="B2" s="70" t="s">
        <v>331</v>
      </c>
      <c r="C2" s="70" t="s">
        <v>151</v>
      </c>
      <c r="D2" s="70" t="s">
        <v>152</v>
      </c>
      <c r="E2" s="70" t="s">
        <v>153</v>
      </c>
      <c r="F2" s="70" t="s">
        <v>154</v>
      </c>
      <c r="G2" s="70" t="s">
        <v>155</v>
      </c>
      <c r="H2" s="70" t="s">
        <v>156</v>
      </c>
      <c r="I2" s="70" t="s">
        <v>157</v>
      </c>
      <c r="J2" s="70" t="s">
        <v>158</v>
      </c>
      <c r="K2" s="70" t="s">
        <v>159</v>
      </c>
      <c r="L2" s="70" t="s">
        <v>160</v>
      </c>
      <c r="M2" s="70" t="s">
        <v>161</v>
      </c>
      <c r="N2" s="70" t="s">
        <v>162</v>
      </c>
      <c r="O2" s="71" t="s">
        <v>297</v>
      </c>
    </row>
    <row r="3" spans="1:17" x14ac:dyDescent="0.3">
      <c r="A3" s="72" t="s">
        <v>341</v>
      </c>
      <c r="B3" s="91">
        <v>25551.1</v>
      </c>
      <c r="C3" s="73">
        <v>23545.18</v>
      </c>
      <c r="D3" s="73">
        <v>29931.979999999996</v>
      </c>
      <c r="E3" s="73">
        <v>18697.04</v>
      </c>
      <c r="F3" s="73">
        <v>18697.04</v>
      </c>
      <c r="G3" s="73"/>
      <c r="H3" s="73"/>
      <c r="I3" s="73"/>
      <c r="J3" s="73"/>
      <c r="K3" s="73"/>
      <c r="L3" s="73"/>
      <c r="M3" s="73"/>
      <c r="N3" s="73"/>
      <c r="O3" s="91">
        <f>SUM(C3:N3)</f>
        <v>90871.239999999991</v>
      </c>
    </row>
    <row r="4" spans="1:17" x14ac:dyDescent="0.3">
      <c r="A4" s="75" t="s">
        <v>75</v>
      </c>
      <c r="B4" s="92">
        <v>125448.88</v>
      </c>
      <c r="C4" s="76">
        <v>64719.619999999995</v>
      </c>
      <c r="D4" s="76">
        <v>76341.759999999995</v>
      </c>
      <c r="E4" s="76">
        <v>71048.760000000009</v>
      </c>
      <c r="F4" s="76">
        <v>71048.760000000009</v>
      </c>
      <c r="G4" s="76"/>
      <c r="H4" s="76"/>
      <c r="I4" s="76"/>
      <c r="J4" s="76"/>
      <c r="K4" s="76"/>
      <c r="L4" s="76"/>
      <c r="M4" s="76"/>
      <c r="N4" s="76"/>
      <c r="O4" s="92">
        <f>SUM(C4:N4)</f>
        <v>283158.90000000002</v>
      </c>
    </row>
    <row r="5" spans="1:17" x14ac:dyDescent="0.3">
      <c r="A5" s="101" t="s">
        <v>181</v>
      </c>
      <c r="B5" s="103">
        <v>12871.52</v>
      </c>
      <c r="C5" s="102">
        <v>746.51</v>
      </c>
      <c r="D5" s="102">
        <v>647.58000000000004</v>
      </c>
      <c r="E5" s="102">
        <v>7573.3899999999994</v>
      </c>
      <c r="F5" s="102">
        <v>7573.3899999999994</v>
      </c>
      <c r="G5" s="102"/>
      <c r="H5" s="102"/>
      <c r="I5" s="102"/>
      <c r="J5" s="102"/>
      <c r="K5" s="102"/>
      <c r="L5" s="102"/>
      <c r="M5" s="102"/>
      <c r="N5" s="102"/>
      <c r="O5" s="103">
        <f>SUM(C5:N5)</f>
        <v>16540.87</v>
      </c>
    </row>
    <row r="6" spans="1:17" x14ac:dyDescent="0.3">
      <c r="A6" s="77" t="s">
        <v>77</v>
      </c>
      <c r="B6" s="93">
        <v>0.2036773863584912</v>
      </c>
      <c r="C6" s="78">
        <v>0.36380281590034058</v>
      </c>
      <c r="D6" s="78">
        <v>0.39207872598169075</v>
      </c>
      <c r="E6" s="78">
        <v>0.26315786510559785</v>
      </c>
      <c r="F6" s="78">
        <v>0.26315786510559785</v>
      </c>
      <c r="G6" s="78"/>
      <c r="H6" s="78"/>
      <c r="I6" s="78"/>
      <c r="J6" s="78"/>
      <c r="K6" s="78"/>
      <c r="L6" s="78"/>
      <c r="M6" s="78"/>
      <c r="N6" s="78"/>
      <c r="O6" s="93">
        <f>O3/O4</f>
        <v>0.3209195967352606</v>
      </c>
    </row>
    <row r="7" spans="1:17" x14ac:dyDescent="0.3">
      <c r="A7" s="69" t="s">
        <v>350</v>
      </c>
      <c r="B7" s="94"/>
      <c r="C7" s="144">
        <v>0.84908269622145682</v>
      </c>
      <c r="D7" s="144">
        <v>1.035658101803042</v>
      </c>
      <c r="E7" s="144">
        <v>0.39127206136036835</v>
      </c>
      <c r="F7" s="144">
        <v>0.39127206136036835</v>
      </c>
      <c r="G7" s="79"/>
      <c r="H7" s="79"/>
      <c r="I7" s="79"/>
      <c r="J7" s="79"/>
      <c r="K7" s="79"/>
      <c r="L7" s="79"/>
      <c r="M7" s="79"/>
      <c r="N7" s="79"/>
      <c r="O7" s="98">
        <f>AVERAGE(C7:N7)</f>
        <v>0.66682123018630879</v>
      </c>
    </row>
    <row r="8" spans="1:17" x14ac:dyDescent="0.3">
      <c r="A8" s="69" t="s">
        <v>349</v>
      </c>
      <c r="B8" s="94"/>
      <c r="C8" s="144">
        <v>1.1800244320460924</v>
      </c>
      <c r="D8" s="144">
        <v>1.0641843667922801</v>
      </c>
      <c r="E8" s="144">
        <v>0.81724145889208089</v>
      </c>
      <c r="F8" s="144">
        <v>0.81724145889208089</v>
      </c>
      <c r="G8" s="79"/>
      <c r="H8" s="79"/>
      <c r="I8" s="79"/>
      <c r="J8" s="79"/>
      <c r="K8" s="79"/>
      <c r="L8" s="79"/>
      <c r="M8" s="79"/>
      <c r="N8" s="79"/>
      <c r="O8" s="98">
        <f>AVERAGE(C8:N8)</f>
        <v>0.96967292915563363</v>
      </c>
    </row>
    <row r="9" spans="1:17" x14ac:dyDescent="0.3">
      <c r="A9" s="69" t="s">
        <v>351</v>
      </c>
      <c r="B9" s="94"/>
      <c r="C9" s="144">
        <v>8.9735099859968484E-2</v>
      </c>
      <c r="D9" s="144">
        <v>7.4688396108511593E-2</v>
      </c>
      <c r="E9" s="144">
        <v>1.3207330843037188</v>
      </c>
      <c r="F9" s="144">
        <v>1.3207330843037188</v>
      </c>
      <c r="G9" s="79"/>
      <c r="H9" s="79"/>
      <c r="I9" s="79"/>
      <c r="J9" s="79"/>
      <c r="K9" s="79"/>
      <c r="L9" s="79"/>
      <c r="M9" s="79"/>
      <c r="N9" s="79"/>
      <c r="O9" s="98">
        <f>AVERAGE(C9:N9)</f>
        <v>0.70147241614397937</v>
      </c>
    </row>
    <row r="10" spans="1:17" x14ac:dyDescent="0.3">
      <c r="A10" s="69" t="s">
        <v>163</v>
      </c>
      <c r="B10" s="94">
        <v>249.91699783903579</v>
      </c>
      <c r="C10" s="79">
        <v>208.41297426120113</v>
      </c>
      <c r="D10" s="79">
        <v>398.86382608695646</v>
      </c>
      <c r="E10" s="79">
        <v>250.45960805084746</v>
      </c>
      <c r="F10" s="79">
        <f>SUMMARY!E18</f>
        <v>497.20394366197189</v>
      </c>
      <c r="G10" s="79"/>
      <c r="H10" s="79"/>
      <c r="I10" s="79"/>
      <c r="J10" s="79"/>
      <c r="K10" s="79"/>
      <c r="L10" s="79"/>
      <c r="M10" s="79"/>
      <c r="N10" s="79"/>
      <c r="O10" s="94">
        <f>AVERAGE(C10:N10)</f>
        <v>338.73508801524423</v>
      </c>
    </row>
    <row r="11" spans="1:17" x14ac:dyDescent="0.3">
      <c r="A11" s="94" t="str">
        <f>SUMMARY!C22</f>
        <v>COST OB REMOVAL</v>
      </c>
      <c r="B11" s="95">
        <v>980772683.17614365</v>
      </c>
      <c r="C11" s="80">
        <v>913930747.15150213</v>
      </c>
      <c r="D11" s="80">
        <v>963632138.41792524</v>
      </c>
      <c r="E11" s="80">
        <v>1138721618.3285179</v>
      </c>
      <c r="F11" s="80">
        <f>SUMMARY!D22</f>
        <v>1103086793.8723218</v>
      </c>
      <c r="G11" s="80"/>
      <c r="H11" s="80"/>
      <c r="I11" s="80"/>
      <c r="J11" s="80"/>
      <c r="K11" s="80"/>
      <c r="L11" s="80"/>
      <c r="M11" s="80"/>
      <c r="N11" s="80"/>
      <c r="O11" s="95">
        <f t="shared" ref="O11:O30" si="0">SUM(C11:N11)</f>
        <v>4119371297.7702675</v>
      </c>
      <c r="Q11" s="108"/>
    </row>
    <row r="12" spans="1:17" x14ac:dyDescent="0.3">
      <c r="A12" s="94" t="str">
        <f>SUMMARY!C23</f>
        <v>COST QUARRY HAULING</v>
      </c>
      <c r="B12" s="95">
        <v>747900000</v>
      </c>
      <c r="C12" s="80">
        <v>334050000</v>
      </c>
      <c r="D12" s="80">
        <v>264500000</v>
      </c>
      <c r="E12" s="80">
        <v>446450000</v>
      </c>
      <c r="F12" s="80">
        <f>SUMMARY!D23</f>
        <v>446450000</v>
      </c>
      <c r="G12" s="80"/>
      <c r="H12" s="80"/>
      <c r="I12" s="80"/>
      <c r="J12" s="80"/>
      <c r="K12" s="80"/>
      <c r="L12" s="80"/>
      <c r="M12" s="80"/>
      <c r="N12" s="80"/>
      <c r="O12" s="95">
        <f t="shared" si="0"/>
        <v>1491450000</v>
      </c>
      <c r="Q12" s="108"/>
    </row>
    <row r="13" spans="1:17" x14ac:dyDescent="0.3">
      <c r="A13" s="94" t="str">
        <f>SUMMARY!C24</f>
        <v>COST DEVELOP ACT.</v>
      </c>
      <c r="B13" s="95">
        <v>0</v>
      </c>
      <c r="C13" s="80">
        <v>0</v>
      </c>
      <c r="D13" s="80">
        <v>0</v>
      </c>
      <c r="E13" s="80">
        <v>0</v>
      </c>
      <c r="F13" s="80">
        <f>SUMMARY!D24</f>
        <v>0</v>
      </c>
      <c r="G13" s="80"/>
      <c r="H13" s="80"/>
      <c r="I13" s="80"/>
      <c r="J13" s="80"/>
      <c r="K13" s="80"/>
      <c r="L13" s="80"/>
      <c r="M13" s="80"/>
      <c r="N13" s="80"/>
      <c r="O13" s="95">
        <f t="shared" si="0"/>
        <v>0</v>
      </c>
      <c r="Q13" s="108"/>
    </row>
    <row r="14" spans="1:17" x14ac:dyDescent="0.3">
      <c r="A14" s="94" t="str">
        <f>SUMMARY!C25</f>
        <v>COST ORE GETTING</v>
      </c>
      <c r="B14" s="95">
        <v>1089025000</v>
      </c>
      <c r="C14" s="80">
        <v>434195000</v>
      </c>
      <c r="D14" s="80">
        <v>532270000</v>
      </c>
      <c r="E14" s="80">
        <v>553530000</v>
      </c>
      <c r="F14" s="80">
        <f>SUMMARY!D25</f>
        <v>445795000</v>
      </c>
      <c r="G14" s="80"/>
      <c r="H14" s="80"/>
      <c r="I14" s="80"/>
      <c r="J14" s="80"/>
      <c r="K14" s="80"/>
      <c r="L14" s="80"/>
      <c r="M14" s="80"/>
      <c r="N14" s="80"/>
      <c r="O14" s="95">
        <f t="shared" si="0"/>
        <v>1965790000</v>
      </c>
      <c r="Q14" s="108"/>
    </row>
    <row r="15" spans="1:17" x14ac:dyDescent="0.3">
      <c r="A15" s="94" t="str">
        <f>SUMMARY!C26</f>
        <v>COST ORE HAULING</v>
      </c>
      <c r="B15" s="95">
        <v>4733400000</v>
      </c>
      <c r="C15" s="80">
        <v>2318400000</v>
      </c>
      <c r="D15" s="80">
        <v>2898000000</v>
      </c>
      <c r="E15" s="80">
        <v>2608200000</v>
      </c>
      <c r="F15" s="80">
        <f>SUMMARY!D26</f>
        <v>2994600000</v>
      </c>
      <c r="G15" s="80"/>
      <c r="H15" s="80"/>
      <c r="I15" s="80"/>
      <c r="J15" s="80"/>
      <c r="K15" s="80"/>
      <c r="L15" s="80"/>
      <c r="M15" s="80"/>
      <c r="N15" s="80"/>
      <c r="O15" s="95">
        <f t="shared" si="0"/>
        <v>10819200000</v>
      </c>
      <c r="Q15" s="108"/>
    </row>
    <row r="16" spans="1:17" x14ac:dyDescent="0.3">
      <c r="A16" s="94" t="str">
        <f>SUMMARY!C27</f>
        <v>COST UNIT SUPPORT</v>
      </c>
      <c r="B16" s="95">
        <v>80210000</v>
      </c>
      <c r="C16" s="80">
        <v>28210000</v>
      </c>
      <c r="D16" s="80">
        <v>28210000</v>
      </c>
      <c r="E16" s="80">
        <v>40210000</v>
      </c>
      <c r="F16" s="80">
        <f>SUMMARY!D27</f>
        <v>36210000</v>
      </c>
      <c r="G16" s="80"/>
      <c r="H16" s="80"/>
      <c r="I16" s="80"/>
      <c r="J16" s="80"/>
      <c r="K16" s="80"/>
      <c r="L16" s="80"/>
      <c r="M16" s="80"/>
      <c r="N16" s="80"/>
      <c r="O16" s="95">
        <f t="shared" si="0"/>
        <v>132840000</v>
      </c>
      <c r="Q16" s="108"/>
    </row>
    <row r="17" spans="1:15" x14ac:dyDescent="0.3">
      <c r="A17" s="69" t="s">
        <v>46</v>
      </c>
      <c r="B17" s="95">
        <v>7631307683.1761436</v>
      </c>
      <c r="C17" s="80">
        <v>4028785747.1515021</v>
      </c>
      <c r="D17" s="80">
        <v>4686612138.4179249</v>
      </c>
      <c r="E17" s="80">
        <v>4787111618.3285179</v>
      </c>
      <c r="F17" s="80">
        <f>SUMMARY!D30</f>
        <v>5026141793.8723221</v>
      </c>
      <c r="G17" s="80"/>
      <c r="H17" s="80"/>
      <c r="I17" s="80"/>
      <c r="J17" s="80"/>
      <c r="K17" s="80"/>
      <c r="L17" s="80"/>
      <c r="M17" s="80"/>
      <c r="N17" s="80"/>
      <c r="O17" s="95">
        <f t="shared" si="0"/>
        <v>18528651297.770267</v>
      </c>
    </row>
    <row r="18" spans="1:15" x14ac:dyDescent="0.3">
      <c r="A18" s="69" t="s">
        <v>49</v>
      </c>
      <c r="B18" s="95">
        <v>19557982187.519997</v>
      </c>
      <c r="C18" s="80">
        <v>7687655342.0799999</v>
      </c>
      <c r="D18" s="80">
        <v>9068179619.8400002</v>
      </c>
      <c r="E18" s="80">
        <v>8439455907.8400011</v>
      </c>
      <c r="F18" s="80">
        <f>SUMMARY!D31</f>
        <v>6729864314.8799992</v>
      </c>
      <c r="G18" s="80"/>
      <c r="H18" s="80"/>
      <c r="I18" s="80"/>
      <c r="J18" s="80"/>
      <c r="K18" s="80"/>
      <c r="L18" s="80"/>
      <c r="M18" s="80"/>
      <c r="N18" s="80"/>
      <c r="O18" s="95">
        <f t="shared" si="0"/>
        <v>31925155184.639999</v>
      </c>
    </row>
    <row r="19" spans="1:15" x14ac:dyDescent="0.3">
      <c r="A19" s="71" t="s">
        <v>164</v>
      </c>
      <c r="B19" s="96">
        <v>11926674504.343855</v>
      </c>
      <c r="C19" s="81">
        <f>C18-C17</f>
        <v>3658869594.9284978</v>
      </c>
      <c r="D19" s="81">
        <f>D18-D17</f>
        <v>4381567481.4220753</v>
      </c>
      <c r="E19" s="81">
        <v>3652344289.5114832</v>
      </c>
      <c r="F19" s="81">
        <f>F18-F17</f>
        <v>1703722521.0076771</v>
      </c>
      <c r="G19" s="81"/>
      <c r="H19" s="81"/>
      <c r="I19" s="81"/>
      <c r="J19" s="81"/>
      <c r="K19" s="81"/>
      <c r="L19" s="81"/>
      <c r="M19" s="81"/>
      <c r="N19" s="81"/>
      <c r="O19" s="96">
        <f t="shared" si="0"/>
        <v>13396503886.869734</v>
      </c>
    </row>
    <row r="20" spans="1:15" x14ac:dyDescent="0.3">
      <c r="A20" s="86" t="s">
        <v>288</v>
      </c>
      <c r="B20" s="88">
        <v>0.39018890650415372</v>
      </c>
      <c r="C20" s="87">
        <f t="shared" ref="C20:D20" si="1">C17/C18</f>
        <v>0.5240591009718002</v>
      </c>
      <c r="D20" s="87">
        <f t="shared" si="1"/>
        <v>0.51681950897446116</v>
      </c>
      <c r="E20" s="87">
        <v>0.56722988668990315</v>
      </c>
      <c r="F20" s="87">
        <f t="shared" ref="E20:F20" si="2">F17/F18</f>
        <v>0.74684147535624479</v>
      </c>
      <c r="G20" s="87"/>
      <c r="H20" s="87"/>
      <c r="I20" s="87"/>
      <c r="J20" s="87"/>
      <c r="K20" s="87"/>
      <c r="L20" s="87"/>
      <c r="M20" s="87"/>
      <c r="N20" s="87"/>
      <c r="O20" s="87">
        <f t="shared" ref="O20" si="3">O17/O18</f>
        <v>0.58037779896790831</v>
      </c>
    </row>
    <row r="21" spans="1:15" x14ac:dyDescent="0.3">
      <c r="A21" s="86" t="s">
        <v>165</v>
      </c>
      <c r="B21" s="88">
        <v>0.60981109349584639</v>
      </c>
      <c r="C21" s="87">
        <f t="shared" ref="C21:D21" si="4">IFERROR(C19/C18,"")</f>
        <v>0.47594089902819975</v>
      </c>
      <c r="D21" s="87">
        <f t="shared" si="4"/>
        <v>0.48318049102553884</v>
      </c>
      <c r="E21" s="87">
        <v>0.43277011331009679</v>
      </c>
      <c r="F21" s="87">
        <f t="shared" ref="E21:F21" si="5">IFERROR(F19/F18,"")</f>
        <v>0.25315852464375521</v>
      </c>
      <c r="G21" s="87"/>
      <c r="H21" s="87"/>
      <c r="I21" s="87"/>
      <c r="J21" s="87"/>
      <c r="K21" s="87"/>
      <c r="L21" s="87"/>
      <c r="M21" s="87"/>
      <c r="N21" s="87"/>
      <c r="O21" s="88">
        <f t="shared" ref="O21" si="6">O19/O18</f>
        <v>0.4196222010320918</v>
      </c>
    </row>
    <row r="22" spans="1:15" x14ac:dyDescent="0.3">
      <c r="A22" s="89" t="s">
        <v>272</v>
      </c>
      <c r="B22" s="97">
        <v>1.8718349497565931</v>
      </c>
      <c r="C22" s="90">
        <f>IFERROR(C27/C4,0)</f>
        <v>2.0366312410363352</v>
      </c>
      <c r="D22" s="90">
        <f>IFERROR(D27/D4,0)</f>
        <v>2.0066055999443266</v>
      </c>
      <c r="E22" s="90">
        <v>2.0449758729075636</v>
      </c>
      <c r="F22" s="90">
        <f>IFERROR(F27/F4,0)</f>
        <v>1.6506880349237483</v>
      </c>
      <c r="G22" s="90"/>
      <c r="H22" s="90"/>
      <c r="I22" s="90"/>
      <c r="J22" s="90"/>
      <c r="K22" s="90"/>
      <c r="L22" s="90"/>
      <c r="M22" s="90"/>
      <c r="N22" s="90"/>
      <c r="O22" s="97">
        <f>IFERROR(O27/O4,0)</f>
        <v>1.9337910309503772</v>
      </c>
    </row>
    <row r="23" spans="1:15" x14ac:dyDescent="0.3">
      <c r="A23" s="89" t="s">
        <v>352</v>
      </c>
      <c r="B23" s="97"/>
      <c r="C23" s="142">
        <f>2.12/C22</f>
        <v>1.0409346362187997</v>
      </c>
      <c r="D23" s="142">
        <v>0.96680683042737714</v>
      </c>
      <c r="E23" s="142">
        <v>1.0652538625179695</v>
      </c>
      <c r="F23" s="142">
        <f>SUMMARY!F14</f>
        <v>1.0677308600294704</v>
      </c>
      <c r="G23" s="90"/>
      <c r="H23" s="90"/>
      <c r="I23" s="90"/>
      <c r="J23" s="90"/>
      <c r="K23" s="90"/>
      <c r="L23" s="90"/>
      <c r="M23" s="90"/>
      <c r="N23" s="90"/>
      <c r="O23" s="143">
        <f>AVERAGE(C23:N23)</f>
        <v>1.0351815472984041</v>
      </c>
    </row>
    <row r="24" spans="1:15" x14ac:dyDescent="0.3">
      <c r="A24" s="69" t="s">
        <v>73</v>
      </c>
      <c r="B24" s="69">
        <v>61</v>
      </c>
      <c r="C24" s="74">
        <v>31</v>
      </c>
      <c r="D24" s="74">
        <v>28</v>
      </c>
      <c r="E24" s="74">
        <v>31</v>
      </c>
      <c r="F24" s="74">
        <f>SUMMARY!J9</f>
        <v>30</v>
      </c>
      <c r="O24" s="69">
        <f t="shared" si="0"/>
        <v>120</v>
      </c>
    </row>
    <row r="25" spans="1:15" x14ac:dyDescent="0.3">
      <c r="A25" s="69" t="s">
        <v>74</v>
      </c>
      <c r="B25" s="69">
        <v>549</v>
      </c>
      <c r="C25" s="74">
        <v>279</v>
      </c>
      <c r="D25" s="74">
        <v>252</v>
      </c>
      <c r="E25" s="74">
        <v>279</v>
      </c>
      <c r="F25" s="195">
        <f>SUMMARY!J10</f>
        <v>270</v>
      </c>
      <c r="O25" s="69">
        <f t="shared" si="0"/>
        <v>1080</v>
      </c>
    </row>
    <row r="26" spans="1:15" x14ac:dyDescent="0.3">
      <c r="A26" s="69" t="s">
        <v>76</v>
      </c>
      <c r="B26" s="98">
        <v>0.85</v>
      </c>
      <c r="C26" s="82">
        <v>0.85</v>
      </c>
      <c r="D26" s="82">
        <v>0.85</v>
      </c>
      <c r="E26" s="82">
        <v>0.85</v>
      </c>
      <c r="F26" s="195">
        <f>SUMMARY!J11</f>
        <v>0.85</v>
      </c>
      <c r="G26" s="82"/>
      <c r="H26" s="82"/>
      <c r="I26" s="82"/>
      <c r="J26" s="82"/>
      <c r="K26" s="82"/>
      <c r="L26" s="82"/>
      <c r="M26" s="82"/>
      <c r="N26" s="82"/>
      <c r="O26" s="98">
        <f>AVERAGE(C26:N26)</f>
        <v>0.85</v>
      </c>
    </row>
    <row r="27" spans="1:15" x14ac:dyDescent="0.3">
      <c r="A27" s="69" t="s">
        <v>139</v>
      </c>
      <c r="B27" s="99">
        <v>234819.59799182089</v>
      </c>
      <c r="C27" s="83">
        <v>131810</v>
      </c>
      <c r="D27" s="83">
        <v>153187.8031256058</v>
      </c>
      <c r="E27" s="83">
        <v>145293</v>
      </c>
      <c r="F27" s="83">
        <f>SUMMARY!J18</f>
        <v>117279.33802816902</v>
      </c>
      <c r="G27" s="83"/>
      <c r="H27" s="83"/>
      <c r="I27" s="83"/>
      <c r="J27" s="83"/>
      <c r="K27" s="83"/>
      <c r="L27" s="83"/>
      <c r="M27" s="83"/>
      <c r="N27" s="83"/>
      <c r="O27" s="99">
        <f t="shared" si="0"/>
        <v>547570.14115377481</v>
      </c>
    </row>
    <row r="28" spans="1:15" x14ac:dyDescent="0.3">
      <c r="A28" s="69" t="s">
        <v>353</v>
      </c>
      <c r="B28" s="99"/>
      <c r="C28" s="108">
        <v>0.8822540778393142</v>
      </c>
      <c r="D28" s="108">
        <v>0.90920737263787432</v>
      </c>
      <c r="E28" s="108">
        <v>1.3034750634923911</v>
      </c>
      <c r="F28" s="108">
        <f>SUMMARY!J19</f>
        <v>1.3589440175874787</v>
      </c>
      <c r="G28" s="83"/>
      <c r="H28" s="83"/>
      <c r="I28" s="83"/>
      <c r="J28" s="83"/>
      <c r="K28" s="83"/>
      <c r="L28" s="83"/>
      <c r="M28" s="83"/>
      <c r="N28" s="83"/>
      <c r="O28" s="98">
        <f>AVERAGE(C28:N28)</f>
        <v>1.1134701328892644</v>
      </c>
    </row>
    <row r="29" spans="1:15" s="106" customFormat="1" x14ac:dyDescent="0.3">
      <c r="A29" s="104" t="s">
        <v>93</v>
      </c>
      <c r="B29" s="104">
        <v>121718.57625684212</v>
      </c>
      <c r="C29" s="85">
        <v>62249.836249834319</v>
      </c>
      <c r="D29" s="85">
        <v>61389.8885540224</v>
      </c>
      <c r="E29" s="85">
        <v>67377.834860573465</v>
      </c>
      <c r="F29" s="85">
        <f>SUMMARY!J30</f>
        <v>88712.81780871618</v>
      </c>
      <c r="G29" s="85"/>
      <c r="H29" s="85"/>
      <c r="I29" s="85"/>
      <c r="J29" s="85"/>
      <c r="K29" s="85"/>
      <c r="L29" s="105"/>
      <c r="M29" s="105"/>
      <c r="N29" s="105"/>
      <c r="O29" s="104">
        <f t="shared" si="0"/>
        <v>279730.37747314636</v>
      </c>
    </row>
    <row r="30" spans="1:15" x14ac:dyDescent="0.3">
      <c r="A30" s="84" t="str">
        <f>[1]SUMMARY!G21</f>
        <v>( USD / Ton )</v>
      </c>
      <c r="B30" s="100">
        <v>8.197641181091198</v>
      </c>
      <c r="C30" s="85">
        <v>4.1924728077744016</v>
      </c>
      <c r="D30" s="85">
        <v>4.1345560717956893</v>
      </c>
      <c r="E30" s="85">
        <v>4.5378390935192261</v>
      </c>
      <c r="F30" s="85">
        <f>SUMMARY!J31</f>
        <v>5.9747318028499583</v>
      </c>
      <c r="G30" s="85"/>
      <c r="H30" s="85"/>
      <c r="I30" s="85"/>
      <c r="J30" s="85"/>
      <c r="K30" s="85"/>
      <c r="L30" s="85"/>
      <c r="M30" s="85"/>
      <c r="N30" s="85"/>
      <c r="O30" s="100">
        <f t="shared" si="0"/>
        <v>18.839599775939273</v>
      </c>
    </row>
    <row r="31" spans="1:15" x14ac:dyDescent="0.3">
      <c r="I31" s="79"/>
      <c r="J31" s="82"/>
    </row>
    <row r="41" spans="1:2" x14ac:dyDescent="0.3">
      <c r="A41" s="139"/>
      <c r="B41" s="139"/>
    </row>
    <row r="43" spans="1:2" x14ac:dyDescent="0.3">
      <c r="A43" s="140"/>
      <c r="B43" s="140"/>
    </row>
  </sheetData>
  <pageMargins left="0.7" right="0.7" top="0.75" bottom="0.75" header="0.3" footer="0.3"/>
  <pageSetup paperSize="8" scale="7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2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J26" sqref="J26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3" t="s">
        <v>166</v>
      </c>
      <c r="C2" s="183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3"/>
      <c r="C3" s="183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4" t="s">
        <v>1</v>
      </c>
      <c r="C5" s="184" t="s">
        <v>86</v>
      </c>
      <c r="D5" s="187" t="s">
        <v>36</v>
      </c>
      <c r="E5" s="187"/>
      <c r="F5" s="187"/>
      <c r="G5" s="188" t="s">
        <v>37</v>
      </c>
      <c r="H5" s="188"/>
      <c r="I5" s="184" t="s">
        <v>54</v>
      </c>
      <c r="J5" s="185" t="s">
        <v>80</v>
      </c>
      <c r="K5" s="31"/>
      <c r="L5" s="184" t="s">
        <v>47</v>
      </c>
      <c r="M5" s="184" t="s">
        <v>87</v>
      </c>
      <c r="N5" s="184"/>
    </row>
    <row r="6" spans="2:15" ht="15" customHeight="1" x14ac:dyDescent="0.3">
      <c r="B6" s="184"/>
      <c r="C6" s="184"/>
      <c r="D6" s="39" t="s">
        <v>26</v>
      </c>
      <c r="E6" s="40" t="s">
        <v>31</v>
      </c>
      <c r="F6" s="184" t="s">
        <v>28</v>
      </c>
      <c r="G6" s="39" t="s">
        <v>27</v>
      </c>
      <c r="H6" s="184" t="s">
        <v>28</v>
      </c>
      <c r="I6" s="184"/>
      <c r="J6" s="185"/>
      <c r="K6" s="31"/>
      <c r="L6" s="184"/>
      <c r="M6" s="184"/>
      <c r="N6" s="184"/>
    </row>
    <row r="7" spans="2:15" ht="15" customHeight="1" x14ac:dyDescent="0.3">
      <c r="B7" s="184"/>
      <c r="C7" s="184"/>
      <c r="D7" s="39" t="s">
        <v>29</v>
      </c>
      <c r="E7" s="40" t="s">
        <v>30</v>
      </c>
      <c r="F7" s="184"/>
      <c r="G7" s="39" t="s">
        <v>32</v>
      </c>
      <c r="H7" s="184"/>
      <c r="I7" s="39" t="s">
        <v>33</v>
      </c>
      <c r="J7" s="185"/>
      <c r="K7" s="31"/>
      <c r="L7" s="184"/>
      <c r="M7" s="184"/>
      <c r="N7" s="184"/>
    </row>
    <row r="8" spans="2:15" x14ac:dyDescent="0.3">
      <c r="B8" s="41">
        <v>1</v>
      </c>
      <c r="C8" s="41" t="s">
        <v>241</v>
      </c>
      <c r="D8" s="42">
        <v>87</v>
      </c>
      <c r="E8" s="62">
        <f>IF(O8="K",VLOOKUP(M8,Table2[[#All],[UNIT]:[Column7]],10,FALSE),0)</f>
        <v>950000</v>
      </c>
      <c r="F8" s="43">
        <f>D8*E8</f>
        <v>82650000</v>
      </c>
      <c r="G8" s="42">
        <v>2534.9724770642201</v>
      </c>
      <c r="H8" s="44">
        <f t="shared" ref="H8:H20" si="0">G8*$C$25</f>
        <v>0</v>
      </c>
      <c r="I8" s="42">
        <f t="shared" ref="I8:I22" si="1">IFERROR(G8/D8,0)</f>
        <v>29.13761467889908</v>
      </c>
      <c r="J8" s="45">
        <f>F8+H8</f>
        <v>82650000</v>
      </c>
      <c r="K8" s="36"/>
      <c r="L8" s="41" t="s">
        <v>253</v>
      </c>
      <c r="M8" s="41" t="str">
        <f>VLOOKUP(N8,'list rate unit'!O:P,2,FALSE)</f>
        <v>PC 400 LC SE-8</v>
      </c>
      <c r="N8" s="41" t="str">
        <f>C8</f>
        <v>KOMATSU PC 400 - 01</v>
      </c>
      <c r="O8" s="15" t="s">
        <v>56</v>
      </c>
    </row>
    <row r="9" spans="2:15" x14ac:dyDescent="0.3">
      <c r="B9" s="41">
        <v>2</v>
      </c>
      <c r="C9" s="41" t="s">
        <v>256</v>
      </c>
      <c r="D9" s="42">
        <v>19</v>
      </c>
      <c r="E9" s="62">
        <f>IF(O9="K",VLOOKUP(M9,Table2[[#All],[UNIT]:[Column7]],10,FALSE),0)</f>
        <v>400000</v>
      </c>
      <c r="F9" s="43">
        <f t="shared" ref="F9:F16" si="2">D9*E9</f>
        <v>7600000</v>
      </c>
      <c r="G9" s="42">
        <v>539.30769230769226</v>
      </c>
      <c r="H9" s="44">
        <f t="shared" si="0"/>
        <v>0</v>
      </c>
      <c r="I9" s="42">
        <f t="shared" ref="I9:I16" si="3">IFERROR(G9/D9,0)</f>
        <v>28.384615384615383</v>
      </c>
      <c r="J9" s="45">
        <f t="shared" ref="J9:J16" si="4">F9+H9</f>
        <v>7600000</v>
      </c>
      <c r="K9" s="36"/>
      <c r="L9" s="41" t="s">
        <v>253</v>
      </c>
      <c r="M9" s="41" t="str">
        <f>VLOOKUP(N9,'list rate unit'!O:P,2,FALSE)</f>
        <v>PC 300 SE-8</v>
      </c>
      <c r="N9" s="41" t="str">
        <f t="shared" ref="N9:N16" si="5">C9</f>
        <v>KOMATSU PC 300 - 12</v>
      </c>
      <c r="O9" s="15" t="s">
        <v>56</v>
      </c>
    </row>
    <row r="10" spans="2:15" x14ac:dyDescent="0.3">
      <c r="B10" s="41">
        <v>3</v>
      </c>
      <c r="C10" s="41" t="s">
        <v>269</v>
      </c>
      <c r="D10" s="42">
        <v>24</v>
      </c>
      <c r="E10" s="62">
        <f>IF(O10="K",VLOOKUP(M10,Table2[[#All],[UNIT]:[Column7]],10,FALSE),0)</f>
        <v>400000</v>
      </c>
      <c r="F10" s="43">
        <f t="shared" si="2"/>
        <v>9600000</v>
      </c>
      <c r="G10" s="42">
        <v>639.79220779220782</v>
      </c>
      <c r="H10" s="44">
        <f t="shared" si="0"/>
        <v>0</v>
      </c>
      <c r="I10" s="42">
        <f t="shared" si="3"/>
        <v>26.658008658008658</v>
      </c>
      <c r="J10" s="45">
        <f t="shared" si="4"/>
        <v>9600000</v>
      </c>
      <c r="K10" s="36"/>
      <c r="L10" s="41" t="s">
        <v>253</v>
      </c>
      <c r="M10" s="41" t="str">
        <f>VLOOKUP(N10,'list rate unit'!O:P,2,FALSE)</f>
        <v>PC 300 SE-8</v>
      </c>
      <c r="N10" s="41" t="str">
        <f t="shared" si="5"/>
        <v>KOMATSU PC 300 - 17</v>
      </c>
      <c r="O10" s="15" t="s">
        <v>56</v>
      </c>
    </row>
    <row r="11" spans="2:15" x14ac:dyDescent="0.3">
      <c r="B11" s="41">
        <v>4</v>
      </c>
      <c r="C11" s="41" t="s">
        <v>259</v>
      </c>
      <c r="D11" s="42">
        <v>13</v>
      </c>
      <c r="E11" s="62">
        <f>IF(O11="K",VLOOKUP(M11,Table2[[#All],[UNIT]:[Column7]],10,FALSE),0)</f>
        <v>275000</v>
      </c>
      <c r="F11" s="43">
        <f t="shared" ref="F11:F12" si="6">D11*E11</f>
        <v>3575000</v>
      </c>
      <c r="G11" s="42">
        <v>206.8857142857143</v>
      </c>
      <c r="H11" s="44">
        <f t="shared" si="0"/>
        <v>0</v>
      </c>
      <c r="I11" s="42">
        <f t="shared" ref="I11:I12" si="7">IFERROR(G11/D11,0)</f>
        <v>15.914285714285715</v>
      </c>
      <c r="J11" s="45">
        <f t="shared" ref="J11:J12" si="8">F11+H11</f>
        <v>3575000</v>
      </c>
      <c r="K11" s="36"/>
      <c r="L11" s="41" t="s">
        <v>253</v>
      </c>
      <c r="M11" s="41" t="str">
        <f>VLOOKUP(N11,'list rate unit'!O:P,2,FALSE)</f>
        <v>PC 200-8 MO</v>
      </c>
      <c r="N11" s="41" t="str">
        <f t="shared" ref="N11:N12" si="9">C11</f>
        <v>KOMATSU PC 200 - 11</v>
      </c>
      <c r="O11" s="15" t="s">
        <v>56</v>
      </c>
    </row>
    <row r="12" spans="2:15" x14ac:dyDescent="0.3">
      <c r="B12" s="41">
        <v>5</v>
      </c>
      <c r="C12" s="41" t="s">
        <v>262</v>
      </c>
      <c r="D12" s="42">
        <v>10</v>
      </c>
      <c r="E12" s="62">
        <f>IF(O12="K",VLOOKUP(M12,Table2[[#All],[UNIT]:[Column7]],10,FALSE),0)</f>
        <v>275000</v>
      </c>
      <c r="F12" s="43">
        <f t="shared" si="6"/>
        <v>2750000</v>
      </c>
      <c r="G12" s="42">
        <v>105.17241379310346</v>
      </c>
      <c r="H12" s="44">
        <f t="shared" si="0"/>
        <v>0</v>
      </c>
      <c r="I12" s="42">
        <f t="shared" si="7"/>
        <v>10.517241379310345</v>
      </c>
      <c r="J12" s="45">
        <f t="shared" si="8"/>
        <v>2750000</v>
      </c>
      <c r="K12" s="36"/>
      <c r="L12" s="41" t="s">
        <v>253</v>
      </c>
      <c r="M12" s="41" t="str">
        <f>VLOOKUP(N12,'list rate unit'!O:P,2,FALSE)</f>
        <v>PC 200-8 MO</v>
      </c>
      <c r="N12" s="41" t="str">
        <f t="shared" si="9"/>
        <v>KOMATSU PC 200 - 15</v>
      </c>
      <c r="O12" s="15" t="s">
        <v>56</v>
      </c>
    </row>
    <row r="13" spans="2:15" x14ac:dyDescent="0.3">
      <c r="B13" s="41">
        <v>6</v>
      </c>
      <c r="C13" s="41" t="s">
        <v>246</v>
      </c>
      <c r="D13" s="42">
        <v>103</v>
      </c>
      <c r="E13" s="62">
        <f>IF(O13="K",VLOOKUP(M13,Table2[[#All],[UNIT]:[Column7]],10,FALSE),0)</f>
        <v>1424304.3667884208</v>
      </c>
      <c r="F13" s="43">
        <f t="shared" si="2"/>
        <v>146703349.77920735</v>
      </c>
      <c r="G13" s="42">
        <v>1714.6015037593986</v>
      </c>
      <c r="H13" s="44">
        <f t="shared" si="0"/>
        <v>0</v>
      </c>
      <c r="I13" s="42">
        <f t="shared" si="3"/>
        <v>16.646616541353385</v>
      </c>
      <c r="J13" s="45">
        <f t="shared" si="4"/>
        <v>146703349.77920735</v>
      </c>
      <c r="K13" s="36"/>
      <c r="L13" s="41" t="s">
        <v>253</v>
      </c>
      <c r="M13" s="41" t="str">
        <f>VLOOKUP(N13,'list rate unit'!O:P,2,FALSE)</f>
        <v>HM 400-3R</v>
      </c>
      <c r="N13" s="41" t="str">
        <f t="shared" si="5"/>
        <v>KOMATSU HM 400 - 06</v>
      </c>
      <c r="O13" s="15" t="s">
        <v>56</v>
      </c>
    </row>
    <row r="14" spans="2:15" x14ac:dyDescent="0.3">
      <c r="B14" s="41">
        <v>7</v>
      </c>
      <c r="C14" s="41" t="s">
        <v>247</v>
      </c>
      <c r="D14" s="42">
        <v>167</v>
      </c>
      <c r="E14" s="62">
        <f>IF(O14="K",VLOOKUP(M14,Table2[[#All],[UNIT]:[Column7]],10,FALSE),0)</f>
        <v>1424304.3667884208</v>
      </c>
      <c r="F14" s="43">
        <f t="shared" si="2"/>
        <v>237858829.25366628</v>
      </c>
      <c r="G14" s="42">
        <v>2706.0994764397906</v>
      </c>
      <c r="H14" s="44">
        <f t="shared" si="0"/>
        <v>0</v>
      </c>
      <c r="I14" s="42">
        <f t="shared" si="3"/>
        <v>16.204188481675391</v>
      </c>
      <c r="J14" s="45">
        <f t="shared" si="4"/>
        <v>237858829.25366628</v>
      </c>
      <c r="K14" s="36"/>
      <c r="L14" s="41" t="s">
        <v>253</v>
      </c>
      <c r="M14" s="41" t="str">
        <f>VLOOKUP(N14,'list rate unit'!O:P,2,FALSE)</f>
        <v>HM 400-3R</v>
      </c>
      <c r="N14" s="41" t="str">
        <f t="shared" si="5"/>
        <v>KOMATSU HM 400 - 07</v>
      </c>
      <c r="O14" s="15" t="s">
        <v>56</v>
      </c>
    </row>
    <row r="15" spans="2:15" x14ac:dyDescent="0.3">
      <c r="B15" s="41">
        <v>8</v>
      </c>
      <c r="C15" s="41" t="s">
        <v>248</v>
      </c>
      <c r="D15" s="42">
        <v>111</v>
      </c>
      <c r="E15" s="62">
        <f>IF(O15="K",VLOOKUP(M15,Table2[[#All],[UNIT]:[Column7]],10,FALSE),0)</f>
        <v>1424304.3667884208</v>
      </c>
      <c r="F15" s="43">
        <f t="shared" si="2"/>
        <v>158097784.71351472</v>
      </c>
      <c r="G15" s="42">
        <v>1778.3450704225352</v>
      </c>
      <c r="H15" s="44">
        <f t="shared" si="0"/>
        <v>0</v>
      </c>
      <c r="I15" s="42">
        <f t="shared" si="3"/>
        <v>16.02112676056338</v>
      </c>
      <c r="J15" s="45">
        <f t="shared" si="4"/>
        <v>158097784.71351472</v>
      </c>
      <c r="K15" s="36"/>
      <c r="L15" s="41" t="s">
        <v>253</v>
      </c>
      <c r="M15" s="41" t="str">
        <f>VLOOKUP(N15,'list rate unit'!O:P,2,FALSE)</f>
        <v>HM 400-3R</v>
      </c>
      <c r="N15" s="41" t="str">
        <f t="shared" si="5"/>
        <v>KOMATSU HM 400 - 08</v>
      </c>
      <c r="O15" s="15" t="s">
        <v>56</v>
      </c>
    </row>
    <row r="16" spans="2:15" x14ac:dyDescent="0.3">
      <c r="B16" s="41">
        <v>9</v>
      </c>
      <c r="C16" s="41" t="s">
        <v>201</v>
      </c>
      <c r="D16" s="42">
        <v>105</v>
      </c>
      <c r="E16" s="62">
        <f>IF(O16="K",VLOOKUP(M16,Table2[[#All],[UNIT]:[Column7]],10,FALSE),0)</f>
        <v>1424304.3667884208</v>
      </c>
      <c r="F16" s="43">
        <f t="shared" si="2"/>
        <v>149551958.51278418</v>
      </c>
      <c r="G16" s="42">
        <v>1814.8780487804879</v>
      </c>
      <c r="H16" s="44">
        <f t="shared" si="0"/>
        <v>0</v>
      </c>
      <c r="I16" s="42">
        <f t="shared" si="3"/>
        <v>17.284552845528456</v>
      </c>
      <c r="J16" s="45">
        <f t="shared" si="4"/>
        <v>149551958.51278418</v>
      </c>
      <c r="K16" s="36"/>
      <c r="L16" s="41" t="s">
        <v>253</v>
      </c>
      <c r="M16" s="41" t="str">
        <f>VLOOKUP(N16,'list rate unit'!O:P,2,FALSE)</f>
        <v>HM 400-3R</v>
      </c>
      <c r="N16" s="41" t="str">
        <f t="shared" si="5"/>
        <v>KOMATSU HM 400 - 09</v>
      </c>
      <c r="O16" s="15" t="s">
        <v>56</v>
      </c>
    </row>
    <row r="17" spans="2:15" s="193" customFormat="1" x14ac:dyDescent="0.3">
      <c r="B17" s="41">
        <v>10</v>
      </c>
      <c r="C17" s="41" t="s">
        <v>202</v>
      </c>
      <c r="D17" s="42">
        <v>108</v>
      </c>
      <c r="E17" s="62">
        <f>IF(O17="K",VLOOKUP(M17,Table2[[#All],[UNIT]:[Column7]],10,FALSE),0)</f>
        <v>1424304.3667884208</v>
      </c>
      <c r="F17" s="43">
        <f t="shared" ref="F17:F18" si="10">D17*E17</f>
        <v>153824871.61314946</v>
      </c>
      <c r="G17" s="42">
        <v>1645.7142857142856</v>
      </c>
      <c r="H17" s="44">
        <f t="shared" ref="H17:H18" si="11">G17*$C$25</f>
        <v>0</v>
      </c>
      <c r="I17" s="42">
        <f t="shared" ref="I17:I18" si="12">IFERROR(G17/D17,0)</f>
        <v>15.238095238095237</v>
      </c>
      <c r="J17" s="45">
        <f t="shared" ref="J17:J18" si="13">F17+H17</f>
        <v>153824871.61314946</v>
      </c>
      <c r="K17" s="36"/>
      <c r="L17" s="41" t="s">
        <v>253</v>
      </c>
      <c r="M17" s="41" t="str">
        <f>VLOOKUP(N17,'list rate unit'!O:P,2,FALSE)</f>
        <v>HM 400-3R</v>
      </c>
      <c r="N17" s="41" t="str">
        <f t="shared" ref="N17:N18" si="14">C17</f>
        <v>KOMATSU HM 400 - 10</v>
      </c>
      <c r="O17" s="193" t="s">
        <v>56</v>
      </c>
    </row>
    <row r="18" spans="2:15" s="193" customFormat="1" x14ac:dyDescent="0.3">
      <c r="B18" s="41">
        <v>11</v>
      </c>
      <c r="C18" s="41" t="s">
        <v>250</v>
      </c>
      <c r="D18" s="42">
        <v>98</v>
      </c>
      <c r="E18" s="62">
        <f>IF(O18="K",VLOOKUP(M18,Table2[[#All],[UNIT]:[Column7]],10,FALSE),0)</f>
        <v>425000</v>
      </c>
      <c r="F18" s="43">
        <f t="shared" si="10"/>
        <v>41650000</v>
      </c>
      <c r="G18" s="42">
        <v>2757</v>
      </c>
      <c r="H18" s="44">
        <f t="shared" si="11"/>
        <v>0</v>
      </c>
      <c r="I18" s="42">
        <f t="shared" si="12"/>
        <v>28.132653061224488</v>
      </c>
      <c r="J18" s="45">
        <f t="shared" si="13"/>
        <v>41650000</v>
      </c>
      <c r="K18" s="36"/>
      <c r="L18" s="41" t="s">
        <v>253</v>
      </c>
      <c r="M18" s="41" t="str">
        <f>VLOOKUP(N18,'list rate unit'!O:P,2,FALSE)</f>
        <v>D 65 P-12</v>
      </c>
      <c r="N18" s="41" t="str">
        <f t="shared" si="14"/>
        <v>KOMATSU DOZER D65 - 11</v>
      </c>
      <c r="O18" s="193" t="s">
        <v>56</v>
      </c>
    </row>
    <row r="19" spans="2:15" x14ac:dyDescent="0.3">
      <c r="B19" s="41">
        <v>12</v>
      </c>
      <c r="C19" s="41" t="s">
        <v>215</v>
      </c>
      <c r="D19" s="42">
        <v>155</v>
      </c>
      <c r="E19" s="62">
        <f>IF(O19="K",VLOOKUP(M19,Table2[[#All],[UNIT]:[Column7]],10,FALSE),0)</f>
        <v>425000</v>
      </c>
      <c r="F19" s="43">
        <f t="shared" ref="F19:F20" si="15">D19*E19</f>
        <v>65875000</v>
      </c>
      <c r="G19" s="42">
        <v>3930</v>
      </c>
      <c r="H19" s="44">
        <f t="shared" si="0"/>
        <v>0</v>
      </c>
      <c r="I19" s="42">
        <f t="shared" ref="I19:I20" si="16">IFERROR(G19/D19,0)</f>
        <v>25.35483870967742</v>
      </c>
      <c r="J19" s="45">
        <f t="shared" ref="J19:J20" si="17">F19+H19</f>
        <v>65875000</v>
      </c>
      <c r="K19" s="36"/>
      <c r="L19" s="41" t="s">
        <v>253</v>
      </c>
      <c r="M19" s="41" t="str">
        <f>VLOOKUP(N19,'list rate unit'!O:P,2,FALSE)</f>
        <v>D 65 P-12</v>
      </c>
      <c r="N19" s="41" t="str">
        <f t="shared" ref="N19:N20" si="18">C19</f>
        <v>KOMATSU DOZER D65 - 12</v>
      </c>
      <c r="O19" s="15" t="s">
        <v>56</v>
      </c>
    </row>
    <row r="20" spans="2:15" x14ac:dyDescent="0.3">
      <c r="B20" s="41">
        <v>13</v>
      </c>
      <c r="C20" s="41" t="s">
        <v>264</v>
      </c>
      <c r="D20" s="42">
        <v>102</v>
      </c>
      <c r="E20" s="62">
        <f>IF(O20="K",VLOOKUP(M20,Table2[[#All],[UNIT]:[Column7]],10,FALSE),0)</f>
        <v>425000</v>
      </c>
      <c r="F20" s="43">
        <f t="shared" si="15"/>
        <v>43350000</v>
      </c>
      <c r="G20" s="42">
        <v>2176.3953488372094</v>
      </c>
      <c r="H20" s="44">
        <f t="shared" si="0"/>
        <v>0</v>
      </c>
      <c r="I20" s="42">
        <f t="shared" si="16"/>
        <v>21.337209302325583</v>
      </c>
      <c r="J20" s="45">
        <f t="shared" si="17"/>
        <v>43350000</v>
      </c>
      <c r="K20" s="36"/>
      <c r="L20" s="41" t="s">
        <v>253</v>
      </c>
      <c r="M20" s="41" t="str">
        <f>VLOOKUP(N20,'list rate unit'!O:P,2,FALSE)</f>
        <v>D 85 ESS-2</v>
      </c>
      <c r="N20" s="41" t="str">
        <f t="shared" si="18"/>
        <v>KOMATSU DOZER D85SS - 11</v>
      </c>
      <c r="O20" s="15" t="s">
        <v>56</v>
      </c>
    </row>
    <row r="21" spans="2:15" x14ac:dyDescent="0.3">
      <c r="D21" s="18"/>
      <c r="F21" s="32"/>
      <c r="G21" s="18"/>
      <c r="H21" s="30"/>
      <c r="I21" s="18"/>
      <c r="J21" s="33"/>
      <c r="K21" s="18"/>
    </row>
    <row r="22" spans="2:15" s="1" customFormat="1" ht="15.75" customHeight="1" x14ac:dyDescent="0.3">
      <c r="B22" s="186" t="s">
        <v>21</v>
      </c>
      <c r="C22" s="186"/>
      <c r="D22" s="46">
        <f>SUM(D8:D21)</f>
        <v>1102</v>
      </c>
      <c r="E22" s="63">
        <f>AVERAGE(E8:E21)</f>
        <v>822809.37184170028</v>
      </c>
      <c r="F22" s="47">
        <f>SUM(F8:F21)</f>
        <v>1103086793.8723218</v>
      </c>
      <c r="G22" s="46">
        <f>SUM(G8:G21)</f>
        <v>22549.164239196645</v>
      </c>
      <c r="H22" s="47">
        <f>SUM(H8:H21)</f>
        <v>0</v>
      </c>
      <c r="I22" s="46">
        <f t="shared" si="1"/>
        <v>20.462036514697502</v>
      </c>
      <c r="J22" s="48">
        <f>SUM(J8:J21)</f>
        <v>1103086793.8723218</v>
      </c>
      <c r="K22" s="37"/>
    </row>
    <row r="24" spans="2:15" x14ac:dyDescent="0.3">
      <c r="B24" s="35" t="s">
        <v>34</v>
      </c>
      <c r="C24" s="29">
        <f>SUMMARY!J32</f>
        <v>14848</v>
      </c>
    </row>
    <row r="25" spans="2:15" x14ac:dyDescent="0.3">
      <c r="B25" s="35" t="s">
        <v>35</v>
      </c>
      <c r="C25" s="29">
        <f>SUMMARY!$J$13</f>
        <v>0</v>
      </c>
      <c r="F25" s="30"/>
      <c r="G25" s="18"/>
    </row>
    <row r="27" spans="2:15" x14ac:dyDescent="0.3">
      <c r="F27" s="18"/>
    </row>
  </sheetData>
  <autoFilter ref="B7:O22" xr:uid="{00000000-0009-0000-0000-000003000000}"/>
  <mergeCells count="13">
    <mergeCell ref="B22:C22"/>
    <mergeCell ref="C5:C7"/>
    <mergeCell ref="B5:B7"/>
    <mergeCell ref="D5:F5"/>
    <mergeCell ref="G5:H5"/>
    <mergeCell ref="F6:F7"/>
    <mergeCell ref="H6:H7"/>
    <mergeCell ref="B2:C3"/>
    <mergeCell ref="M5:M7"/>
    <mergeCell ref="N5:N7"/>
    <mergeCell ref="I5:I6"/>
    <mergeCell ref="L5:L7"/>
    <mergeCell ref="J5:J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23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F12" sqref="F12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3" t="s">
        <v>167</v>
      </c>
      <c r="C2" s="183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3"/>
      <c r="C3" s="183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4" t="s">
        <v>1</v>
      </c>
      <c r="C5" s="184" t="s">
        <v>86</v>
      </c>
      <c r="D5" s="187" t="s">
        <v>36</v>
      </c>
      <c r="E5" s="187"/>
      <c r="F5" s="187"/>
      <c r="G5" s="188" t="s">
        <v>37</v>
      </c>
      <c r="H5" s="188"/>
      <c r="I5" s="184" t="s">
        <v>54</v>
      </c>
      <c r="J5" s="185" t="s">
        <v>80</v>
      </c>
      <c r="K5" s="31"/>
      <c r="L5" s="184" t="s">
        <v>47</v>
      </c>
      <c r="M5" s="184" t="s">
        <v>87</v>
      </c>
      <c r="N5" s="184"/>
    </row>
    <row r="6" spans="2:15" ht="15" customHeight="1" x14ac:dyDescent="0.3">
      <c r="B6" s="184"/>
      <c r="C6" s="184"/>
      <c r="D6" s="39" t="s">
        <v>26</v>
      </c>
      <c r="E6" s="40" t="s">
        <v>31</v>
      </c>
      <c r="F6" s="184" t="s">
        <v>28</v>
      </c>
      <c r="G6" s="39" t="s">
        <v>27</v>
      </c>
      <c r="H6" s="184" t="s">
        <v>28</v>
      </c>
      <c r="I6" s="184"/>
      <c r="J6" s="185"/>
      <c r="K6" s="31"/>
      <c r="L6" s="184"/>
      <c r="M6" s="184"/>
      <c r="N6" s="184"/>
    </row>
    <row r="7" spans="2:15" ht="15" customHeight="1" x14ac:dyDescent="0.3">
      <c r="B7" s="184"/>
      <c r="C7" s="184"/>
      <c r="D7" s="39" t="s">
        <v>29</v>
      </c>
      <c r="E7" s="40" t="s">
        <v>30</v>
      </c>
      <c r="F7" s="184"/>
      <c r="G7" s="39" t="s">
        <v>32</v>
      </c>
      <c r="H7" s="184"/>
      <c r="I7" s="39" t="s">
        <v>33</v>
      </c>
      <c r="J7" s="185"/>
      <c r="K7" s="31"/>
      <c r="L7" s="184"/>
      <c r="M7" s="184"/>
      <c r="N7" s="184"/>
    </row>
    <row r="8" spans="2:15" x14ac:dyDescent="0.3">
      <c r="B8" s="41">
        <v>1</v>
      </c>
      <c r="C8" s="41" t="s">
        <v>241</v>
      </c>
      <c r="D8" s="42">
        <v>12</v>
      </c>
      <c r="E8" s="62">
        <f>IF(O8="K",VLOOKUP(M8,Table2[[#All],[UNIT]:[Column7]],10,FALSE),0)</f>
        <v>1000000</v>
      </c>
      <c r="F8" s="43">
        <f>D8*E8</f>
        <v>12000000</v>
      </c>
      <c r="G8" s="42">
        <v>407.9266055045872</v>
      </c>
      <c r="H8" s="44">
        <f>G8*$C$21</f>
        <v>0</v>
      </c>
      <c r="I8" s="42">
        <f t="shared" ref="I8:I14" si="0">IFERROR(G8/D8,0)</f>
        <v>33.993883792048933</v>
      </c>
      <c r="J8" s="45">
        <f>F8+H8</f>
        <v>12000000</v>
      </c>
      <c r="K8" s="36"/>
      <c r="L8" s="41" t="s">
        <v>253</v>
      </c>
      <c r="M8" s="41" t="s">
        <v>148</v>
      </c>
      <c r="N8" s="41" t="str">
        <f>C8</f>
        <v>KOMATSU PC 400 - 01</v>
      </c>
      <c r="O8" s="15" t="s">
        <v>56</v>
      </c>
    </row>
    <row r="9" spans="2:15" x14ac:dyDescent="0.3">
      <c r="B9" s="41">
        <v>2</v>
      </c>
      <c r="C9" s="41" t="s">
        <v>256</v>
      </c>
      <c r="D9" s="42">
        <v>74</v>
      </c>
      <c r="E9" s="62">
        <f>IF(O9="K",VLOOKUP(M9,Table2[[#All],[UNIT]:[Column7]],10,FALSE),0)</f>
        <v>1000000</v>
      </c>
      <c r="F9" s="43">
        <f t="shared" ref="F9:F14" si="1">D9*E9</f>
        <v>74000000</v>
      </c>
      <c r="G9" s="42">
        <v>397.38461538461536</v>
      </c>
      <c r="H9" s="44">
        <f>G9*$C$21</f>
        <v>0</v>
      </c>
      <c r="I9" s="42">
        <f t="shared" si="0"/>
        <v>5.37006237006237</v>
      </c>
      <c r="J9" s="45">
        <f t="shared" ref="J9:J14" si="2">F9+H9</f>
        <v>74000000</v>
      </c>
      <c r="K9" s="36"/>
      <c r="L9" s="41" t="s">
        <v>253</v>
      </c>
      <c r="M9" s="41" t="s">
        <v>148</v>
      </c>
      <c r="N9" s="41" t="str">
        <f t="shared" ref="N9:N14" si="3">C9</f>
        <v>KOMATSU PC 300 - 12</v>
      </c>
      <c r="O9" s="15" t="s">
        <v>56</v>
      </c>
    </row>
    <row r="10" spans="2:15" x14ac:dyDescent="0.3">
      <c r="B10" s="41">
        <v>3</v>
      </c>
      <c r="C10" s="41" t="s">
        <v>269</v>
      </c>
      <c r="D10" s="42">
        <v>31</v>
      </c>
      <c r="E10" s="62">
        <f>IF(O10="K",VLOOKUP(M10,Table2[[#All],[UNIT]:[Column7]],10,FALSE),0)</f>
        <v>1000000</v>
      </c>
      <c r="F10" s="43">
        <f t="shared" ref="F10:F11" si="4">D10*E10</f>
        <v>31000000</v>
      </c>
      <c r="G10" s="42">
        <v>2132.6406926406926</v>
      </c>
      <c r="H10" s="44">
        <f t="shared" ref="H10:H11" si="5">G10*$C$21</f>
        <v>0</v>
      </c>
      <c r="I10" s="42">
        <f t="shared" ref="I10:I11" si="6">IFERROR(G10/D10,0)</f>
        <v>68.794861052925569</v>
      </c>
      <c r="J10" s="45">
        <f t="shared" ref="J10:J11" si="7">F10+H10</f>
        <v>31000000</v>
      </c>
      <c r="K10" s="36"/>
      <c r="L10" s="41" t="s">
        <v>253</v>
      </c>
      <c r="M10" s="41" t="s">
        <v>148</v>
      </c>
      <c r="N10" s="41" t="str">
        <f t="shared" ref="N10:N11" si="8">C10</f>
        <v>KOMATSU PC 300 - 17</v>
      </c>
      <c r="O10" s="15" t="s">
        <v>56</v>
      </c>
    </row>
    <row r="11" spans="2:15" x14ac:dyDescent="0.3">
      <c r="B11" s="41">
        <v>4</v>
      </c>
      <c r="C11" s="41" t="s">
        <v>329</v>
      </c>
      <c r="D11" s="42">
        <v>57</v>
      </c>
      <c r="E11" s="62">
        <f>IF(O11="K",VLOOKUP(M11,Table2[[#All],[UNIT]:[Column7]],10,FALSE),0)</f>
        <v>1000000</v>
      </c>
      <c r="F11" s="43">
        <f t="shared" si="4"/>
        <v>57000000</v>
      </c>
      <c r="G11" s="42">
        <v>500</v>
      </c>
      <c r="H11" s="44">
        <f t="shared" si="5"/>
        <v>0</v>
      </c>
      <c r="I11" s="42">
        <f t="shared" si="6"/>
        <v>8.7719298245614041</v>
      </c>
      <c r="J11" s="45">
        <f t="shared" si="7"/>
        <v>57000000</v>
      </c>
      <c r="K11" s="36"/>
      <c r="L11" s="41" t="s">
        <v>253</v>
      </c>
      <c r="M11" s="41" t="s">
        <v>148</v>
      </c>
      <c r="N11" s="41" t="str">
        <f t="shared" si="8"/>
        <v>KOMATSU PC 200 - 10</v>
      </c>
      <c r="O11" s="15" t="s">
        <v>56</v>
      </c>
    </row>
    <row r="12" spans="2:15" x14ac:dyDescent="0.3">
      <c r="B12" s="41">
        <v>5</v>
      </c>
      <c r="C12" s="41" t="s">
        <v>246</v>
      </c>
      <c r="D12" s="42">
        <v>44</v>
      </c>
      <c r="E12" s="62">
        <f>IF(O12="K",VLOOKUP(M12,Table2[[#All],[UNIT]:[Column7]],10,FALSE),0)</f>
        <v>1000000</v>
      </c>
      <c r="F12" s="43">
        <f t="shared" si="1"/>
        <v>44000000</v>
      </c>
      <c r="G12" s="42">
        <v>499.39849624060156</v>
      </c>
      <c r="H12" s="44">
        <f>G12*$C$21</f>
        <v>0</v>
      </c>
      <c r="I12" s="42">
        <f t="shared" si="0"/>
        <v>11.349965823650036</v>
      </c>
      <c r="J12" s="45">
        <f t="shared" si="2"/>
        <v>44000000</v>
      </c>
      <c r="K12" s="36"/>
      <c r="L12" s="41" t="s">
        <v>253</v>
      </c>
      <c r="M12" s="41" t="s">
        <v>148</v>
      </c>
      <c r="N12" s="41" t="str">
        <f t="shared" si="3"/>
        <v>KOMATSU HM 400 - 06</v>
      </c>
      <c r="O12" s="15" t="s">
        <v>56</v>
      </c>
    </row>
    <row r="13" spans="2:15" x14ac:dyDescent="0.3">
      <c r="B13" s="41">
        <v>6</v>
      </c>
      <c r="C13" s="41" t="s">
        <v>247</v>
      </c>
      <c r="D13" s="42">
        <v>28</v>
      </c>
      <c r="E13" s="62">
        <f>IF(O13="K",VLOOKUP(M13,Table2[[#All],[UNIT]:[Column7]],10,FALSE),0)</f>
        <v>1000000</v>
      </c>
      <c r="F13" s="43">
        <f t="shared" si="1"/>
        <v>28000000</v>
      </c>
      <c r="G13" s="42">
        <v>388.90052356020942</v>
      </c>
      <c r="H13" s="44">
        <f>G13*$C$21</f>
        <v>0</v>
      </c>
      <c r="I13" s="42">
        <f t="shared" si="0"/>
        <v>13.889304412864622</v>
      </c>
      <c r="J13" s="45">
        <f t="shared" si="2"/>
        <v>28000000</v>
      </c>
      <c r="K13" s="36"/>
      <c r="L13" s="41" t="s">
        <v>253</v>
      </c>
      <c r="M13" s="41" t="s">
        <v>148</v>
      </c>
      <c r="N13" s="41" t="str">
        <f t="shared" si="3"/>
        <v>KOMATSU HM 400 - 07</v>
      </c>
      <c r="O13" s="15" t="s">
        <v>56</v>
      </c>
    </row>
    <row r="14" spans="2:15" x14ac:dyDescent="0.3">
      <c r="B14" s="41">
        <v>7</v>
      </c>
      <c r="C14" s="41" t="s">
        <v>248</v>
      </c>
      <c r="D14" s="42">
        <v>85</v>
      </c>
      <c r="E14" s="62">
        <f>IF(O14="K",VLOOKUP(M14,Table2[[#All],[UNIT]:[Column7]],10,FALSE),0)</f>
        <v>950000</v>
      </c>
      <c r="F14" s="43">
        <f t="shared" si="1"/>
        <v>80750000</v>
      </c>
      <c r="G14" s="42">
        <v>752.99295774647885</v>
      </c>
      <c r="H14" s="44">
        <f>G14*$C$21</f>
        <v>0</v>
      </c>
      <c r="I14" s="42">
        <f t="shared" si="0"/>
        <v>8.8587406793703387</v>
      </c>
      <c r="J14" s="45">
        <f t="shared" si="2"/>
        <v>80750000</v>
      </c>
      <c r="K14" s="36"/>
      <c r="L14" s="41" t="s">
        <v>253</v>
      </c>
      <c r="M14" s="41" t="s">
        <v>111</v>
      </c>
      <c r="N14" s="41" t="str">
        <f t="shared" si="3"/>
        <v>KOMATSU HM 400 - 08</v>
      </c>
      <c r="O14" s="15" t="s">
        <v>56</v>
      </c>
    </row>
    <row r="15" spans="2:15" x14ac:dyDescent="0.3">
      <c r="B15" s="41">
        <v>8</v>
      </c>
      <c r="C15" s="41" t="s">
        <v>201</v>
      </c>
      <c r="D15" s="42">
        <v>97</v>
      </c>
      <c r="E15" s="62">
        <f>IF(O15="K",VLOOKUP(M15,Table2[[#All],[UNIT]:[Column7]],10,FALSE),0)</f>
        <v>950000</v>
      </c>
      <c r="F15" s="43">
        <f t="shared" ref="F15:F16" si="9">D15*E15</f>
        <v>92150000</v>
      </c>
      <c r="G15" s="42">
        <v>311.1219512195122</v>
      </c>
      <c r="H15" s="44">
        <f t="shared" ref="H15:H16" si="10">G15*$C$21</f>
        <v>0</v>
      </c>
      <c r="I15" s="42">
        <f t="shared" ref="I15:I16" si="11">IFERROR(G15/D15,0)</f>
        <v>3.2074427960774452</v>
      </c>
      <c r="J15" s="45">
        <f t="shared" ref="J15:J16" si="12">F15+H15</f>
        <v>92150000</v>
      </c>
      <c r="K15" s="36"/>
      <c r="L15" s="41" t="s">
        <v>253</v>
      </c>
      <c r="M15" s="41" t="s">
        <v>111</v>
      </c>
      <c r="N15" s="41" t="str">
        <f t="shared" ref="N15:N16" si="13">C15</f>
        <v>KOMATSU HM 400 - 09</v>
      </c>
      <c r="O15" s="15" t="s">
        <v>56</v>
      </c>
    </row>
    <row r="16" spans="2:15" x14ac:dyDescent="0.3">
      <c r="B16" s="41">
        <v>9</v>
      </c>
      <c r="C16" s="41" t="s">
        <v>202</v>
      </c>
      <c r="D16" s="42">
        <v>29</v>
      </c>
      <c r="E16" s="62">
        <f>IF(O16="K",VLOOKUP(M16,Table2[[#All],[UNIT]:[Column7]],10,FALSE),0)</f>
        <v>950000</v>
      </c>
      <c r="F16" s="43">
        <f t="shared" si="9"/>
        <v>27550000</v>
      </c>
      <c r="G16" s="42">
        <v>594.28571428571422</v>
      </c>
      <c r="H16" s="44">
        <f t="shared" si="10"/>
        <v>0</v>
      </c>
      <c r="I16" s="42">
        <f t="shared" si="11"/>
        <v>20.49261083743842</v>
      </c>
      <c r="J16" s="45">
        <f t="shared" si="12"/>
        <v>27550000</v>
      </c>
      <c r="K16" s="36"/>
      <c r="L16" s="41" t="s">
        <v>253</v>
      </c>
      <c r="M16" s="41" t="s">
        <v>111</v>
      </c>
      <c r="N16" s="41" t="str">
        <f t="shared" si="13"/>
        <v>KOMATSU HM 400 - 10</v>
      </c>
      <c r="O16" s="15" t="s">
        <v>56</v>
      </c>
    </row>
    <row r="17" spans="2:11" x14ac:dyDescent="0.3">
      <c r="D17" s="18"/>
      <c r="F17" s="32"/>
      <c r="G17" s="18"/>
      <c r="H17" s="30"/>
      <c r="I17" s="18"/>
      <c r="J17" s="33"/>
      <c r="K17" s="18"/>
    </row>
    <row r="18" spans="2:11" s="1" customFormat="1" ht="15.75" customHeight="1" x14ac:dyDescent="0.3">
      <c r="B18" s="186" t="s">
        <v>21</v>
      </c>
      <c r="C18" s="186"/>
      <c r="D18" s="46">
        <f>SUM(D8:D17)</f>
        <v>457</v>
      </c>
      <c r="E18" s="63">
        <f>AVERAGE(E8:E17)</f>
        <v>983333.33333333337</v>
      </c>
      <c r="F18" s="47">
        <f>SUM(F8:F17)</f>
        <v>446450000</v>
      </c>
      <c r="G18" s="46">
        <f>SUM(G8:G17)</f>
        <v>5984.651556582412</v>
      </c>
      <c r="H18" s="47">
        <f>SUM(H8:H17)</f>
        <v>0</v>
      </c>
      <c r="I18" s="46">
        <f t="shared" ref="I18" si="14">IFERROR(G18/D18,0)</f>
        <v>13.095517629283178</v>
      </c>
      <c r="J18" s="48">
        <f>SUM(J8:J17)</f>
        <v>446450000</v>
      </c>
      <c r="K18" s="37"/>
    </row>
    <row r="20" spans="2:11" x14ac:dyDescent="0.3">
      <c r="B20" s="35" t="s">
        <v>34</v>
      </c>
      <c r="C20" s="29">
        <f>SUMMARY!J32</f>
        <v>14848</v>
      </c>
    </row>
    <row r="21" spans="2:11" x14ac:dyDescent="0.3">
      <c r="B21" s="35" t="s">
        <v>35</v>
      </c>
      <c r="C21" s="29">
        <f>SUMMARY!$J$13</f>
        <v>0</v>
      </c>
      <c r="F21" s="30"/>
      <c r="G21" s="18"/>
    </row>
    <row r="23" spans="2:11" x14ac:dyDescent="0.3">
      <c r="F23" s="18"/>
    </row>
  </sheetData>
  <autoFilter ref="B7:O14" xr:uid="{00000000-0009-0000-0000-000003000000}"/>
  <mergeCells count="13">
    <mergeCell ref="B18:C18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85A75-3452-4E3E-8D5E-19E9DB95BB07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C15" sqref="C15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3" t="s">
        <v>284</v>
      </c>
      <c r="C2" s="183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3"/>
      <c r="C3" s="183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4" t="s">
        <v>1</v>
      </c>
      <c r="C5" s="184" t="s">
        <v>86</v>
      </c>
      <c r="D5" s="187" t="s">
        <v>36</v>
      </c>
      <c r="E5" s="187"/>
      <c r="F5" s="187"/>
      <c r="G5" s="188" t="s">
        <v>37</v>
      </c>
      <c r="H5" s="188"/>
      <c r="I5" s="184" t="s">
        <v>54</v>
      </c>
      <c r="J5" s="185" t="s">
        <v>80</v>
      </c>
      <c r="K5" s="31"/>
      <c r="L5" s="184" t="s">
        <v>47</v>
      </c>
      <c r="M5" s="184" t="s">
        <v>87</v>
      </c>
      <c r="N5" s="184"/>
    </row>
    <row r="6" spans="2:15" ht="15" customHeight="1" x14ac:dyDescent="0.3">
      <c r="B6" s="184"/>
      <c r="C6" s="184"/>
      <c r="D6" s="39" t="s">
        <v>26</v>
      </c>
      <c r="E6" s="40" t="s">
        <v>31</v>
      </c>
      <c r="F6" s="184" t="s">
        <v>28</v>
      </c>
      <c r="G6" s="39" t="s">
        <v>27</v>
      </c>
      <c r="H6" s="184" t="s">
        <v>28</v>
      </c>
      <c r="I6" s="184"/>
      <c r="J6" s="185"/>
      <c r="K6" s="31"/>
      <c r="L6" s="184"/>
      <c r="M6" s="184"/>
      <c r="N6" s="184"/>
    </row>
    <row r="7" spans="2:15" ht="15" customHeight="1" x14ac:dyDescent="0.3">
      <c r="B7" s="184"/>
      <c r="C7" s="184"/>
      <c r="D7" s="39" t="s">
        <v>29</v>
      </c>
      <c r="E7" s="40" t="s">
        <v>30</v>
      </c>
      <c r="F7" s="184"/>
      <c r="G7" s="39" t="s">
        <v>32</v>
      </c>
      <c r="H7" s="184"/>
      <c r="I7" s="39" t="s">
        <v>33</v>
      </c>
      <c r="J7" s="185"/>
      <c r="K7" s="31"/>
      <c r="L7" s="184"/>
      <c r="M7" s="184"/>
      <c r="N7" s="184"/>
    </row>
    <row r="8" spans="2:15" x14ac:dyDescent="0.3">
      <c r="B8" s="41">
        <v>1</v>
      </c>
      <c r="C8" s="41" t="s">
        <v>221</v>
      </c>
      <c r="D8" s="42"/>
      <c r="E8" s="62">
        <f>IF(O8="K",VLOOKUP(M8,Table2[[#All],[UNIT]:[Column7]],10,FALSE),0)</f>
        <v>350000</v>
      </c>
      <c r="F8" s="43">
        <f>D8*E8</f>
        <v>0</v>
      </c>
      <c r="G8" s="42"/>
      <c r="H8" s="44">
        <f>G8*$C$15</f>
        <v>0</v>
      </c>
      <c r="I8" s="42">
        <f t="shared" ref="I8:I10" si="0">IFERROR(G8/D8,0)</f>
        <v>0</v>
      </c>
      <c r="J8" s="45">
        <f>F8+H8</f>
        <v>0</v>
      </c>
      <c r="K8" s="36"/>
      <c r="L8" s="41" t="s">
        <v>253</v>
      </c>
      <c r="M8" s="41" t="str">
        <f>VLOOKUP(N8,'list rate unit'!O:P,2,FALSE)</f>
        <v>GD 511 A-1</v>
      </c>
      <c r="N8" s="41" t="str">
        <f>C8</f>
        <v>GRADER GD535 - 03</v>
      </c>
      <c r="O8" s="15" t="s">
        <v>56</v>
      </c>
    </row>
    <row r="9" spans="2:15" x14ac:dyDescent="0.3">
      <c r="B9" s="41">
        <v>2</v>
      </c>
      <c r="C9" s="41" t="s">
        <v>281</v>
      </c>
      <c r="D9" s="42"/>
      <c r="E9" s="62">
        <f>IF(O9="K",VLOOKUP(M9,Table2[[#All],[UNIT]:[Column7]],10,FALSE),0)</f>
        <v>220000</v>
      </c>
      <c r="F9" s="43">
        <f>D9*E9</f>
        <v>0</v>
      </c>
      <c r="G9" s="42"/>
      <c r="H9" s="44">
        <f>G9*$C$15</f>
        <v>0</v>
      </c>
      <c r="I9" s="42">
        <f t="shared" si="0"/>
        <v>0</v>
      </c>
      <c r="J9" s="45">
        <f>F9+H9</f>
        <v>0</v>
      </c>
      <c r="K9" s="36"/>
      <c r="L9" s="41" t="s">
        <v>253</v>
      </c>
      <c r="M9" s="41" t="str">
        <f>VLOOKUP(N9,'list rate unit'!O:P,2,FALSE)</f>
        <v>SV 525 D</v>
      </c>
      <c r="N9" s="41" t="str">
        <f>C9</f>
        <v>SAKAI - 03</v>
      </c>
      <c r="O9" s="15" t="s">
        <v>56</v>
      </c>
    </row>
    <row r="10" spans="2:15" x14ac:dyDescent="0.3">
      <c r="B10" s="41">
        <v>3</v>
      </c>
      <c r="C10" s="41" t="s">
        <v>222</v>
      </c>
      <c r="D10" s="42"/>
      <c r="E10" s="62">
        <f>IF(O10="K",VLOOKUP(M10,Table2[[#All],[UNIT]:[Column7]],10,FALSE),0)</f>
        <v>220000</v>
      </c>
      <c r="F10" s="43">
        <f t="shared" ref="F10" si="1">D10*E10</f>
        <v>0</v>
      </c>
      <c r="G10" s="42"/>
      <c r="H10" s="44">
        <f>G10*$C$15</f>
        <v>0</v>
      </c>
      <c r="I10" s="42">
        <f t="shared" si="0"/>
        <v>0</v>
      </c>
      <c r="J10" s="45">
        <f t="shared" ref="J10" si="2">F10+H10</f>
        <v>0</v>
      </c>
      <c r="K10" s="36"/>
      <c r="L10" s="41" t="s">
        <v>253</v>
      </c>
      <c r="M10" s="41" t="str">
        <f>VLOOKUP(N10,'list rate unit'!O:P,2,FALSE)</f>
        <v>SV 525 D</v>
      </c>
      <c r="N10" s="41" t="str">
        <f t="shared" ref="N10" si="3">C10</f>
        <v>SAKAI - 07</v>
      </c>
      <c r="O10" s="15" t="s">
        <v>56</v>
      </c>
    </row>
    <row r="11" spans="2:15" x14ac:dyDescent="0.3">
      <c r="D11" s="18"/>
      <c r="F11" s="32"/>
      <c r="G11" s="18"/>
      <c r="H11" s="30"/>
      <c r="I11" s="18"/>
      <c r="J11" s="33"/>
      <c r="K11" s="18"/>
    </row>
    <row r="12" spans="2:15" s="1" customFormat="1" ht="15.75" customHeight="1" x14ac:dyDescent="0.3">
      <c r="B12" s="186" t="s">
        <v>21</v>
      </c>
      <c r="C12" s="186"/>
      <c r="D12" s="46">
        <f>SUM(D8:D10)</f>
        <v>0</v>
      </c>
      <c r="E12" s="63">
        <f>AVERAGE(E8:E10)</f>
        <v>263333.33333333331</v>
      </c>
      <c r="F12" s="47">
        <f>SUM(F8:F10)</f>
        <v>0</v>
      </c>
      <c r="G12" s="46">
        <f>SUM(G8:G10)</f>
        <v>0</v>
      </c>
      <c r="H12" s="47">
        <f>SUM(H8:H10)</f>
        <v>0</v>
      </c>
      <c r="I12" s="46">
        <f t="shared" ref="I12" si="4">IFERROR(G12/D12,0)</f>
        <v>0</v>
      </c>
      <c r="J12" s="48">
        <f>SUM(J8:J10)</f>
        <v>0</v>
      </c>
      <c r="K12" s="37"/>
    </row>
    <row r="14" spans="2:15" x14ac:dyDescent="0.3">
      <c r="B14" s="35" t="s">
        <v>34</v>
      </c>
      <c r="C14" s="29">
        <f>SUMMARY!J32</f>
        <v>14848</v>
      </c>
    </row>
    <row r="15" spans="2:15" x14ac:dyDescent="0.3">
      <c r="B15" s="35" t="s">
        <v>35</v>
      </c>
      <c r="C15" s="29">
        <f>SUMMARY!$J$13</f>
        <v>0</v>
      </c>
      <c r="F15" s="30"/>
      <c r="G15" s="18"/>
    </row>
    <row r="17" spans="6:6" x14ac:dyDescent="0.3">
      <c r="F17" s="18"/>
    </row>
  </sheetData>
  <autoFilter ref="B7:O10" xr:uid="{00000000-0009-0000-0000-000003000000}"/>
  <mergeCells count="13">
    <mergeCell ref="B12:C12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24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G8" sqref="G8:G17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183" t="s">
        <v>168</v>
      </c>
      <c r="C2" s="183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183"/>
      <c r="C3" s="183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184" t="s">
        <v>1</v>
      </c>
      <c r="C5" s="184" t="s">
        <v>86</v>
      </c>
      <c r="D5" s="187" t="s">
        <v>36</v>
      </c>
      <c r="E5" s="187"/>
      <c r="F5" s="187"/>
      <c r="G5" s="188" t="s">
        <v>37</v>
      </c>
      <c r="H5" s="188"/>
      <c r="I5" s="184" t="s">
        <v>54</v>
      </c>
      <c r="J5" s="185" t="s">
        <v>80</v>
      </c>
      <c r="K5" s="31"/>
      <c r="L5" s="184" t="s">
        <v>47</v>
      </c>
      <c r="M5" s="184" t="s">
        <v>87</v>
      </c>
      <c r="N5" s="184"/>
    </row>
    <row r="6" spans="2:15" ht="15" customHeight="1" x14ac:dyDescent="0.3">
      <c r="B6" s="184"/>
      <c r="C6" s="184"/>
      <c r="D6" s="39" t="s">
        <v>26</v>
      </c>
      <c r="E6" s="40" t="s">
        <v>31</v>
      </c>
      <c r="F6" s="184" t="s">
        <v>28</v>
      </c>
      <c r="G6" s="39" t="s">
        <v>27</v>
      </c>
      <c r="H6" s="184" t="s">
        <v>28</v>
      </c>
      <c r="I6" s="184"/>
      <c r="J6" s="185"/>
      <c r="K6" s="31"/>
      <c r="L6" s="184"/>
      <c r="M6" s="184"/>
      <c r="N6" s="184"/>
    </row>
    <row r="7" spans="2:15" ht="15" customHeight="1" x14ac:dyDescent="0.3">
      <c r="B7" s="184"/>
      <c r="C7" s="184"/>
      <c r="D7" s="39" t="s">
        <v>29</v>
      </c>
      <c r="E7" s="40" t="s">
        <v>30</v>
      </c>
      <c r="F7" s="184"/>
      <c r="G7" s="39" t="s">
        <v>32</v>
      </c>
      <c r="H7" s="184"/>
      <c r="I7" s="39" t="s">
        <v>33</v>
      </c>
      <c r="J7" s="185"/>
      <c r="K7" s="31"/>
      <c r="L7" s="184"/>
      <c r="M7" s="184"/>
      <c r="N7" s="184"/>
    </row>
    <row r="8" spans="2:15" x14ac:dyDescent="0.3">
      <c r="B8" s="41">
        <v>1</v>
      </c>
      <c r="C8" s="41" t="s">
        <v>241</v>
      </c>
      <c r="D8" s="42">
        <v>8</v>
      </c>
      <c r="E8" s="62">
        <f>IF(O8="K",VLOOKUP(M8,Table2[[#All],[UNIT]:[Column7]],10,FALSE),0)</f>
        <v>950000</v>
      </c>
      <c r="F8" s="43">
        <f>D8*E8</f>
        <v>7600000</v>
      </c>
      <c r="G8" s="42">
        <v>233.10091743119267</v>
      </c>
      <c r="H8" s="44">
        <f>G8*$C$22</f>
        <v>0</v>
      </c>
      <c r="I8" s="42">
        <f t="shared" ref="I8:I14" si="0">IFERROR(G8/D8,0)</f>
        <v>29.137614678899084</v>
      </c>
      <c r="J8" s="45">
        <f>F8+H8</f>
        <v>7600000</v>
      </c>
      <c r="K8" s="36"/>
      <c r="L8" s="41" t="s">
        <v>253</v>
      </c>
      <c r="M8" s="41" t="str">
        <f>VLOOKUP(N8,'list rate unit'!O:P,2,FALSE)</f>
        <v>PC 400 LC SE-8</v>
      </c>
      <c r="N8" s="41" t="str">
        <f>C8</f>
        <v>KOMATSU PC 400 - 01</v>
      </c>
      <c r="O8" s="15" t="s">
        <v>56</v>
      </c>
    </row>
    <row r="9" spans="2:15" x14ac:dyDescent="0.3">
      <c r="B9" s="41">
        <v>2</v>
      </c>
      <c r="C9" s="41" t="s">
        <v>256</v>
      </c>
      <c r="D9" s="42">
        <v>149</v>
      </c>
      <c r="E9" s="62">
        <f>IF(O9="K",VLOOKUP(M9,Table2[[#All],[UNIT]:[Column7]],10,FALSE),0)</f>
        <v>400000</v>
      </c>
      <c r="F9" s="43">
        <f t="shared" ref="F9:F14" si="1">D9*E9</f>
        <v>59600000</v>
      </c>
      <c r="G9" s="42">
        <v>4229.3076923076924</v>
      </c>
      <c r="H9" s="44">
        <f>G9*$C$22</f>
        <v>0</v>
      </c>
      <c r="I9" s="42">
        <f t="shared" si="0"/>
        <v>28.384615384615387</v>
      </c>
      <c r="J9" s="45">
        <f t="shared" ref="J9:J14" si="2">F9+H9</f>
        <v>59600000</v>
      </c>
      <c r="K9" s="36"/>
      <c r="L9" s="41" t="s">
        <v>253</v>
      </c>
      <c r="M9" s="41" t="str">
        <f>VLOOKUP(N9,'list rate unit'!O:P,2,FALSE)</f>
        <v>PC 300 SE-8</v>
      </c>
      <c r="N9" s="41" t="str">
        <f t="shared" ref="N9:N14" si="3">C9</f>
        <v>KOMATSU PC 300 - 12</v>
      </c>
      <c r="O9" s="15" t="s">
        <v>56</v>
      </c>
    </row>
    <row r="10" spans="2:15" x14ac:dyDescent="0.3">
      <c r="B10" s="41">
        <v>3</v>
      </c>
      <c r="C10" s="41" t="s">
        <v>269</v>
      </c>
      <c r="D10" s="42">
        <v>127</v>
      </c>
      <c r="E10" s="62">
        <f>IF(O10="K",VLOOKUP(M10,Table2[[#All],[UNIT]:[Column7]],10,FALSE),0)</f>
        <v>400000</v>
      </c>
      <c r="F10" s="43">
        <f t="shared" si="1"/>
        <v>50800000</v>
      </c>
      <c r="G10" s="42">
        <v>3385.5670995670994</v>
      </c>
      <c r="H10" s="44">
        <f>G10*$C$22</f>
        <v>0</v>
      </c>
      <c r="I10" s="42">
        <f t="shared" si="0"/>
        <v>26.658008658008658</v>
      </c>
      <c r="J10" s="45">
        <f t="shared" si="2"/>
        <v>50800000</v>
      </c>
      <c r="K10" s="36"/>
      <c r="L10" s="41" t="s">
        <v>253</v>
      </c>
      <c r="M10" s="41" t="str">
        <f>VLOOKUP(N10,'list rate unit'!O:P,2,FALSE)</f>
        <v>PC 300 SE-8</v>
      </c>
      <c r="N10" s="41" t="str">
        <f t="shared" si="3"/>
        <v>KOMATSU PC 300 - 17</v>
      </c>
      <c r="O10" s="15" t="s">
        <v>56</v>
      </c>
    </row>
    <row r="11" spans="2:15" x14ac:dyDescent="0.3">
      <c r="B11" s="41">
        <v>4</v>
      </c>
      <c r="C11" s="41" t="s">
        <v>259</v>
      </c>
      <c r="D11" s="42">
        <v>92</v>
      </c>
      <c r="E11" s="62">
        <f>IF(O11="K",VLOOKUP(M11,Table2[[#All],[UNIT]:[Column7]],10,FALSE),0)</f>
        <v>275000</v>
      </c>
      <c r="F11" s="43">
        <f t="shared" si="1"/>
        <v>25300000</v>
      </c>
      <c r="G11" s="42">
        <v>1464.1142857142856</v>
      </c>
      <c r="H11" s="44">
        <f>G11*$C$22</f>
        <v>0</v>
      </c>
      <c r="I11" s="42">
        <f t="shared" si="0"/>
        <v>15.914285714285713</v>
      </c>
      <c r="J11" s="45">
        <f t="shared" si="2"/>
        <v>25300000</v>
      </c>
      <c r="K11" s="36"/>
      <c r="L11" s="41" t="s">
        <v>253</v>
      </c>
      <c r="M11" s="41" t="str">
        <f>VLOOKUP(N11,'list rate unit'!O:P,2,FALSE)</f>
        <v>PC 200-8 MO</v>
      </c>
      <c r="N11" s="41" t="str">
        <f t="shared" si="3"/>
        <v>KOMATSU PC 200 - 11</v>
      </c>
      <c r="O11" s="15" t="s">
        <v>56</v>
      </c>
    </row>
    <row r="12" spans="2:15" x14ac:dyDescent="0.3">
      <c r="B12" s="41">
        <v>5</v>
      </c>
      <c r="C12" s="41" t="s">
        <v>262</v>
      </c>
      <c r="D12" s="42">
        <v>193</v>
      </c>
      <c r="E12" s="62">
        <f>IF(O12="K",VLOOKUP(M12,Table2[[#All],[UNIT]:[Column7]],10,FALSE),0)</f>
        <v>275000</v>
      </c>
      <c r="F12" s="43">
        <f t="shared" si="1"/>
        <v>53075000</v>
      </c>
      <c r="G12" s="42">
        <v>2029.8275862068965</v>
      </c>
      <c r="H12" s="44">
        <f>G12*$C$22</f>
        <v>0</v>
      </c>
      <c r="I12" s="42">
        <f t="shared" si="0"/>
        <v>10.517241379310345</v>
      </c>
      <c r="J12" s="45">
        <f t="shared" si="2"/>
        <v>53075000</v>
      </c>
      <c r="K12" s="36"/>
      <c r="L12" s="41" t="s">
        <v>253</v>
      </c>
      <c r="M12" s="41" t="str">
        <f>VLOOKUP(N12,'list rate unit'!O:P,2,FALSE)</f>
        <v>PC 200-8 MO</v>
      </c>
      <c r="N12" s="41" t="str">
        <f t="shared" si="3"/>
        <v>KOMATSU PC 200 - 15</v>
      </c>
      <c r="O12" s="15" t="s">
        <v>56</v>
      </c>
    </row>
    <row r="13" spans="2:15" x14ac:dyDescent="0.3">
      <c r="B13" s="41">
        <v>6</v>
      </c>
      <c r="C13" s="41" t="s">
        <v>190</v>
      </c>
      <c r="D13" s="42">
        <v>228</v>
      </c>
      <c r="E13" s="62">
        <f>IF(O13="K",VLOOKUP(M13,Table2[[#All],[UNIT]:[Column7]],10,FALSE),0)</f>
        <v>275000</v>
      </c>
      <c r="F13" s="43">
        <f t="shared" si="1"/>
        <v>62700000</v>
      </c>
      <c r="G13" s="42">
        <v>3382</v>
      </c>
      <c r="H13" s="44">
        <f>G13*$C$22</f>
        <v>0</v>
      </c>
      <c r="I13" s="42">
        <f t="shared" si="0"/>
        <v>14.833333333333334</v>
      </c>
      <c r="J13" s="45">
        <f t="shared" si="2"/>
        <v>62700000</v>
      </c>
      <c r="K13" s="36"/>
      <c r="L13" s="41" t="s">
        <v>253</v>
      </c>
      <c r="M13" s="41" t="str">
        <f>VLOOKUP(N13,'list rate unit'!O:P,2,FALSE)</f>
        <v>PC 200-8 MO</v>
      </c>
      <c r="N13" s="41" t="str">
        <f t="shared" si="3"/>
        <v>KOMATSU PC 200 - 23</v>
      </c>
      <c r="O13" s="15" t="s">
        <v>56</v>
      </c>
    </row>
    <row r="14" spans="2:15" x14ac:dyDescent="0.3">
      <c r="B14" s="41">
        <v>7</v>
      </c>
      <c r="C14" s="41" t="s">
        <v>301</v>
      </c>
      <c r="D14" s="42">
        <v>240</v>
      </c>
      <c r="E14" s="62">
        <f>IF(O14="K",VLOOKUP(M14,Table2[[#All],[UNIT]:[Column7]],10,FALSE),0)</f>
        <v>275000</v>
      </c>
      <c r="F14" s="43">
        <f t="shared" si="1"/>
        <v>66000000</v>
      </c>
      <c r="G14" s="42">
        <v>2392</v>
      </c>
      <c r="H14" s="44">
        <f>G14*$C$22</f>
        <v>0</v>
      </c>
      <c r="I14" s="42">
        <f t="shared" si="0"/>
        <v>9.9666666666666668</v>
      </c>
      <c r="J14" s="45">
        <f t="shared" si="2"/>
        <v>66000000</v>
      </c>
      <c r="K14" s="36"/>
      <c r="L14" s="41" t="s">
        <v>253</v>
      </c>
      <c r="M14" s="41" t="str">
        <f>VLOOKUP(N14,'list rate unit'!O:P,2,FALSE)</f>
        <v>PC 200-8 MO</v>
      </c>
      <c r="N14" s="41" t="str">
        <f t="shared" si="3"/>
        <v>KOMATSU PC 200 - 24</v>
      </c>
      <c r="O14" s="15" t="s">
        <v>56</v>
      </c>
    </row>
    <row r="15" spans="2:15" x14ac:dyDescent="0.3">
      <c r="B15" s="41">
        <v>8</v>
      </c>
      <c r="C15" s="41" t="s">
        <v>199</v>
      </c>
      <c r="D15" s="42">
        <v>206</v>
      </c>
      <c r="E15" s="62">
        <f>IF(O15="K",VLOOKUP(M15,Table2[[#All],[UNIT]:[Column7]],10,FALSE),0)</f>
        <v>275000</v>
      </c>
      <c r="F15" s="43">
        <f t="shared" ref="F15:F17" si="4">D15*E15</f>
        <v>56650000</v>
      </c>
      <c r="G15" s="42">
        <v>2753</v>
      </c>
      <c r="H15" s="44">
        <f>G15*$C$22</f>
        <v>0</v>
      </c>
      <c r="I15" s="42">
        <f t="shared" ref="I15:I17" si="5">IFERROR(G15/D15,0)</f>
        <v>13.364077669902912</v>
      </c>
      <c r="J15" s="45">
        <f t="shared" ref="J15:J17" si="6">F15+H15</f>
        <v>56650000</v>
      </c>
      <c r="K15" s="36"/>
      <c r="L15" s="41" t="s">
        <v>253</v>
      </c>
      <c r="M15" s="41" t="str">
        <f>VLOOKUP(N15,'list rate unit'!O:P,2,FALSE)</f>
        <v>SK 200-8 SX</v>
      </c>
      <c r="N15" s="41" t="str">
        <f t="shared" ref="N15:N17" si="7">C15</f>
        <v>KOBELCO SK 200 - 19</v>
      </c>
      <c r="O15" s="15" t="s">
        <v>56</v>
      </c>
    </row>
    <row r="16" spans="2:15" x14ac:dyDescent="0.3">
      <c r="B16" s="41">
        <v>9</v>
      </c>
      <c r="C16" s="41" t="s">
        <v>264</v>
      </c>
      <c r="D16" s="42">
        <v>70</v>
      </c>
      <c r="E16" s="62">
        <f>IF(O16="K",VLOOKUP(M16,Table2[[#All],[UNIT]:[Column7]],10,FALSE),0)</f>
        <v>425000</v>
      </c>
      <c r="F16" s="43">
        <f t="shared" si="4"/>
        <v>29750000</v>
      </c>
      <c r="G16" s="42">
        <v>1493.6046511627908</v>
      </c>
      <c r="H16" s="44">
        <f>G16*$C$22</f>
        <v>0</v>
      </c>
      <c r="I16" s="42">
        <f t="shared" si="5"/>
        <v>21.337209302325583</v>
      </c>
      <c r="J16" s="45">
        <f t="shared" si="6"/>
        <v>29750000</v>
      </c>
      <c r="K16" s="36"/>
      <c r="L16" s="41" t="s">
        <v>253</v>
      </c>
      <c r="M16" s="41" t="str">
        <f>VLOOKUP(N16,'list rate unit'!O:P,2,FALSE)</f>
        <v>D 85 ESS-2</v>
      </c>
      <c r="N16" s="41" t="str">
        <f t="shared" si="7"/>
        <v>KOMATSU DOZER D85SS - 11</v>
      </c>
      <c r="O16" s="15" t="s">
        <v>56</v>
      </c>
    </row>
    <row r="17" spans="2:15" x14ac:dyDescent="0.3">
      <c r="B17" s="41">
        <v>10</v>
      </c>
      <c r="C17" s="41" t="s">
        <v>332</v>
      </c>
      <c r="D17" s="42">
        <v>156</v>
      </c>
      <c r="E17" s="62">
        <f>IF(O17="K",VLOOKUP(M17,Table2[[#All],[UNIT]:[Column7]],10,FALSE),0)</f>
        <v>220000</v>
      </c>
      <c r="F17" s="43">
        <f t="shared" si="4"/>
        <v>34320000</v>
      </c>
      <c r="G17" s="42">
        <v>977</v>
      </c>
      <c r="H17" s="44">
        <f>G17*$C$22</f>
        <v>0</v>
      </c>
      <c r="I17" s="42">
        <f t="shared" si="5"/>
        <v>6.2628205128205128</v>
      </c>
      <c r="J17" s="45">
        <f t="shared" si="6"/>
        <v>34320000</v>
      </c>
      <c r="K17" s="36"/>
      <c r="L17" s="41" t="s">
        <v>253</v>
      </c>
      <c r="M17" s="41" t="str">
        <f>VLOOKUP(N17,'list rate unit'!O:P,2,FALSE)</f>
        <v>SV 525 D</v>
      </c>
      <c r="N17" s="41" t="str">
        <f t="shared" si="7"/>
        <v>SAKAI - 01</v>
      </c>
      <c r="O17" s="15" t="s">
        <v>56</v>
      </c>
    </row>
    <row r="18" spans="2:15" x14ac:dyDescent="0.3">
      <c r="D18" s="18"/>
      <c r="F18" s="32"/>
      <c r="G18" s="18"/>
      <c r="H18" s="30"/>
      <c r="I18" s="18"/>
      <c r="J18" s="33"/>
      <c r="K18" s="18"/>
    </row>
    <row r="19" spans="2:15" s="1" customFormat="1" ht="15.75" customHeight="1" x14ac:dyDescent="0.3">
      <c r="B19" s="186" t="s">
        <v>21</v>
      </c>
      <c r="C19" s="186"/>
      <c r="D19" s="46">
        <f>SUM(D8:D18)</f>
        <v>1469</v>
      </c>
      <c r="E19" s="63">
        <f>AVERAGE(E8:E18)</f>
        <v>377000</v>
      </c>
      <c r="F19" s="47">
        <f>SUM(F8:F18)</f>
        <v>445795000</v>
      </c>
      <c r="G19" s="46">
        <f>SUM(G8:G18)</f>
        <v>22339.522232389958</v>
      </c>
      <c r="H19" s="47">
        <f>SUM(H8:H18)</f>
        <v>0</v>
      </c>
      <c r="I19" s="46">
        <f t="shared" ref="I19" si="8">IFERROR(G19/D19,0)</f>
        <v>15.207299000946193</v>
      </c>
      <c r="J19" s="48">
        <f>SUM(J8:J18)</f>
        <v>445795000</v>
      </c>
      <c r="K19" s="37"/>
    </row>
    <row r="21" spans="2:15" x14ac:dyDescent="0.3">
      <c r="B21" s="35" t="s">
        <v>34</v>
      </c>
      <c r="C21" s="29">
        <f>SUMMARY!J32</f>
        <v>14848</v>
      </c>
    </row>
    <row r="22" spans="2:15" x14ac:dyDescent="0.3">
      <c r="B22" s="35" t="s">
        <v>35</v>
      </c>
      <c r="C22" s="29">
        <f>SUMMARY!$J$13</f>
        <v>0</v>
      </c>
      <c r="F22" s="30"/>
      <c r="G22" s="18"/>
    </row>
    <row r="24" spans="2:15" x14ac:dyDescent="0.3">
      <c r="F24" s="18"/>
    </row>
  </sheetData>
  <autoFilter ref="B7:O17" xr:uid="{00000000-0009-0000-0000-000003000000}"/>
  <mergeCells count="13">
    <mergeCell ref="B19:C19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17A23AA3-D48A-4EB0-A2D2-E518DCD0789A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32"/>
  <sheetViews>
    <sheetView workbookViewId="0">
      <pane xSplit="3" ySplit="7" topLeftCell="D20" activePane="bottomRight" state="frozenSplit"/>
      <selection pane="topRight" activeCell="C1" sqref="C1"/>
      <selection pane="bottomLeft" activeCell="A8" sqref="A8"/>
      <selection pane="bottomRight" activeCell="H8" sqref="H8:H3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19.55468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1" style="15" customWidth="1"/>
    <col min="15" max="15" width="18.6640625" style="15" bestFit="1" customWidth="1"/>
    <col min="16" max="16" width="12.109375" style="15" bestFit="1" customWidth="1"/>
    <col min="17" max="17" width="16.6640625" style="15" customWidth="1"/>
    <col min="18" max="16384" width="9.109375" style="15"/>
  </cols>
  <sheetData>
    <row r="2" spans="2:17" x14ac:dyDescent="0.3">
      <c r="B2" s="183" t="s">
        <v>82</v>
      </c>
      <c r="C2" s="183"/>
    </row>
    <row r="3" spans="2:17" x14ac:dyDescent="0.3">
      <c r="B3" s="183"/>
      <c r="C3" s="183"/>
    </row>
    <row r="4" spans="2:17" x14ac:dyDescent="0.3">
      <c r="D4" s="30"/>
      <c r="E4" s="30"/>
    </row>
    <row r="5" spans="2:17" ht="15" customHeight="1" x14ac:dyDescent="0.3">
      <c r="B5" s="184" t="s">
        <v>1</v>
      </c>
      <c r="C5" s="184" t="s">
        <v>86</v>
      </c>
      <c r="D5" s="187" t="s">
        <v>39</v>
      </c>
      <c r="E5" s="187"/>
      <c r="F5" s="188" t="s">
        <v>52</v>
      </c>
      <c r="G5" s="188"/>
      <c r="H5" s="188" t="s">
        <v>37</v>
      </c>
      <c r="I5" s="188"/>
      <c r="J5" s="184" t="s">
        <v>88</v>
      </c>
      <c r="K5" s="184"/>
      <c r="L5" s="184"/>
      <c r="M5" s="185" t="s">
        <v>80</v>
      </c>
      <c r="N5" s="31"/>
      <c r="O5" s="184" t="s">
        <v>47</v>
      </c>
      <c r="P5" s="184" t="s">
        <v>87</v>
      </c>
      <c r="Q5" s="184"/>
    </row>
    <row r="6" spans="2:17" ht="15" customHeight="1" x14ac:dyDescent="0.3">
      <c r="B6" s="184"/>
      <c r="C6" s="184"/>
      <c r="D6" s="184" t="s">
        <v>41</v>
      </c>
      <c r="E6" s="184"/>
      <c r="F6" s="39" t="s">
        <v>48</v>
      </c>
      <c r="G6" s="184" t="s">
        <v>28</v>
      </c>
      <c r="H6" s="39" t="s">
        <v>27</v>
      </c>
      <c r="I6" s="184" t="s">
        <v>28</v>
      </c>
      <c r="J6" s="184"/>
      <c r="K6" s="184"/>
      <c r="L6" s="184"/>
      <c r="M6" s="185"/>
      <c r="N6" s="31"/>
      <c r="O6" s="184"/>
      <c r="P6" s="184"/>
      <c r="Q6" s="184"/>
    </row>
    <row r="7" spans="2:17" ht="15" customHeight="1" x14ac:dyDescent="0.3">
      <c r="B7" s="184"/>
      <c r="C7" s="184"/>
      <c r="D7" s="39" t="s">
        <v>42</v>
      </c>
      <c r="E7" s="39" t="s">
        <v>43</v>
      </c>
      <c r="F7" s="39" t="s">
        <v>30</v>
      </c>
      <c r="G7" s="184"/>
      <c r="H7" s="39" t="s">
        <v>32</v>
      </c>
      <c r="I7" s="184"/>
      <c r="J7" s="39" t="s">
        <v>40</v>
      </c>
      <c r="K7" s="39" t="s">
        <v>44</v>
      </c>
      <c r="L7" s="39" t="s">
        <v>55</v>
      </c>
      <c r="M7" s="185"/>
      <c r="N7" s="31"/>
      <c r="O7" s="184"/>
      <c r="P7" s="184"/>
      <c r="Q7" s="184"/>
    </row>
    <row r="8" spans="2:17" x14ac:dyDescent="0.3">
      <c r="B8" s="41">
        <v>1</v>
      </c>
      <c r="C8" s="41" t="s">
        <v>303</v>
      </c>
      <c r="D8" s="42">
        <v>2125.9500000000003</v>
      </c>
      <c r="E8" s="42">
        <v>54</v>
      </c>
      <c r="F8" s="49">
        <f>VLOOKUP(P8,'list rate unit'!$B$3:$K$40,10,FALSE)</f>
        <v>460000</v>
      </c>
      <c r="G8" s="44">
        <f t="shared" ref="G8:G32" si="0">IF(D8=0,0,F8*$C$45)</f>
        <v>96600000</v>
      </c>
      <c r="H8" s="42">
        <v>2383</v>
      </c>
      <c r="I8" s="44">
        <f t="shared" ref="I8:I32" si="1">H8*$C$44</f>
        <v>0</v>
      </c>
      <c r="J8" s="42">
        <f>IFERROR(H8/D8,0)</f>
        <v>1.1209106517086478</v>
      </c>
      <c r="K8" s="42">
        <f t="shared" ref="K8:K12" si="2">IFERROR(D8/E8,0)</f>
        <v>39.369444444444447</v>
      </c>
      <c r="L8" s="42">
        <f>H8/E8</f>
        <v>44.129629629629626</v>
      </c>
      <c r="M8" s="45">
        <f>G8+I8</f>
        <v>96600000</v>
      </c>
      <c r="N8" s="18"/>
      <c r="O8" s="41" t="s">
        <v>265</v>
      </c>
      <c r="P8" s="41" t="s">
        <v>130</v>
      </c>
      <c r="Q8" s="41" t="str">
        <f t="shared" ref="Q8:Q22" si="3">C8</f>
        <v>DT Hino 260</v>
      </c>
    </row>
    <row r="9" spans="2:17" x14ac:dyDescent="0.3">
      <c r="B9" s="41">
        <v>2</v>
      </c>
      <c r="C9" s="41" t="s">
        <v>304</v>
      </c>
      <c r="D9" s="42">
        <v>2786.26</v>
      </c>
      <c r="E9" s="42">
        <v>70</v>
      </c>
      <c r="F9" s="49">
        <f>VLOOKUP(P9,'list rate unit'!$B$3:$K$40,10,FALSE)</f>
        <v>460000</v>
      </c>
      <c r="G9" s="44">
        <f t="shared" si="0"/>
        <v>96600000</v>
      </c>
      <c r="H9" s="42">
        <v>2944</v>
      </c>
      <c r="I9" s="44">
        <f t="shared" si="1"/>
        <v>0</v>
      </c>
      <c r="J9" s="42">
        <f t="shared" ref="J9:J12" si="4">IFERROR(H9/D9,0)</f>
        <v>1.0566135249402424</v>
      </c>
      <c r="K9" s="42">
        <f t="shared" si="2"/>
        <v>39.803714285714285</v>
      </c>
      <c r="L9" s="42">
        <f t="shared" ref="L9:L12" si="5">H9/E9</f>
        <v>42.057142857142857</v>
      </c>
      <c r="M9" s="45">
        <f t="shared" ref="M9:M12" si="6">G9+I9</f>
        <v>96600000</v>
      </c>
      <c r="N9" s="18"/>
      <c r="O9" s="41" t="s">
        <v>265</v>
      </c>
      <c r="P9" s="41" t="s">
        <v>130</v>
      </c>
      <c r="Q9" s="41" t="str">
        <f t="shared" si="3"/>
        <v>DT Hino 261</v>
      </c>
    </row>
    <row r="10" spans="2:17" x14ac:dyDescent="0.3">
      <c r="B10" s="41">
        <v>3</v>
      </c>
      <c r="C10" s="41" t="s">
        <v>305</v>
      </c>
      <c r="D10" s="42">
        <v>1811.57</v>
      </c>
      <c r="E10" s="42">
        <v>46</v>
      </c>
      <c r="F10" s="49">
        <f>VLOOKUP(P10,'list rate unit'!$B$3:$K$40,10,FALSE)</f>
        <v>460000</v>
      </c>
      <c r="G10" s="44">
        <f t="shared" si="0"/>
        <v>96600000</v>
      </c>
      <c r="H10" s="42">
        <v>2014</v>
      </c>
      <c r="I10" s="44">
        <f t="shared" si="1"/>
        <v>0</v>
      </c>
      <c r="J10" s="42">
        <f t="shared" si="4"/>
        <v>1.1117428528845146</v>
      </c>
      <c r="K10" s="42">
        <f t="shared" si="2"/>
        <v>39.381956521739127</v>
      </c>
      <c r="L10" s="42">
        <f t="shared" si="5"/>
        <v>43.782608695652172</v>
      </c>
      <c r="M10" s="45">
        <f t="shared" si="6"/>
        <v>96600000</v>
      </c>
      <c r="N10" s="18"/>
      <c r="O10" s="41" t="s">
        <v>265</v>
      </c>
      <c r="P10" s="41" t="s">
        <v>130</v>
      </c>
      <c r="Q10" s="41" t="str">
        <f t="shared" si="3"/>
        <v>DT Hino 262</v>
      </c>
    </row>
    <row r="11" spans="2:17" x14ac:dyDescent="0.3">
      <c r="B11" s="41">
        <v>4</v>
      </c>
      <c r="C11" s="41" t="s">
        <v>306</v>
      </c>
      <c r="D11" s="42">
        <v>1786.72</v>
      </c>
      <c r="E11" s="42">
        <v>45</v>
      </c>
      <c r="F11" s="49">
        <f>VLOOKUP(P11,'list rate unit'!$B$3:$K$40,10,FALSE)</f>
        <v>460000</v>
      </c>
      <c r="G11" s="44">
        <f t="shared" si="0"/>
        <v>96600000</v>
      </c>
      <c r="H11" s="42">
        <v>2082</v>
      </c>
      <c r="I11" s="44">
        <f t="shared" si="1"/>
        <v>0</v>
      </c>
      <c r="J11" s="42">
        <f t="shared" si="4"/>
        <v>1.1652637234709411</v>
      </c>
      <c r="K11" s="42">
        <f t="shared" si="2"/>
        <v>39.704888888888888</v>
      </c>
      <c r="L11" s="42">
        <f t="shared" si="5"/>
        <v>46.266666666666666</v>
      </c>
      <c r="M11" s="45">
        <f t="shared" si="6"/>
        <v>96600000</v>
      </c>
      <c r="N11" s="18"/>
      <c r="O11" s="41" t="s">
        <v>265</v>
      </c>
      <c r="P11" s="41" t="s">
        <v>130</v>
      </c>
      <c r="Q11" s="41" t="str">
        <f t="shared" si="3"/>
        <v>DT Hino 264</v>
      </c>
    </row>
    <row r="12" spans="2:17" x14ac:dyDescent="0.3">
      <c r="B12" s="41">
        <v>5</v>
      </c>
      <c r="C12" s="41" t="s">
        <v>333</v>
      </c>
      <c r="D12" s="42">
        <v>2545.2200000000003</v>
      </c>
      <c r="E12" s="42">
        <v>65</v>
      </c>
      <c r="F12" s="49">
        <f>VLOOKUP(P12,'list rate unit'!$B$3:$K$40,10,FALSE)</f>
        <v>460000</v>
      </c>
      <c r="G12" s="44">
        <f t="shared" si="0"/>
        <v>96600000</v>
      </c>
      <c r="H12" s="42">
        <v>2600</v>
      </c>
      <c r="I12" s="44">
        <f t="shared" si="1"/>
        <v>0</v>
      </c>
      <c r="J12" s="42">
        <f t="shared" si="4"/>
        <v>1.0215226974485505</v>
      </c>
      <c r="K12" s="42">
        <f t="shared" si="2"/>
        <v>39.157230769230772</v>
      </c>
      <c r="L12" s="42">
        <f t="shared" si="5"/>
        <v>40</v>
      </c>
      <c r="M12" s="45">
        <f t="shared" si="6"/>
        <v>96600000</v>
      </c>
      <c r="N12" s="18"/>
      <c r="O12" s="41" t="s">
        <v>265</v>
      </c>
      <c r="P12" s="41" t="s">
        <v>130</v>
      </c>
      <c r="Q12" s="41" t="str">
        <f t="shared" si="3"/>
        <v>DT Hino 265</v>
      </c>
    </row>
    <row r="13" spans="2:17" x14ac:dyDescent="0.3">
      <c r="B13" s="41">
        <v>6</v>
      </c>
      <c r="C13" s="41" t="s">
        <v>356</v>
      </c>
      <c r="D13" s="42">
        <v>471.26</v>
      </c>
      <c r="E13" s="42">
        <v>12</v>
      </c>
      <c r="F13" s="49">
        <f>VLOOKUP(P13,'list rate unit'!$B$3:$K$40,10,FALSE)</f>
        <v>460000</v>
      </c>
      <c r="G13" s="44">
        <f t="shared" si="0"/>
        <v>96600000</v>
      </c>
      <c r="H13" s="42">
        <v>691</v>
      </c>
      <c r="I13" s="44">
        <f t="shared" si="1"/>
        <v>0</v>
      </c>
      <c r="J13" s="42">
        <f t="shared" ref="J13:J22" si="7">IFERROR(H13/D13,0)</f>
        <v>1.4662818826125705</v>
      </c>
      <c r="K13" s="42">
        <f t="shared" ref="K13:K22" si="8">IFERROR(D13/E13,0)</f>
        <v>39.271666666666668</v>
      </c>
      <c r="L13" s="42">
        <f t="shared" ref="L13:L22" si="9">H13/E13</f>
        <v>57.583333333333336</v>
      </c>
      <c r="M13" s="45">
        <f t="shared" ref="M13:M22" si="10">G13+I13</f>
        <v>96600000</v>
      </c>
      <c r="N13" s="18"/>
      <c r="O13" s="41" t="s">
        <v>265</v>
      </c>
      <c r="P13" s="41" t="s">
        <v>130</v>
      </c>
      <c r="Q13" s="41" t="str">
        <f t="shared" si="3"/>
        <v>DT Hino 266</v>
      </c>
    </row>
    <row r="14" spans="2:17" x14ac:dyDescent="0.3">
      <c r="B14" s="41">
        <v>7</v>
      </c>
      <c r="C14" s="41" t="s">
        <v>307</v>
      </c>
      <c r="D14" s="42">
        <v>2859.44</v>
      </c>
      <c r="E14" s="42">
        <v>73</v>
      </c>
      <c r="F14" s="49">
        <f>VLOOKUP(P14,'list rate unit'!$B$3:$K$40,10,FALSE)</f>
        <v>460000</v>
      </c>
      <c r="G14" s="44">
        <f t="shared" si="0"/>
        <v>96600000</v>
      </c>
      <c r="H14" s="42">
        <v>3245</v>
      </c>
      <c r="I14" s="44">
        <f t="shared" si="1"/>
        <v>0</v>
      </c>
      <c r="J14" s="42">
        <f t="shared" si="7"/>
        <v>1.1348375905771759</v>
      </c>
      <c r="K14" s="42">
        <f t="shared" si="8"/>
        <v>39.170410958904114</v>
      </c>
      <c r="L14" s="42">
        <f t="shared" si="9"/>
        <v>44.452054794520549</v>
      </c>
      <c r="M14" s="45">
        <f t="shared" si="10"/>
        <v>96600000</v>
      </c>
      <c r="N14" s="18"/>
      <c r="O14" s="41" t="s">
        <v>265</v>
      </c>
      <c r="P14" s="41" t="s">
        <v>130</v>
      </c>
      <c r="Q14" s="41" t="str">
        <f t="shared" si="3"/>
        <v>DT Hino 268</v>
      </c>
    </row>
    <row r="15" spans="2:17" x14ac:dyDescent="0.3">
      <c r="B15" s="41">
        <v>8</v>
      </c>
      <c r="C15" s="41" t="s">
        <v>334</v>
      </c>
      <c r="D15" s="42">
        <v>2716.7099999999996</v>
      </c>
      <c r="E15" s="42">
        <v>70</v>
      </c>
      <c r="F15" s="49">
        <f>VLOOKUP(P15,'list rate unit'!$B$3:$K$40,10,FALSE)</f>
        <v>460000</v>
      </c>
      <c r="G15" s="44">
        <f t="shared" si="0"/>
        <v>96600000</v>
      </c>
      <c r="H15" s="42">
        <v>3056</v>
      </c>
      <c r="I15" s="44">
        <f t="shared" si="1"/>
        <v>0</v>
      </c>
      <c r="J15" s="42">
        <f t="shared" si="7"/>
        <v>1.1248900324289308</v>
      </c>
      <c r="K15" s="42">
        <f t="shared" si="8"/>
        <v>38.81014285714285</v>
      </c>
      <c r="L15" s="42">
        <f t="shared" si="9"/>
        <v>43.657142857142858</v>
      </c>
      <c r="M15" s="45">
        <f t="shared" si="10"/>
        <v>96600000</v>
      </c>
      <c r="N15" s="18"/>
      <c r="O15" s="41" t="s">
        <v>265</v>
      </c>
      <c r="P15" s="41" t="s">
        <v>130</v>
      </c>
      <c r="Q15" s="41" t="str">
        <f t="shared" si="3"/>
        <v>DT Hino 271</v>
      </c>
    </row>
    <row r="16" spans="2:17" x14ac:dyDescent="0.3">
      <c r="B16" s="41">
        <v>9</v>
      </c>
      <c r="C16" s="41" t="s">
        <v>308</v>
      </c>
      <c r="D16" s="42">
        <v>1791.7600000000002</v>
      </c>
      <c r="E16" s="42">
        <v>45</v>
      </c>
      <c r="F16" s="49">
        <f>VLOOKUP(P16,'list rate unit'!$B$3:$K$40,10,FALSE)</f>
        <v>460000</v>
      </c>
      <c r="G16" s="44">
        <f t="shared" si="0"/>
        <v>96600000</v>
      </c>
      <c r="H16" s="42">
        <v>2119</v>
      </c>
      <c r="I16" s="44">
        <f t="shared" si="1"/>
        <v>0</v>
      </c>
      <c r="J16" s="42">
        <f t="shared" si="7"/>
        <v>1.1826360673304459</v>
      </c>
      <c r="K16" s="42">
        <f t="shared" si="8"/>
        <v>39.816888888888897</v>
      </c>
      <c r="L16" s="42">
        <f t="shared" si="9"/>
        <v>47.088888888888889</v>
      </c>
      <c r="M16" s="45">
        <f t="shared" si="10"/>
        <v>96600000</v>
      </c>
      <c r="N16" s="18"/>
      <c r="O16" s="41" t="s">
        <v>265</v>
      </c>
      <c r="P16" s="41" t="s">
        <v>130</v>
      </c>
      <c r="Q16" s="41" t="str">
        <f t="shared" si="3"/>
        <v>DT Hino 273</v>
      </c>
    </row>
    <row r="17" spans="2:17" x14ac:dyDescent="0.3">
      <c r="B17" s="41">
        <v>10</v>
      </c>
      <c r="C17" s="41" t="s">
        <v>309</v>
      </c>
      <c r="D17" s="42">
        <v>2897.2000000000003</v>
      </c>
      <c r="E17" s="42">
        <v>74</v>
      </c>
      <c r="F17" s="49">
        <f>VLOOKUP(P17,'list rate unit'!$B$3:$K$40,10,FALSE)</f>
        <v>460000</v>
      </c>
      <c r="G17" s="44">
        <f t="shared" si="0"/>
        <v>96600000</v>
      </c>
      <c r="H17" s="42">
        <v>3210</v>
      </c>
      <c r="I17" s="44">
        <f t="shared" si="1"/>
        <v>0</v>
      </c>
      <c r="J17" s="42">
        <f t="shared" si="7"/>
        <v>1.1079663123015324</v>
      </c>
      <c r="K17" s="42">
        <f t="shared" si="8"/>
        <v>39.151351351351352</v>
      </c>
      <c r="L17" s="42">
        <f t="shared" si="9"/>
        <v>43.378378378378379</v>
      </c>
      <c r="M17" s="45">
        <f t="shared" si="10"/>
        <v>96600000</v>
      </c>
      <c r="N17" s="18"/>
      <c r="O17" s="41" t="s">
        <v>265</v>
      </c>
      <c r="P17" s="41" t="s">
        <v>130</v>
      </c>
      <c r="Q17" s="41" t="str">
        <f t="shared" si="3"/>
        <v>DT Hino 275</v>
      </c>
    </row>
    <row r="18" spans="2:17" x14ac:dyDescent="0.3">
      <c r="B18" s="41">
        <v>11</v>
      </c>
      <c r="C18" s="41" t="s">
        <v>335</v>
      </c>
      <c r="D18" s="42">
        <v>353.89</v>
      </c>
      <c r="E18" s="42">
        <v>9</v>
      </c>
      <c r="F18" s="49">
        <f>VLOOKUP(P18,'list rate unit'!$B$3:$K$40,10,FALSE)</f>
        <v>460000</v>
      </c>
      <c r="G18" s="44">
        <f t="shared" si="0"/>
        <v>96600000</v>
      </c>
      <c r="H18" s="42">
        <v>664</v>
      </c>
      <c r="I18" s="44">
        <f t="shared" si="1"/>
        <v>0</v>
      </c>
      <c r="J18" s="42">
        <f t="shared" si="7"/>
        <v>1.8762892424199611</v>
      </c>
      <c r="K18" s="42">
        <f t="shared" si="8"/>
        <v>39.321111111111108</v>
      </c>
      <c r="L18" s="42">
        <f t="shared" si="9"/>
        <v>73.777777777777771</v>
      </c>
      <c r="M18" s="45">
        <f t="shared" si="10"/>
        <v>96600000</v>
      </c>
      <c r="N18" s="18"/>
      <c r="O18" s="41" t="s">
        <v>265</v>
      </c>
      <c r="P18" s="41" t="s">
        <v>130</v>
      </c>
      <c r="Q18" s="41" t="str">
        <f t="shared" si="3"/>
        <v>DT Hino 278</v>
      </c>
    </row>
    <row r="19" spans="2:17" x14ac:dyDescent="0.3">
      <c r="B19" s="41">
        <v>12</v>
      </c>
      <c r="C19" s="41" t="s">
        <v>336</v>
      </c>
      <c r="D19" s="42">
        <v>2977.86</v>
      </c>
      <c r="E19" s="42">
        <v>76</v>
      </c>
      <c r="F19" s="49">
        <f>VLOOKUP(P19,'list rate unit'!$B$3:$K$40,10,FALSE)</f>
        <v>460000</v>
      </c>
      <c r="G19" s="44">
        <f t="shared" si="0"/>
        <v>96600000</v>
      </c>
      <c r="H19" s="42">
        <v>3443</v>
      </c>
      <c r="I19" s="44">
        <f t="shared" si="1"/>
        <v>0</v>
      </c>
      <c r="J19" s="42">
        <f t="shared" si="7"/>
        <v>1.1561994183742688</v>
      </c>
      <c r="K19" s="42">
        <f t="shared" si="8"/>
        <v>39.182368421052637</v>
      </c>
      <c r="L19" s="42">
        <f t="shared" si="9"/>
        <v>45.30263157894737</v>
      </c>
      <c r="M19" s="45">
        <f t="shared" si="10"/>
        <v>96600000</v>
      </c>
      <c r="N19" s="18"/>
      <c r="O19" s="41" t="s">
        <v>265</v>
      </c>
      <c r="P19" s="41" t="s">
        <v>130</v>
      </c>
      <c r="Q19" s="41" t="str">
        <f t="shared" si="3"/>
        <v>DT Hino 280</v>
      </c>
    </row>
    <row r="20" spans="2:17" x14ac:dyDescent="0.3">
      <c r="B20" s="41">
        <v>13</v>
      </c>
      <c r="C20" s="41" t="s">
        <v>357</v>
      </c>
      <c r="D20" s="42">
        <v>550.21</v>
      </c>
      <c r="E20" s="42">
        <v>14</v>
      </c>
      <c r="F20" s="49">
        <f>VLOOKUP(P20,'list rate unit'!$B$3:$K$40,10,FALSE)</f>
        <v>460000</v>
      </c>
      <c r="G20" s="44">
        <f t="shared" si="0"/>
        <v>96600000</v>
      </c>
      <c r="H20" s="42">
        <v>811</v>
      </c>
      <c r="I20" s="44">
        <f t="shared" si="1"/>
        <v>0</v>
      </c>
      <c r="J20" s="42">
        <f t="shared" si="7"/>
        <v>1.4739826611657367</v>
      </c>
      <c r="K20" s="42">
        <f t="shared" si="8"/>
        <v>39.300714285714285</v>
      </c>
      <c r="L20" s="42">
        <f t="shared" si="9"/>
        <v>57.928571428571431</v>
      </c>
      <c r="M20" s="45">
        <f t="shared" si="10"/>
        <v>96600000</v>
      </c>
      <c r="N20" s="18"/>
      <c r="O20" s="41" t="s">
        <v>265</v>
      </c>
      <c r="P20" s="41" t="s">
        <v>130</v>
      </c>
      <c r="Q20" s="41" t="str">
        <f t="shared" si="3"/>
        <v>DT Hino 282</v>
      </c>
    </row>
    <row r="21" spans="2:17" x14ac:dyDescent="0.3">
      <c r="B21" s="41">
        <v>14</v>
      </c>
      <c r="C21" s="41" t="s">
        <v>337</v>
      </c>
      <c r="D21" s="42">
        <v>1361.9399999999998</v>
      </c>
      <c r="E21" s="42">
        <v>35</v>
      </c>
      <c r="F21" s="49">
        <f>VLOOKUP(P21,'list rate unit'!$B$3:$K$40,10,FALSE)</f>
        <v>460000</v>
      </c>
      <c r="G21" s="44">
        <f t="shared" si="0"/>
        <v>96600000</v>
      </c>
      <c r="H21" s="42">
        <v>1773</v>
      </c>
      <c r="I21" s="44">
        <f t="shared" si="1"/>
        <v>0</v>
      </c>
      <c r="J21" s="42">
        <f t="shared" si="7"/>
        <v>1.3018194634124853</v>
      </c>
      <c r="K21" s="42">
        <f t="shared" si="8"/>
        <v>38.912571428571425</v>
      </c>
      <c r="L21" s="42">
        <f t="shared" si="9"/>
        <v>50.657142857142858</v>
      </c>
      <c r="M21" s="45">
        <f t="shared" si="10"/>
        <v>96600000</v>
      </c>
      <c r="N21" s="18"/>
      <c r="O21" s="41" t="s">
        <v>265</v>
      </c>
      <c r="P21" s="41" t="s">
        <v>130</v>
      </c>
      <c r="Q21" s="41" t="str">
        <f t="shared" si="3"/>
        <v>DT Hino 283</v>
      </c>
    </row>
    <row r="22" spans="2:17" x14ac:dyDescent="0.3">
      <c r="B22" s="41">
        <v>15</v>
      </c>
      <c r="C22" s="41" t="s">
        <v>310</v>
      </c>
      <c r="D22" s="42">
        <v>2116.6799999999998</v>
      </c>
      <c r="E22" s="42">
        <v>55</v>
      </c>
      <c r="F22" s="49">
        <f>VLOOKUP(P22,'list rate unit'!$B$3:$K$40,10,FALSE)</f>
        <v>460000</v>
      </c>
      <c r="G22" s="44">
        <f t="shared" si="0"/>
        <v>96600000</v>
      </c>
      <c r="H22" s="42">
        <v>2366</v>
      </c>
      <c r="I22" s="44">
        <f t="shared" si="1"/>
        <v>0</v>
      </c>
      <c r="J22" s="42">
        <f t="shared" si="7"/>
        <v>1.1177882344048227</v>
      </c>
      <c r="K22" s="42">
        <f t="shared" si="8"/>
        <v>38.485090909090907</v>
      </c>
      <c r="L22" s="42">
        <f t="shared" si="9"/>
        <v>43.018181818181816</v>
      </c>
      <c r="M22" s="45">
        <f t="shared" si="10"/>
        <v>96600000</v>
      </c>
      <c r="N22" s="18"/>
      <c r="O22" s="41" t="s">
        <v>265</v>
      </c>
      <c r="P22" s="41" t="s">
        <v>130</v>
      </c>
      <c r="Q22" s="41" t="str">
        <f t="shared" si="3"/>
        <v>DT Hino 285</v>
      </c>
    </row>
    <row r="23" spans="2:17" x14ac:dyDescent="0.3">
      <c r="B23" s="41">
        <v>16</v>
      </c>
      <c r="C23" s="41" t="s">
        <v>311</v>
      </c>
      <c r="D23" s="42">
        <v>2551.8500000000004</v>
      </c>
      <c r="E23" s="42">
        <v>65</v>
      </c>
      <c r="F23" s="49">
        <f>VLOOKUP(P23,'list rate unit'!$B$3:$K$40,10,FALSE)</f>
        <v>460000</v>
      </c>
      <c r="G23" s="44">
        <f t="shared" si="0"/>
        <v>96600000</v>
      </c>
      <c r="H23" s="42">
        <v>2846</v>
      </c>
      <c r="I23" s="44">
        <f t="shared" si="1"/>
        <v>0</v>
      </c>
      <c r="J23" s="42">
        <f t="shared" ref="J23:J32" si="11">IFERROR(H23/D23,0)</f>
        <v>1.1152693144189507</v>
      </c>
      <c r="K23" s="42">
        <f t="shared" ref="K23:K32" si="12">IFERROR(D23/E23,0)</f>
        <v>39.259230769230776</v>
      </c>
      <c r="L23" s="42">
        <f t="shared" ref="L23:L32" si="13">H23/E23</f>
        <v>43.784615384615385</v>
      </c>
      <c r="M23" s="45">
        <f t="shared" ref="M23:M32" si="14">G23+I23</f>
        <v>96600000</v>
      </c>
      <c r="N23" s="18"/>
      <c r="O23" s="41" t="s">
        <v>265</v>
      </c>
      <c r="P23" s="41" t="s">
        <v>130</v>
      </c>
      <c r="Q23" s="41" t="str">
        <f t="shared" ref="Q23:Q32" si="15">C23</f>
        <v>DT Hino 286</v>
      </c>
    </row>
    <row r="24" spans="2:17" x14ac:dyDescent="0.3">
      <c r="B24" s="41">
        <v>17</v>
      </c>
      <c r="C24" s="41" t="s">
        <v>312</v>
      </c>
      <c r="D24" s="42">
        <v>2962.7400000000002</v>
      </c>
      <c r="E24" s="42">
        <v>77</v>
      </c>
      <c r="F24" s="49">
        <f>VLOOKUP(P24,'list rate unit'!$B$3:$K$40,10,FALSE)</f>
        <v>460000</v>
      </c>
      <c r="G24" s="44">
        <f t="shared" si="0"/>
        <v>96600000</v>
      </c>
      <c r="H24" s="42">
        <v>3300</v>
      </c>
      <c r="I24" s="44">
        <f t="shared" si="1"/>
        <v>0</v>
      </c>
      <c r="J24" s="42">
        <f t="shared" si="11"/>
        <v>1.1138338159946535</v>
      </c>
      <c r="K24" s="42">
        <f t="shared" si="12"/>
        <v>38.477142857142859</v>
      </c>
      <c r="L24" s="42">
        <f t="shared" si="13"/>
        <v>42.857142857142854</v>
      </c>
      <c r="M24" s="45">
        <f t="shared" si="14"/>
        <v>96600000</v>
      </c>
      <c r="N24" s="18"/>
      <c r="O24" s="41" t="s">
        <v>265</v>
      </c>
      <c r="P24" s="41" t="s">
        <v>130</v>
      </c>
      <c r="Q24" s="41" t="str">
        <f t="shared" si="15"/>
        <v>DT Hino 287</v>
      </c>
    </row>
    <row r="25" spans="2:17" x14ac:dyDescent="0.3">
      <c r="B25" s="41">
        <v>18</v>
      </c>
      <c r="C25" s="41" t="s">
        <v>313</v>
      </c>
      <c r="D25" s="42">
        <v>2813.63</v>
      </c>
      <c r="E25" s="42">
        <v>72</v>
      </c>
      <c r="F25" s="49">
        <f>VLOOKUP(P25,'list rate unit'!$B$3:$K$40,10,FALSE)</f>
        <v>460000</v>
      </c>
      <c r="G25" s="44">
        <f t="shared" si="0"/>
        <v>96600000</v>
      </c>
      <c r="H25" s="42">
        <v>3082</v>
      </c>
      <c r="I25" s="44">
        <f t="shared" si="1"/>
        <v>0</v>
      </c>
      <c r="J25" s="42">
        <f t="shared" si="11"/>
        <v>1.0953821220274165</v>
      </c>
      <c r="K25" s="42">
        <f t="shared" si="12"/>
        <v>39.078194444444449</v>
      </c>
      <c r="L25" s="42">
        <f t="shared" si="13"/>
        <v>42.805555555555557</v>
      </c>
      <c r="M25" s="45">
        <f t="shared" si="14"/>
        <v>96600000</v>
      </c>
      <c r="N25" s="18"/>
      <c r="O25" s="41" t="s">
        <v>265</v>
      </c>
      <c r="P25" s="41" t="s">
        <v>130</v>
      </c>
      <c r="Q25" s="41" t="str">
        <f t="shared" si="15"/>
        <v>DT Hino 288</v>
      </c>
    </row>
    <row r="26" spans="2:17" x14ac:dyDescent="0.3">
      <c r="B26" s="41">
        <v>19</v>
      </c>
      <c r="C26" s="41" t="s">
        <v>314</v>
      </c>
      <c r="D26" s="42">
        <v>2208.6000000000004</v>
      </c>
      <c r="E26" s="42">
        <v>56</v>
      </c>
      <c r="F26" s="49">
        <f>VLOOKUP(P26,'list rate unit'!$B$3:$K$40,10,FALSE)</f>
        <v>460000</v>
      </c>
      <c r="G26" s="44">
        <f t="shared" si="0"/>
        <v>96600000</v>
      </c>
      <c r="H26" s="42">
        <v>2158</v>
      </c>
      <c r="I26" s="44">
        <f t="shared" si="1"/>
        <v>0</v>
      </c>
      <c r="J26" s="42">
        <f t="shared" si="11"/>
        <v>0.97708955899664929</v>
      </c>
      <c r="K26" s="42">
        <f t="shared" si="12"/>
        <v>39.439285714285724</v>
      </c>
      <c r="L26" s="42">
        <f t="shared" si="13"/>
        <v>38.535714285714285</v>
      </c>
      <c r="M26" s="45">
        <f t="shared" si="14"/>
        <v>96600000</v>
      </c>
      <c r="N26" s="18"/>
      <c r="O26" s="41" t="s">
        <v>265</v>
      </c>
      <c r="P26" s="41" t="s">
        <v>130</v>
      </c>
      <c r="Q26" s="41" t="str">
        <f t="shared" si="15"/>
        <v>DT Hino 289</v>
      </c>
    </row>
    <row r="27" spans="2:17" x14ac:dyDescent="0.3">
      <c r="B27" s="41">
        <v>20</v>
      </c>
      <c r="C27" s="41" t="s">
        <v>315</v>
      </c>
      <c r="D27" s="42">
        <v>2816.31</v>
      </c>
      <c r="E27" s="42">
        <v>72</v>
      </c>
      <c r="F27" s="49">
        <f>VLOOKUP(P27,'list rate unit'!$B$3:$K$40,10,FALSE)</f>
        <v>460000</v>
      </c>
      <c r="G27" s="44">
        <f t="shared" si="0"/>
        <v>96600000</v>
      </c>
      <c r="H27" s="42">
        <v>2869</v>
      </c>
      <c r="I27" s="44">
        <f t="shared" si="1"/>
        <v>0</v>
      </c>
      <c r="J27" s="42">
        <f t="shared" si="11"/>
        <v>1.0187088779289213</v>
      </c>
      <c r="K27" s="42">
        <f t="shared" si="12"/>
        <v>39.115416666666668</v>
      </c>
      <c r="L27" s="42">
        <f t="shared" si="13"/>
        <v>39.847222222222221</v>
      </c>
      <c r="M27" s="45">
        <f t="shared" si="14"/>
        <v>96600000</v>
      </c>
      <c r="N27" s="18"/>
      <c r="O27" s="41" t="s">
        <v>265</v>
      </c>
      <c r="P27" s="41" t="s">
        <v>130</v>
      </c>
      <c r="Q27" s="41" t="str">
        <f t="shared" si="15"/>
        <v>DT Hino 290</v>
      </c>
    </row>
    <row r="28" spans="2:17" x14ac:dyDescent="0.3">
      <c r="B28" s="41">
        <v>21</v>
      </c>
      <c r="C28" s="41" t="s">
        <v>358</v>
      </c>
      <c r="D28" s="42">
        <v>533.29</v>
      </c>
      <c r="E28" s="42">
        <v>13</v>
      </c>
      <c r="F28" s="49">
        <f>VLOOKUP(P28,'list rate unit'!$B$3:$K$40,10,FALSE)</f>
        <v>460000</v>
      </c>
      <c r="G28" s="44">
        <f t="shared" si="0"/>
        <v>96600000</v>
      </c>
      <c r="H28" s="42">
        <v>759</v>
      </c>
      <c r="I28" s="44">
        <f t="shared" si="1"/>
        <v>0</v>
      </c>
      <c r="J28" s="42">
        <f t="shared" si="11"/>
        <v>1.4232406383018621</v>
      </c>
      <c r="K28" s="42">
        <f t="shared" si="12"/>
        <v>41.022307692307692</v>
      </c>
      <c r="L28" s="42">
        <f t="shared" si="13"/>
        <v>58.384615384615387</v>
      </c>
      <c r="M28" s="45">
        <f t="shared" si="14"/>
        <v>96600000</v>
      </c>
      <c r="N28" s="18"/>
      <c r="O28" s="41" t="s">
        <v>265</v>
      </c>
      <c r="P28" s="41" t="s">
        <v>130</v>
      </c>
      <c r="Q28" s="41" t="str">
        <f t="shared" si="15"/>
        <v>DT Hino 292</v>
      </c>
    </row>
    <row r="29" spans="2:17" x14ac:dyDescent="0.3">
      <c r="B29" s="41">
        <v>22</v>
      </c>
      <c r="C29" s="41" t="s">
        <v>316</v>
      </c>
      <c r="D29" s="42">
        <v>2682.6</v>
      </c>
      <c r="E29" s="42">
        <v>68</v>
      </c>
      <c r="F29" s="49">
        <f>VLOOKUP(P29,'list rate unit'!$B$3:$K$40,10,FALSE)</f>
        <v>460000</v>
      </c>
      <c r="G29" s="44">
        <f t="shared" si="0"/>
        <v>96600000</v>
      </c>
      <c r="H29" s="42">
        <v>2909</v>
      </c>
      <c r="I29" s="44">
        <f t="shared" si="1"/>
        <v>0</v>
      </c>
      <c r="J29" s="42">
        <f t="shared" si="11"/>
        <v>1.0843957354805041</v>
      </c>
      <c r="K29" s="42">
        <f t="shared" si="12"/>
        <v>39.449999999999996</v>
      </c>
      <c r="L29" s="42">
        <f t="shared" si="13"/>
        <v>42.779411764705884</v>
      </c>
      <c r="M29" s="45">
        <f t="shared" si="14"/>
        <v>96600000</v>
      </c>
      <c r="N29" s="18"/>
      <c r="O29" s="41" t="s">
        <v>265</v>
      </c>
      <c r="P29" s="41" t="s">
        <v>130</v>
      </c>
      <c r="Q29" s="41" t="str">
        <f t="shared" si="15"/>
        <v>DT Hino 293</v>
      </c>
    </row>
    <row r="30" spans="2:17" x14ac:dyDescent="0.3">
      <c r="B30" s="41">
        <v>23</v>
      </c>
      <c r="C30" s="41" t="s">
        <v>317</v>
      </c>
      <c r="D30" s="42">
        <v>76.710000000000008</v>
      </c>
      <c r="E30" s="42">
        <v>2</v>
      </c>
      <c r="F30" s="49">
        <f>VLOOKUP(P30,'list rate unit'!$B$3:$K$40,10,FALSE)</f>
        <v>460000</v>
      </c>
      <c r="G30" s="44">
        <f t="shared" si="0"/>
        <v>96600000</v>
      </c>
      <c r="H30" s="42">
        <v>106</v>
      </c>
      <c r="I30" s="44">
        <f t="shared" si="1"/>
        <v>0</v>
      </c>
      <c r="J30" s="42">
        <f t="shared" si="11"/>
        <v>1.3818276626254724</v>
      </c>
      <c r="K30" s="42">
        <f t="shared" si="12"/>
        <v>38.355000000000004</v>
      </c>
      <c r="L30" s="42">
        <f t="shared" si="13"/>
        <v>53</v>
      </c>
      <c r="M30" s="45">
        <f t="shared" si="14"/>
        <v>96600000</v>
      </c>
      <c r="N30" s="18"/>
      <c r="O30" s="41" t="s">
        <v>265</v>
      </c>
      <c r="P30" s="41" t="s">
        <v>130</v>
      </c>
      <c r="Q30" s="41" t="str">
        <f t="shared" si="15"/>
        <v>DT Hino 294</v>
      </c>
    </row>
    <row r="31" spans="2:17" x14ac:dyDescent="0.3">
      <c r="B31" s="41">
        <v>24</v>
      </c>
      <c r="C31" s="41" t="s">
        <v>318</v>
      </c>
      <c r="D31" s="42">
        <v>654.72</v>
      </c>
      <c r="E31" s="42">
        <v>17</v>
      </c>
      <c r="F31" s="49">
        <f>VLOOKUP(P31,'list rate unit'!$B$3:$K$40,10,FALSE)</f>
        <v>460000</v>
      </c>
      <c r="G31" s="44">
        <f t="shared" si="0"/>
        <v>96600000</v>
      </c>
      <c r="H31" s="42">
        <v>702</v>
      </c>
      <c r="I31" s="44">
        <f t="shared" si="1"/>
        <v>0</v>
      </c>
      <c r="J31" s="42">
        <f t="shared" si="11"/>
        <v>1.0722140762463344</v>
      </c>
      <c r="K31" s="42">
        <f t="shared" si="12"/>
        <v>38.512941176470591</v>
      </c>
      <c r="L31" s="42">
        <f t="shared" si="13"/>
        <v>41.294117647058826</v>
      </c>
      <c r="M31" s="45">
        <f t="shared" si="14"/>
        <v>96600000</v>
      </c>
      <c r="N31" s="18"/>
      <c r="O31" s="41" t="s">
        <v>265</v>
      </c>
      <c r="P31" s="41" t="s">
        <v>130</v>
      </c>
      <c r="Q31" s="41" t="str">
        <f t="shared" si="15"/>
        <v>DT Hino 295</v>
      </c>
    </row>
    <row r="32" spans="2:17" x14ac:dyDescent="0.3">
      <c r="B32" s="41">
        <v>25</v>
      </c>
      <c r="C32" s="41" t="s">
        <v>319</v>
      </c>
      <c r="D32" s="42">
        <v>996.70999999999992</v>
      </c>
      <c r="E32" s="42">
        <v>25</v>
      </c>
      <c r="F32" s="49">
        <f>VLOOKUP(P32,'list rate unit'!$B$3:$K$40,10,FALSE)</f>
        <v>460000</v>
      </c>
      <c r="G32" s="44">
        <f t="shared" si="0"/>
        <v>96600000</v>
      </c>
      <c r="H32" s="42">
        <v>1017</v>
      </c>
      <c r="I32" s="44">
        <f t="shared" si="1"/>
        <v>0</v>
      </c>
      <c r="J32" s="42">
        <f t="shared" si="11"/>
        <v>1.0203569744459271</v>
      </c>
      <c r="K32" s="42">
        <f t="shared" si="12"/>
        <v>39.868399999999994</v>
      </c>
      <c r="L32" s="42">
        <f t="shared" si="13"/>
        <v>40.68</v>
      </c>
      <c r="M32" s="45">
        <f t="shared" si="14"/>
        <v>96600000</v>
      </c>
      <c r="N32" s="18"/>
      <c r="O32" s="41" t="s">
        <v>265</v>
      </c>
      <c r="P32" s="41" t="s">
        <v>130</v>
      </c>
      <c r="Q32" s="41" t="str">
        <f t="shared" si="15"/>
        <v>DT Hino 296</v>
      </c>
    </row>
    <row r="33" spans="2:17" x14ac:dyDescent="0.3">
      <c r="B33" s="41">
        <v>26</v>
      </c>
      <c r="C33" s="41" t="s">
        <v>320</v>
      </c>
      <c r="D33" s="42">
        <v>2484.66</v>
      </c>
      <c r="E33" s="42">
        <v>63</v>
      </c>
      <c r="F33" s="49">
        <f>VLOOKUP(P33,'list rate unit'!$B$3:$K$40,10,FALSE)</f>
        <v>460000</v>
      </c>
      <c r="G33" s="44">
        <f t="shared" ref="G33:G38" si="16">IF(D33=0,0,F33*$C$45)</f>
        <v>96600000</v>
      </c>
      <c r="H33" s="42">
        <v>2698</v>
      </c>
      <c r="I33" s="44">
        <f t="shared" ref="I33:I38" si="17">H33*$C$44</f>
        <v>0</v>
      </c>
      <c r="J33" s="42">
        <f t="shared" ref="J33:J38" si="18">IFERROR(H33/D33,0)</f>
        <v>1.085862854475059</v>
      </c>
      <c r="K33" s="42">
        <f t="shared" ref="K33:K38" si="19">IFERROR(D33/E33,0)</f>
        <v>39.439047619047614</v>
      </c>
      <c r="L33" s="42">
        <f t="shared" ref="L33:L38" si="20">H33/E33</f>
        <v>42.825396825396822</v>
      </c>
      <c r="M33" s="45">
        <f t="shared" ref="M33:M38" si="21">G33+I33</f>
        <v>96600000</v>
      </c>
      <c r="N33" s="18"/>
      <c r="O33" s="41" t="s">
        <v>265</v>
      </c>
      <c r="P33" s="41" t="s">
        <v>130</v>
      </c>
      <c r="Q33" s="41" t="str">
        <f t="shared" ref="Q33:Q38" si="22">C33</f>
        <v>DT Hino 297</v>
      </c>
    </row>
    <row r="34" spans="2:17" x14ac:dyDescent="0.3">
      <c r="B34" s="41">
        <v>27</v>
      </c>
      <c r="C34" s="41" t="s">
        <v>321</v>
      </c>
      <c r="D34" s="42">
        <v>2263.42</v>
      </c>
      <c r="E34" s="42">
        <v>58</v>
      </c>
      <c r="F34" s="49">
        <f>VLOOKUP(P34,'list rate unit'!$B$3:$K$40,10,FALSE)</f>
        <v>460000</v>
      </c>
      <c r="G34" s="44">
        <f t="shared" si="16"/>
        <v>96600000</v>
      </c>
      <c r="H34" s="42">
        <v>2547</v>
      </c>
      <c r="I34" s="44">
        <f t="shared" si="17"/>
        <v>0</v>
      </c>
      <c r="J34" s="42">
        <f t="shared" si="18"/>
        <v>1.1252882805665763</v>
      </c>
      <c r="K34" s="42">
        <f t="shared" si="19"/>
        <v>39.024482758620692</v>
      </c>
      <c r="L34" s="42">
        <f t="shared" si="20"/>
        <v>43.913793103448278</v>
      </c>
      <c r="M34" s="45">
        <f t="shared" si="21"/>
        <v>96600000</v>
      </c>
      <c r="N34" s="18"/>
      <c r="O34" s="41" t="s">
        <v>265</v>
      </c>
      <c r="P34" s="41" t="s">
        <v>130</v>
      </c>
      <c r="Q34" s="41" t="str">
        <f t="shared" si="22"/>
        <v>DT Hino 299</v>
      </c>
    </row>
    <row r="35" spans="2:17" x14ac:dyDescent="0.3">
      <c r="B35" s="41">
        <v>28</v>
      </c>
      <c r="C35" s="41" t="s">
        <v>322</v>
      </c>
      <c r="D35" s="42">
        <v>1898.7999999999997</v>
      </c>
      <c r="E35" s="42">
        <v>48</v>
      </c>
      <c r="F35" s="49">
        <f>VLOOKUP(P35,'list rate unit'!$B$3:$K$40,10,FALSE)</f>
        <v>460000</v>
      </c>
      <c r="G35" s="44">
        <f t="shared" si="16"/>
        <v>96600000</v>
      </c>
      <c r="H35" s="42">
        <v>2392</v>
      </c>
      <c r="I35" s="44">
        <f t="shared" si="17"/>
        <v>0</v>
      </c>
      <c r="J35" s="42">
        <f t="shared" si="18"/>
        <v>1.2597429955761534</v>
      </c>
      <c r="K35" s="42">
        <f t="shared" si="19"/>
        <v>39.55833333333333</v>
      </c>
      <c r="L35" s="42">
        <f t="shared" si="20"/>
        <v>49.833333333333336</v>
      </c>
      <c r="M35" s="45">
        <f t="shared" si="21"/>
        <v>96600000</v>
      </c>
      <c r="N35" s="18"/>
      <c r="O35" s="41" t="s">
        <v>265</v>
      </c>
      <c r="P35" s="41" t="s">
        <v>130</v>
      </c>
      <c r="Q35" s="41" t="str">
        <f t="shared" si="22"/>
        <v>DT Hino 301</v>
      </c>
    </row>
    <row r="36" spans="2:17" x14ac:dyDescent="0.3">
      <c r="B36" s="41">
        <v>29</v>
      </c>
      <c r="C36" s="41" t="s">
        <v>359</v>
      </c>
      <c r="D36" s="42">
        <v>487.1</v>
      </c>
      <c r="E36" s="42">
        <v>13</v>
      </c>
      <c r="F36" s="49">
        <f>VLOOKUP(P36,'list rate unit'!$B$3:$K$40,10,FALSE)</f>
        <v>460000</v>
      </c>
      <c r="G36" s="44">
        <f t="shared" si="16"/>
        <v>96600000</v>
      </c>
      <c r="H36" s="42">
        <v>778</v>
      </c>
      <c r="I36" s="44">
        <f t="shared" si="17"/>
        <v>0</v>
      </c>
      <c r="J36" s="42">
        <f t="shared" si="18"/>
        <v>1.5972079655101621</v>
      </c>
      <c r="K36" s="42">
        <f t="shared" si="19"/>
        <v>37.469230769230769</v>
      </c>
      <c r="L36" s="42">
        <f t="shared" si="20"/>
        <v>59.846153846153847</v>
      </c>
      <c r="M36" s="45">
        <f t="shared" si="21"/>
        <v>96600000</v>
      </c>
      <c r="N36" s="18"/>
      <c r="O36" s="41" t="s">
        <v>265</v>
      </c>
      <c r="P36" s="41" t="s">
        <v>130</v>
      </c>
      <c r="Q36" s="41" t="str">
        <f t="shared" si="22"/>
        <v>DT Hino 302</v>
      </c>
    </row>
    <row r="37" spans="2:17" x14ac:dyDescent="0.3">
      <c r="B37" s="41">
        <v>30</v>
      </c>
      <c r="C37" s="41" t="s">
        <v>360</v>
      </c>
      <c r="D37" s="42">
        <v>780.70999999999992</v>
      </c>
      <c r="E37" s="42">
        <v>20</v>
      </c>
      <c r="F37" s="49">
        <f>VLOOKUP(P37,'list rate unit'!$B$3:$K$40,10,FALSE)</f>
        <v>460000</v>
      </c>
      <c r="G37" s="44">
        <f t="shared" si="16"/>
        <v>96600000</v>
      </c>
      <c r="H37" s="42">
        <v>1111</v>
      </c>
      <c r="I37" s="44">
        <f t="shared" si="17"/>
        <v>0</v>
      </c>
      <c r="J37" s="42">
        <f t="shared" si="18"/>
        <v>1.423063621575233</v>
      </c>
      <c r="K37" s="42">
        <f t="shared" si="19"/>
        <v>39.035499999999999</v>
      </c>
      <c r="L37" s="42">
        <f t="shared" si="20"/>
        <v>55.55</v>
      </c>
      <c r="M37" s="45">
        <f t="shared" si="21"/>
        <v>96600000</v>
      </c>
      <c r="N37" s="18"/>
      <c r="O37" s="41" t="s">
        <v>265</v>
      </c>
      <c r="P37" s="41" t="s">
        <v>130</v>
      </c>
      <c r="Q37" s="41" t="str">
        <f t="shared" si="22"/>
        <v>DT Hino 304</v>
      </c>
    </row>
    <row r="38" spans="2:17" x14ac:dyDescent="0.3">
      <c r="B38" s="41">
        <v>31</v>
      </c>
      <c r="C38" s="41" t="s">
        <v>323</v>
      </c>
      <c r="D38" s="42">
        <v>1291.8</v>
      </c>
      <c r="E38" s="42">
        <v>33</v>
      </c>
      <c r="F38" s="49">
        <f>VLOOKUP(P38,'list rate unit'!$B$3:$K$40,10,FALSE)</f>
        <v>460000</v>
      </c>
      <c r="G38" s="44">
        <f t="shared" si="16"/>
        <v>96600000</v>
      </c>
      <c r="H38" s="42">
        <v>1433</v>
      </c>
      <c r="I38" s="44">
        <f t="shared" si="17"/>
        <v>0</v>
      </c>
      <c r="J38" s="42">
        <f t="shared" si="18"/>
        <v>1.1093048459513857</v>
      </c>
      <c r="K38" s="42">
        <f t="shared" si="19"/>
        <v>39.145454545454541</v>
      </c>
      <c r="L38" s="42">
        <f t="shared" si="20"/>
        <v>43.424242424242422</v>
      </c>
      <c r="M38" s="45">
        <f t="shared" si="21"/>
        <v>96600000</v>
      </c>
      <c r="N38" s="18"/>
      <c r="O38" s="41" t="s">
        <v>265</v>
      </c>
      <c r="P38" s="41" t="s">
        <v>130</v>
      </c>
      <c r="Q38" s="41" t="str">
        <f t="shared" si="22"/>
        <v>DT Hino 308</v>
      </c>
    </row>
    <row r="39" spans="2:17" x14ac:dyDescent="0.3">
      <c r="D39" s="18"/>
      <c r="E39" s="18"/>
      <c r="H39" s="18"/>
      <c r="I39" s="30"/>
      <c r="J39" s="18"/>
      <c r="K39" s="18"/>
      <c r="L39" s="18"/>
      <c r="M39" s="33"/>
      <c r="N39" s="18"/>
    </row>
    <row r="40" spans="2:17" ht="15.75" customHeight="1" x14ac:dyDescent="0.3">
      <c r="B40" s="186" t="s">
        <v>21</v>
      </c>
      <c r="C40" s="186"/>
      <c r="D40" s="46">
        <f>SUM(D8:D39)</f>
        <v>56656.319999999992</v>
      </c>
      <c r="E40" s="46">
        <f>SUM(E8:E39)</f>
        <v>1445</v>
      </c>
      <c r="F40" s="50"/>
      <c r="G40" s="51">
        <f>SUM(G8:G39)</f>
        <v>2994600000</v>
      </c>
      <c r="H40" s="46">
        <f>SUM(H8:H39)</f>
        <v>64108</v>
      </c>
      <c r="I40" s="47">
        <f>SUM(I8:I39)</f>
        <v>0</v>
      </c>
      <c r="J40" s="46">
        <f>IFERROR(H40/D40,0)</f>
        <v>1.1315242500748373</v>
      </c>
      <c r="K40" s="46">
        <f>IFERROR(D40/E40,0)</f>
        <v>39.208525951557085</v>
      </c>
      <c r="L40" s="46">
        <f>IFERROR(H40/E40,0)</f>
        <v>44.365397923875435</v>
      </c>
      <c r="M40" s="48">
        <f>SUM(M8:M39)</f>
        <v>2994600000</v>
      </c>
      <c r="N40" s="17"/>
    </row>
    <row r="42" spans="2:17" x14ac:dyDescent="0.3">
      <c r="B42" s="28"/>
      <c r="C42" s="15" t="s">
        <v>58</v>
      </c>
      <c r="L42" s="18"/>
      <c r="M42" s="18"/>
      <c r="N42" s="18"/>
    </row>
    <row r="43" spans="2:17" x14ac:dyDescent="0.3">
      <c r="B43" s="35" t="s">
        <v>34</v>
      </c>
      <c r="C43" s="29">
        <f>'REPORT unit OB'!C24</f>
        <v>14848</v>
      </c>
      <c r="D43" s="30"/>
    </row>
    <row r="44" spans="2:17" x14ac:dyDescent="0.3">
      <c r="B44" s="35" t="s">
        <v>35</v>
      </c>
      <c r="C44" s="29">
        <f>SUMMARY!$J$13</f>
        <v>0</v>
      </c>
      <c r="D44" s="30"/>
    </row>
    <row r="45" spans="2:17" x14ac:dyDescent="0.3">
      <c r="B45" s="35" t="s">
        <v>50</v>
      </c>
      <c r="C45" s="34">
        <v>210</v>
      </c>
      <c r="D45" s="29" t="s">
        <v>51</v>
      </c>
    </row>
    <row r="46" spans="2:17" x14ac:dyDescent="0.3">
      <c r="D46" s="18"/>
    </row>
    <row r="49" spans="4:5" x14ac:dyDescent="0.3">
      <c r="D49" s="18"/>
    </row>
    <row r="51" spans="4:5" x14ac:dyDescent="0.3">
      <c r="E51" s="18"/>
    </row>
    <row r="52" spans="4:5" x14ac:dyDescent="0.3">
      <c r="E52" s="18"/>
    </row>
    <row r="53" spans="4:5" x14ac:dyDescent="0.3">
      <c r="E53" s="18"/>
    </row>
    <row r="54" spans="4:5" x14ac:dyDescent="0.3">
      <c r="E54" s="18"/>
    </row>
    <row r="55" spans="4:5" x14ac:dyDescent="0.3">
      <c r="E55" s="18"/>
    </row>
    <row r="56" spans="4:5" x14ac:dyDescent="0.3">
      <c r="E56" s="18"/>
    </row>
    <row r="57" spans="4:5" x14ac:dyDescent="0.3">
      <c r="E57" s="18"/>
    </row>
    <row r="58" spans="4:5" x14ac:dyDescent="0.3">
      <c r="E58" s="18"/>
    </row>
    <row r="59" spans="4:5" x14ac:dyDescent="0.3">
      <c r="E59" s="18"/>
    </row>
    <row r="60" spans="4:5" x14ac:dyDescent="0.3">
      <c r="E60" s="18"/>
    </row>
    <row r="61" spans="4:5" x14ac:dyDescent="0.3">
      <c r="E61" s="18"/>
    </row>
    <row r="62" spans="4:5" x14ac:dyDescent="0.3">
      <c r="E62" s="18"/>
    </row>
    <row r="63" spans="4:5" x14ac:dyDescent="0.3">
      <c r="E63" s="18"/>
    </row>
    <row r="64" spans="4:5" x14ac:dyDescent="0.3">
      <c r="E64" s="18"/>
    </row>
    <row r="65" spans="5:5" x14ac:dyDescent="0.3">
      <c r="E65" s="18"/>
    </row>
    <row r="66" spans="5:5" x14ac:dyDescent="0.3">
      <c r="E66" s="18"/>
    </row>
    <row r="67" spans="5:5" x14ac:dyDescent="0.3">
      <c r="E67" s="18"/>
    </row>
    <row r="68" spans="5:5" x14ac:dyDescent="0.3">
      <c r="E68" s="18"/>
    </row>
    <row r="69" spans="5:5" x14ac:dyDescent="0.3">
      <c r="E69" s="18"/>
    </row>
    <row r="70" spans="5:5" x14ac:dyDescent="0.3">
      <c r="E70" s="18"/>
    </row>
    <row r="71" spans="5:5" x14ac:dyDescent="0.3">
      <c r="E71" s="18"/>
    </row>
    <row r="72" spans="5:5" x14ac:dyDescent="0.3">
      <c r="E72" s="18"/>
    </row>
    <row r="73" spans="5:5" x14ac:dyDescent="0.3">
      <c r="E73" s="18"/>
    </row>
    <row r="74" spans="5:5" x14ac:dyDescent="0.3">
      <c r="E74" s="18"/>
    </row>
    <row r="75" spans="5:5" x14ac:dyDescent="0.3">
      <c r="E75" s="18"/>
    </row>
    <row r="76" spans="5:5" x14ac:dyDescent="0.3">
      <c r="E76" s="18"/>
    </row>
    <row r="77" spans="5:5" x14ac:dyDescent="0.3">
      <c r="E77" s="18"/>
    </row>
    <row r="78" spans="5:5" x14ac:dyDescent="0.3">
      <c r="E78" s="18"/>
    </row>
    <row r="79" spans="5:5" x14ac:dyDescent="0.3">
      <c r="E79" s="18"/>
    </row>
    <row r="80" spans="5:5" x14ac:dyDescent="0.3">
      <c r="E80" s="18"/>
    </row>
    <row r="81" spans="5:5" x14ac:dyDescent="0.3">
      <c r="E81" s="18"/>
    </row>
    <row r="82" spans="5:5" x14ac:dyDescent="0.3">
      <c r="E82" s="18"/>
    </row>
    <row r="83" spans="5:5" x14ac:dyDescent="0.3">
      <c r="E83" s="18"/>
    </row>
    <row r="84" spans="5:5" x14ac:dyDescent="0.3">
      <c r="E84" s="18"/>
    </row>
    <row r="85" spans="5:5" x14ac:dyDescent="0.3">
      <c r="E85" s="18"/>
    </row>
    <row r="86" spans="5:5" x14ac:dyDescent="0.3">
      <c r="E86" s="18"/>
    </row>
    <row r="87" spans="5:5" x14ac:dyDescent="0.3">
      <c r="E87" s="18"/>
    </row>
    <row r="88" spans="5:5" x14ac:dyDescent="0.3">
      <c r="E88" s="18"/>
    </row>
    <row r="89" spans="5:5" x14ac:dyDescent="0.3">
      <c r="E89" s="18"/>
    </row>
    <row r="90" spans="5:5" x14ac:dyDescent="0.3">
      <c r="E90" s="18"/>
    </row>
    <row r="91" spans="5:5" x14ac:dyDescent="0.3">
      <c r="E91" s="18"/>
    </row>
    <row r="92" spans="5:5" x14ac:dyDescent="0.3">
      <c r="E92" s="18"/>
    </row>
    <row r="93" spans="5:5" x14ac:dyDescent="0.3">
      <c r="E93" s="18"/>
    </row>
    <row r="94" spans="5:5" x14ac:dyDescent="0.3">
      <c r="E94" s="18"/>
    </row>
    <row r="95" spans="5:5" x14ac:dyDescent="0.3">
      <c r="E95" s="18"/>
    </row>
    <row r="96" spans="5:5" x14ac:dyDescent="0.3">
      <c r="E96" s="18"/>
    </row>
    <row r="97" spans="5:5" x14ac:dyDescent="0.3">
      <c r="E97" s="18"/>
    </row>
    <row r="98" spans="5:5" x14ac:dyDescent="0.3">
      <c r="E98" s="18"/>
    </row>
    <row r="99" spans="5:5" x14ac:dyDescent="0.3">
      <c r="E99" s="18"/>
    </row>
    <row r="100" spans="5:5" x14ac:dyDescent="0.3">
      <c r="E100" s="18"/>
    </row>
    <row r="101" spans="5:5" x14ac:dyDescent="0.3">
      <c r="E101" s="18"/>
    </row>
    <row r="102" spans="5:5" x14ac:dyDescent="0.3">
      <c r="E102" s="18"/>
    </row>
    <row r="103" spans="5:5" x14ac:dyDescent="0.3">
      <c r="E103" s="18"/>
    </row>
    <row r="104" spans="5:5" x14ac:dyDescent="0.3">
      <c r="E104" s="18"/>
    </row>
    <row r="105" spans="5:5" x14ac:dyDescent="0.3">
      <c r="E105" s="18"/>
    </row>
    <row r="106" spans="5:5" x14ac:dyDescent="0.3">
      <c r="E106" s="18"/>
    </row>
    <row r="107" spans="5:5" x14ac:dyDescent="0.3">
      <c r="E107" s="18"/>
    </row>
    <row r="108" spans="5:5" x14ac:dyDescent="0.3">
      <c r="E108" s="18"/>
    </row>
    <row r="109" spans="5:5" x14ac:dyDescent="0.3">
      <c r="E109" s="18"/>
    </row>
    <row r="110" spans="5:5" x14ac:dyDescent="0.3">
      <c r="E110" s="18"/>
    </row>
    <row r="111" spans="5:5" x14ac:dyDescent="0.3">
      <c r="E111" s="18"/>
    </row>
    <row r="112" spans="5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</sheetData>
  <autoFilter ref="B7:Q32" xr:uid="{00000000-0009-0000-0000-000004000000}">
    <filterColumn colId="14" showButton="0"/>
  </autoFilter>
  <mergeCells count="14">
    <mergeCell ref="B2:C3"/>
    <mergeCell ref="B40:C40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J8:J38">
    <cfRule type="cellIs" dxfId="1" priority="1" operator="greaterThanOrEqual">
      <formula>1.75</formula>
    </cfRule>
  </conditionalFormatting>
  <conditionalFormatting sqref="C8:C38">
    <cfRule type="duplicateValues" dxfId="0" priority="47"/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5483D15-0724-4411-AD7E-FCEEB5A0A562}">
          <x14:formula1>
            <xm:f>'list rate unit'!$B$6:$B$26</xm:f>
          </x14:formula1>
          <xm:sqref>P1:P1048576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18"/>
  <sheetViews>
    <sheetView workbookViewId="0">
      <pane xSplit="3" ySplit="7" topLeftCell="D8" activePane="bottomRight" state="frozenSplit"/>
      <selection pane="topRight" activeCell="C1" sqref="C1"/>
      <selection pane="bottomLeft" activeCell="A7" sqref="A7"/>
      <selection pane="bottomRight" activeCell="F23" sqref="F23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183" t="s">
        <v>81</v>
      </c>
      <c r="C2" s="183"/>
    </row>
    <row r="3" spans="2:12" x14ac:dyDescent="0.3">
      <c r="B3" s="183"/>
      <c r="C3" s="183"/>
    </row>
    <row r="5" spans="2:12" ht="15" customHeight="1" x14ac:dyDescent="0.3">
      <c r="B5" s="184" t="s">
        <v>1</v>
      </c>
      <c r="C5" s="184" t="s">
        <v>86</v>
      </c>
      <c r="D5" s="184" t="s">
        <v>89</v>
      </c>
      <c r="E5" s="188" t="s">
        <v>37</v>
      </c>
      <c r="F5" s="188"/>
      <c r="G5" s="184" t="s">
        <v>88</v>
      </c>
      <c r="H5" s="185" t="s">
        <v>80</v>
      </c>
      <c r="I5" s="31"/>
      <c r="J5" s="184" t="s">
        <v>47</v>
      </c>
      <c r="K5" s="184" t="s">
        <v>87</v>
      </c>
      <c r="L5" s="184"/>
    </row>
    <row r="6" spans="2:12" ht="15" customHeight="1" x14ac:dyDescent="0.3">
      <c r="B6" s="184"/>
      <c r="C6" s="184"/>
      <c r="D6" s="184"/>
      <c r="E6" s="39" t="s">
        <v>27</v>
      </c>
      <c r="F6" s="184" t="s">
        <v>28</v>
      </c>
      <c r="G6" s="184"/>
      <c r="H6" s="185"/>
      <c r="I6" s="31"/>
      <c r="J6" s="184"/>
      <c r="K6" s="184"/>
      <c r="L6" s="184"/>
    </row>
    <row r="7" spans="2:12" x14ac:dyDescent="0.3">
      <c r="B7" s="184"/>
      <c r="C7" s="184"/>
      <c r="D7" s="39" t="s">
        <v>45</v>
      </c>
      <c r="E7" s="39" t="s">
        <v>32</v>
      </c>
      <c r="F7" s="184"/>
      <c r="G7" s="39" t="s">
        <v>53</v>
      </c>
      <c r="H7" s="185"/>
      <c r="I7" s="31"/>
      <c r="J7" s="184"/>
      <c r="K7" s="184"/>
      <c r="L7" s="184"/>
    </row>
    <row r="8" spans="2:12" x14ac:dyDescent="0.3">
      <c r="B8" s="41">
        <v>1</v>
      </c>
      <c r="C8" s="41" t="s">
        <v>361</v>
      </c>
      <c r="D8" s="44">
        <f>IFERROR(VLOOKUP(K8,'list rate unit'!$B$6:$K$27,10,FALSE),0)</f>
        <v>8000000</v>
      </c>
      <c r="E8" s="42">
        <v>145</v>
      </c>
      <c r="F8" s="44">
        <f>E8*$C$17</f>
        <v>0</v>
      </c>
      <c r="G8" s="42"/>
      <c r="H8" s="45">
        <f>D8+F8</f>
        <v>8000000</v>
      </c>
      <c r="I8" s="18"/>
      <c r="J8" s="41"/>
      <c r="K8" s="41" t="str">
        <f>VLOOKUP(L8,'list rate unit'!O:P,2,FALSE)</f>
        <v>LV</v>
      </c>
      <c r="L8" s="41" t="str">
        <f t="shared" ref="L8" si="0">C8</f>
        <v>LV HILUX MERAH - 06</v>
      </c>
    </row>
    <row r="9" spans="2:12" x14ac:dyDescent="0.3">
      <c r="B9" s="41">
        <v>2</v>
      </c>
      <c r="C9" s="41" t="s">
        <v>324</v>
      </c>
      <c r="D9" s="44">
        <f>IFERROR(VLOOKUP(K9,'list rate unit'!$B$6:$K$27,10,FALSE),0)</f>
        <v>8000000</v>
      </c>
      <c r="E9" s="42">
        <v>499</v>
      </c>
      <c r="F9" s="44">
        <f>E9*$C$17</f>
        <v>0</v>
      </c>
      <c r="G9" s="42"/>
      <c r="H9" s="45">
        <f t="shared" ref="H9" si="1">D9+F9</f>
        <v>8000000</v>
      </c>
      <c r="I9" s="18"/>
      <c r="J9" s="41"/>
      <c r="K9" s="41" t="str">
        <f>VLOOKUP(L9,'list rate unit'!O:P,2,FALSE)</f>
        <v>LV</v>
      </c>
      <c r="L9" s="41" t="str">
        <f t="shared" ref="L9:L10" si="2">C9</f>
        <v>LV TRITON PUTIH - 28</v>
      </c>
    </row>
    <row r="10" spans="2:12" x14ac:dyDescent="0.3">
      <c r="B10" s="41">
        <v>3</v>
      </c>
      <c r="C10" s="41" t="s">
        <v>266</v>
      </c>
      <c r="D10" s="44">
        <f>IFERROR(VLOOKUP(K10,'list rate unit'!$B$6:$K$27,10,FALSE),0)</f>
        <v>8000000</v>
      </c>
      <c r="E10" s="42">
        <v>234</v>
      </c>
      <c r="F10" s="44">
        <f>E10*$C$17</f>
        <v>0</v>
      </c>
      <c r="G10" s="42"/>
      <c r="H10" s="45">
        <f t="shared" ref="H10" si="3">D10+F10</f>
        <v>8000000</v>
      </c>
      <c r="I10" s="18"/>
      <c r="J10" s="41"/>
      <c r="K10" s="41" t="str">
        <f>VLOOKUP(L10,'list rate unit'!O:P,2,FALSE)</f>
        <v>LV</v>
      </c>
      <c r="L10" s="41" t="str">
        <f t="shared" si="2"/>
        <v>LV TRITON PUTIH - 31</v>
      </c>
    </row>
    <row r="11" spans="2:12" x14ac:dyDescent="0.3">
      <c r="B11" s="41">
        <v>4</v>
      </c>
      <c r="C11" s="41" t="s">
        <v>330</v>
      </c>
      <c r="D11" s="44">
        <f>IFERROR(VLOOKUP(K11,'list rate unit'!$B$6:$K$27,10,FALSE),0)</f>
        <v>210000</v>
      </c>
      <c r="E11" s="42">
        <v>1017</v>
      </c>
      <c r="F11" s="44">
        <f>E11*$C$17</f>
        <v>0</v>
      </c>
      <c r="G11" s="42"/>
      <c r="H11" s="45">
        <f t="shared" ref="H11" si="4">D11+F11</f>
        <v>210000</v>
      </c>
      <c r="I11" s="18"/>
      <c r="J11" s="41"/>
      <c r="K11" s="41" t="str">
        <f>VLOOKUP(L11,'list rate unit'!O:P,2,FALSE)</f>
        <v>FM 260 Ti</v>
      </c>
      <c r="L11" s="41" t="str">
        <f t="shared" ref="L11" si="5">C11</f>
        <v>FUEL TRUCK - 02</v>
      </c>
    </row>
    <row r="12" spans="2:12" x14ac:dyDescent="0.3">
      <c r="B12" s="41">
        <v>5</v>
      </c>
      <c r="C12" s="41" t="s">
        <v>326</v>
      </c>
      <c r="D12" s="44">
        <f>IFERROR(VLOOKUP(K12,'list rate unit'!$B$6:$K$27,10,FALSE),0)</f>
        <v>12000000</v>
      </c>
      <c r="E12" s="42">
        <v>403</v>
      </c>
      <c r="F12" s="44">
        <f>E12*$C$17</f>
        <v>0</v>
      </c>
      <c r="G12" s="42"/>
      <c r="H12" s="45">
        <f t="shared" ref="H12" si="6">D12+F12</f>
        <v>12000000</v>
      </c>
      <c r="I12" s="18"/>
      <c r="J12" s="41"/>
      <c r="K12" s="41" t="str">
        <f>VLOOKUP(L12,'list rate unit'!O:P,2,FALSE)</f>
        <v>LT</v>
      </c>
      <c r="L12" s="41" t="str">
        <f t="shared" ref="L12" si="7">C12</f>
        <v>WELDER CAR (LT-07)</v>
      </c>
    </row>
    <row r="13" spans="2:12" x14ac:dyDescent="0.3">
      <c r="D13" s="30"/>
      <c r="E13" s="18"/>
      <c r="F13" s="30"/>
      <c r="G13" s="18"/>
      <c r="H13" s="18"/>
      <c r="I13" s="18"/>
    </row>
    <row r="14" spans="2:12" ht="15.75" customHeight="1" x14ac:dyDescent="0.3">
      <c r="B14" s="186" t="s">
        <v>21</v>
      </c>
      <c r="C14" s="186"/>
      <c r="D14" s="51">
        <f>SUM(D8:D13)</f>
        <v>36210000</v>
      </c>
      <c r="E14" s="46">
        <f>SUM(E8:E13)</f>
        <v>2298</v>
      </c>
      <c r="F14" s="47">
        <f>SUM(F8:F13)</f>
        <v>0</v>
      </c>
      <c r="G14" s="46">
        <f>IFERROR(E14/#REF!,0)</f>
        <v>0</v>
      </c>
      <c r="H14" s="48">
        <f>SUM(H8:H13)</f>
        <v>36210000</v>
      </c>
      <c r="I14" s="17"/>
    </row>
    <row r="16" spans="2:12" x14ac:dyDescent="0.3">
      <c r="B16" s="35" t="s">
        <v>34</v>
      </c>
      <c r="C16" s="29">
        <f>'REPORT unit DT HAUL'!C43</f>
        <v>14848</v>
      </c>
    </row>
    <row r="17" spans="2:10" x14ac:dyDescent="0.3">
      <c r="B17" s="35" t="s">
        <v>35</v>
      </c>
      <c r="C17" s="29">
        <f>SUMMARY!$J$13</f>
        <v>0</v>
      </c>
    </row>
    <row r="18" spans="2:10" x14ac:dyDescent="0.3">
      <c r="J18" s="27"/>
    </row>
  </sheetData>
  <mergeCells count="11">
    <mergeCell ref="B14:C14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unit'!$B$4:$B$27</xm:f>
          </x14:formula1>
          <xm:sqref>K1:K7 K13:K1048576</xm:sqref>
        </x14:dataValidation>
        <x14:dataValidation type="list" allowBlank="1" showInputMessage="1" showErrorMessage="1" xr:uid="{75B9498A-83E4-4815-A39E-ADBBDB20D76B}">
          <x14:formula1>
            <xm:f>'list rate unit'!$B$6:$B$26</xm:f>
          </x14:formula1>
          <xm:sqref>K8:K12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190" t="s">
        <v>1</v>
      </c>
      <c r="D2" s="190" t="s">
        <v>2</v>
      </c>
      <c r="E2" s="190" t="s">
        <v>3</v>
      </c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89" t="s">
        <v>4</v>
      </c>
      <c r="AK2" s="189" t="s">
        <v>57</v>
      </c>
      <c r="AL2" s="3"/>
    </row>
    <row r="3" spans="2:38" s="4" customFormat="1" x14ac:dyDescent="0.3">
      <c r="B3" s="4" t="s">
        <v>5</v>
      </c>
      <c r="C3" s="190"/>
      <c r="D3" s="190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189"/>
      <c r="AK3" s="189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143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144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141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142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145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146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147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90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91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92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190" t="s">
        <v>21</v>
      </c>
      <c r="C29" s="190"/>
      <c r="D29" s="190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191" t="s">
        <v>12</v>
      </c>
      <c r="AA32" s="191"/>
      <c r="AB32" s="191"/>
      <c r="AG32" s="191" t="s">
        <v>13</v>
      </c>
      <c r="AH32" s="191"/>
      <c r="AI32" s="191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191" t="s">
        <v>19</v>
      </c>
      <c r="AA36" s="191"/>
      <c r="AB36" s="191"/>
      <c r="AG36" s="191" t="s">
        <v>20</v>
      </c>
      <c r="AH36" s="191"/>
      <c r="AI36" s="191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2023-06-05T00:47:57Z</cp:lastPrinted>
  <dcterms:created xsi:type="dcterms:W3CDTF">2019-02-05T01:55:23Z</dcterms:created>
  <dcterms:modified xsi:type="dcterms:W3CDTF">2023-06-05T00:48:00Z</dcterms:modified>
</cp:coreProperties>
</file>