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3\CV_SA\cost production report SA\"/>
    </mc:Choice>
  </mc:AlternateContent>
  <xr:revisionPtr revIDLastSave="0" documentId="13_ncr:1_{388BF65A-85E9-4849-B56C-616C8D927B31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DEVELOP'!$B$7:$O$10</definedName>
    <definedName name="_xlnm._FilterDatabase" localSheetId="6" hidden="1">'REPORT unit DT HAUL'!$B$7:$Q$32</definedName>
    <definedName name="_xlnm._FilterDatabase" localSheetId="2" hidden="1">'REPORT unit OB'!$B$7:$O$20</definedName>
    <definedName name="_xlnm._FilterDatabase" localSheetId="5" hidden="1">'REPORT unit ORE GETTING'!$B$7:$O$18</definedName>
    <definedName name="_xlnm._FilterDatabase" localSheetId="3" hidden="1">'REPORT unit QUARRY'!$B$7:$O$14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H30" i="12" l="1"/>
  <c r="H29" i="12"/>
  <c r="H27" i="12"/>
  <c r="H26" i="12"/>
  <c r="H25" i="12"/>
  <c r="H24" i="12"/>
  <c r="H22" i="12"/>
  <c r="H18" i="12"/>
  <c r="H19" i="12" s="1"/>
  <c r="H21" i="12" s="1"/>
  <c r="H17" i="12"/>
  <c r="H20" i="12" s="1"/>
  <c r="H16" i="12"/>
  <c r="H15" i="12"/>
  <c r="H14" i="12"/>
  <c r="H13" i="12"/>
  <c r="H12" i="12"/>
  <c r="H11" i="12"/>
  <c r="H5" i="12"/>
  <c r="H4" i="12"/>
  <c r="H3" i="12"/>
  <c r="L12" i="6"/>
  <c r="K12" i="6" s="1"/>
  <c r="D12" i="6" s="1"/>
  <c r="F12" i="6"/>
  <c r="H12" i="6" l="1"/>
  <c r="E18" i="11" l="1"/>
  <c r="H10" i="12" s="1"/>
  <c r="I18" i="15"/>
  <c r="N18" i="15"/>
  <c r="M18" i="15" s="1"/>
  <c r="E18" i="15" s="1"/>
  <c r="F18" i="15" s="1"/>
  <c r="I17" i="15"/>
  <c r="N17" i="15"/>
  <c r="M17" i="15" s="1"/>
  <c r="E17" i="15" s="1"/>
  <c r="F17" i="15" s="1"/>
  <c r="I17" i="4" l="1"/>
  <c r="N17" i="4"/>
  <c r="M17" i="4" s="1"/>
  <c r="E17" i="4" s="1"/>
  <c r="F17" i="4" s="1"/>
  <c r="I18" i="4"/>
  <c r="N18" i="4"/>
  <c r="M18" i="4" s="1"/>
  <c r="E18" i="4" s="1"/>
  <c r="F18" i="4" s="1"/>
  <c r="C23" i="12" l="1"/>
  <c r="C18" i="6" l="1"/>
  <c r="C42" i="7"/>
  <c r="C23" i="15"/>
  <c r="C15" i="14"/>
  <c r="C20" i="13"/>
  <c r="C23" i="4"/>
  <c r="J10" i="11"/>
  <c r="F12" i="11"/>
  <c r="F10" i="11"/>
  <c r="L11" i="6"/>
  <c r="K11" i="6" s="1"/>
  <c r="D11" i="6" s="1"/>
  <c r="I15" i="15"/>
  <c r="N15" i="15"/>
  <c r="M15" i="15" s="1"/>
  <c r="E15" i="15" s="1"/>
  <c r="F15" i="15" s="1"/>
  <c r="I16" i="15"/>
  <c r="N16" i="15"/>
  <c r="M16" i="15" s="1"/>
  <c r="E16" i="15" s="1"/>
  <c r="F16" i="15" s="1"/>
  <c r="H9" i="12" l="1"/>
  <c r="O9" i="12" s="1"/>
  <c r="H7" i="12"/>
  <c r="O7" i="12" s="1"/>
  <c r="H17" i="15"/>
  <c r="J17" i="15" s="1"/>
  <c r="H18" i="15"/>
  <c r="J18" i="15" s="1"/>
  <c r="H17" i="4"/>
  <c r="J17" i="4" s="1"/>
  <c r="H18" i="4"/>
  <c r="J18" i="4" s="1"/>
  <c r="D22" i="12"/>
  <c r="D20" i="12"/>
  <c r="D19" i="12"/>
  <c r="D21" i="12" s="1"/>
  <c r="Q36" i="7"/>
  <c r="L36" i="7"/>
  <c r="K36" i="7"/>
  <c r="J36" i="7"/>
  <c r="Q35" i="7"/>
  <c r="L35" i="7"/>
  <c r="K35" i="7"/>
  <c r="J35" i="7"/>
  <c r="Q34" i="7"/>
  <c r="L34" i="7"/>
  <c r="K34" i="7"/>
  <c r="J34" i="7"/>
  <c r="Q33" i="7"/>
  <c r="L33" i="7"/>
  <c r="K33" i="7"/>
  <c r="J33" i="7"/>
  <c r="F36" i="7"/>
  <c r="G36" i="7" s="1"/>
  <c r="F35" i="7"/>
  <c r="G35" i="7" s="1"/>
  <c r="F34" i="7"/>
  <c r="G34" i="7" s="1"/>
  <c r="F33" i="7"/>
  <c r="G33" i="7" s="1"/>
  <c r="D38" i="7"/>
  <c r="G20" i="15"/>
  <c r="D20" i="15"/>
  <c r="G17" i="13"/>
  <c r="D17" i="13"/>
  <c r="N15" i="13"/>
  <c r="I15" i="13"/>
  <c r="E15" i="13"/>
  <c r="F15" i="13" s="1"/>
  <c r="C22" i="12" l="1"/>
  <c r="C20" i="12"/>
  <c r="C19" i="12"/>
  <c r="C21" i="12" s="1"/>
  <c r="E10" i="13" l="1"/>
  <c r="F10" i="13" s="1"/>
  <c r="I10" i="13"/>
  <c r="N10" i="13"/>
  <c r="E11" i="13"/>
  <c r="F11" i="13" s="1"/>
  <c r="I11" i="13"/>
  <c r="N11" i="13"/>
  <c r="I11" i="4"/>
  <c r="N11" i="4"/>
  <c r="M11" i="4" s="1"/>
  <c r="E11" i="4" s="1"/>
  <c r="F11" i="4" s="1"/>
  <c r="I12" i="4"/>
  <c r="N12" i="4"/>
  <c r="M12" i="4" s="1"/>
  <c r="E12" i="4" s="1"/>
  <c r="F12" i="4" s="1"/>
  <c r="L13" i="6" l="1"/>
  <c r="K13" i="6" s="1"/>
  <c r="N9" i="14" l="1"/>
  <c r="M9" i="14" s="1"/>
  <c r="E9" i="14" s="1"/>
  <c r="F9" i="14" s="1"/>
  <c r="I9" i="14"/>
  <c r="E15" i="6"/>
  <c r="F18" i="11" l="1"/>
  <c r="D20" i="4"/>
  <c r="G15" i="6" l="1"/>
  <c r="C22" i="15" l="1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I8" i="15"/>
  <c r="H9" i="14"/>
  <c r="J9" i="14" s="1"/>
  <c r="C14" i="14"/>
  <c r="G12" i="14"/>
  <c r="D12" i="14"/>
  <c r="N10" i="14"/>
  <c r="M10" i="14" s="1"/>
  <c r="E10" i="14" s="1"/>
  <c r="I10" i="14"/>
  <c r="N8" i="14"/>
  <c r="M8" i="14" s="1"/>
  <c r="E8" i="14" s="1"/>
  <c r="F8" i="14" s="1"/>
  <c r="I8" i="14"/>
  <c r="N14" i="13"/>
  <c r="I14" i="13"/>
  <c r="E14" i="13"/>
  <c r="F14" i="13" s="1"/>
  <c r="N13" i="13"/>
  <c r="I13" i="13"/>
  <c r="E13" i="13"/>
  <c r="F13" i="13" s="1"/>
  <c r="N12" i="13"/>
  <c r="I12" i="13"/>
  <c r="E12" i="13"/>
  <c r="F12" i="13" s="1"/>
  <c r="N9" i="13"/>
  <c r="I9" i="13"/>
  <c r="E9" i="13"/>
  <c r="F9" i="13" s="1"/>
  <c r="N8" i="13"/>
  <c r="I8" i="13"/>
  <c r="E8" i="13"/>
  <c r="F8" i="13" l="1"/>
  <c r="F17" i="13" s="1"/>
  <c r="E17" i="13"/>
  <c r="H16" i="15"/>
  <c r="J16" i="15" s="1"/>
  <c r="H15" i="15"/>
  <c r="J15" i="15" s="1"/>
  <c r="F8" i="15"/>
  <c r="F20" i="15" s="1"/>
  <c r="E20" i="15"/>
  <c r="E12" i="14"/>
  <c r="H8" i="15"/>
  <c r="H12" i="15"/>
  <c r="J12" i="15" s="1"/>
  <c r="H10" i="15"/>
  <c r="J10" i="15" s="1"/>
  <c r="H14" i="15"/>
  <c r="J14" i="15" s="1"/>
  <c r="H13" i="15"/>
  <c r="J13" i="15" s="1"/>
  <c r="H9" i="15"/>
  <c r="J9" i="15" s="1"/>
  <c r="H11" i="15"/>
  <c r="J11" i="15" s="1"/>
  <c r="F10" i="14"/>
  <c r="F12" i="14" s="1"/>
  <c r="H10" i="14"/>
  <c r="H8" i="14"/>
  <c r="J8" i="14" s="1"/>
  <c r="I20" i="15"/>
  <c r="I12" i="14"/>
  <c r="I17" i="13"/>
  <c r="J8" i="15" l="1"/>
  <c r="J20" i="15" s="1"/>
  <c r="H20" i="15"/>
  <c r="J10" i="14"/>
  <c r="J12" i="14" s="1"/>
  <c r="D24" i="11" s="1"/>
  <c r="H12" i="14"/>
  <c r="D25" i="11"/>
  <c r="C19" i="13" l="1"/>
  <c r="H15" i="13" l="1"/>
  <c r="J15" i="13" s="1"/>
  <c r="H10" i="13"/>
  <c r="J10" i="13" s="1"/>
  <c r="H11" i="13"/>
  <c r="J11" i="13" s="1"/>
  <c r="H9" i="13"/>
  <c r="J9" i="13" s="1"/>
  <c r="H8" i="13"/>
  <c r="H12" i="13"/>
  <c r="J12" i="13" s="1"/>
  <c r="H13" i="13"/>
  <c r="J13" i="13" s="1"/>
  <c r="H14" i="13"/>
  <c r="J14" i="13" s="1"/>
  <c r="H17" i="13" l="1"/>
  <c r="J8" i="13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0" i="4"/>
  <c r="M10" i="4" s="1"/>
  <c r="E10" i="4" s="1"/>
  <c r="F10" i="4" s="1"/>
  <c r="I10" i="4"/>
  <c r="N9" i="4"/>
  <c r="M9" i="4" s="1"/>
  <c r="E9" i="4" s="1"/>
  <c r="F9" i="4" s="1"/>
  <c r="I9" i="4"/>
  <c r="J17" i="13" l="1"/>
  <c r="D23" i="11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L10" i="6" l="1"/>
  <c r="K10" i="6" s="1"/>
  <c r="D10" i="6" s="1"/>
  <c r="I34" i="7" l="1"/>
  <c r="M34" i="7" s="1"/>
  <c r="I33" i="7"/>
  <c r="M33" i="7" s="1"/>
  <c r="I36" i="7"/>
  <c r="M36" i="7" s="1"/>
  <c r="I35" i="7"/>
  <c r="M35" i="7" s="1"/>
  <c r="F13" i="6"/>
  <c r="F11" i="6"/>
  <c r="H11" i="6" s="1"/>
  <c r="H11" i="4"/>
  <c r="J11" i="4" s="1"/>
  <c r="H12" i="4"/>
  <c r="J12" i="4" s="1"/>
  <c r="H15" i="4"/>
  <c r="J15" i="4" s="1"/>
  <c r="H10" i="4"/>
  <c r="J10" i="4" s="1"/>
  <c r="H14" i="4"/>
  <c r="J14" i="4" s="1"/>
  <c r="H16" i="4"/>
  <c r="J16" i="4" s="1"/>
  <c r="H9" i="4"/>
  <c r="J9" i="4" s="1"/>
  <c r="H13" i="4"/>
  <c r="J13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9" i="7"/>
  <c r="M9" i="7" s="1"/>
  <c r="I17" i="7"/>
  <c r="M17" i="7" s="1"/>
  <c r="I25" i="7"/>
  <c r="M25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21" i="7"/>
  <c r="M21" i="7" s="1"/>
  <c r="I13" i="7"/>
  <c r="M13" i="7" s="1"/>
  <c r="I29" i="7"/>
  <c r="M29" i="7" s="1"/>
  <c r="O5" i="12" l="1"/>
  <c r="A12" i="12"/>
  <c r="A13" i="12"/>
  <c r="A14" i="12"/>
  <c r="A15" i="12"/>
  <c r="A16" i="12"/>
  <c r="A11" i="12"/>
  <c r="O14" i="12" l="1"/>
  <c r="A30" i="12" l="1"/>
  <c r="O26" i="12"/>
  <c r="O25" i="12"/>
  <c r="O24" i="12"/>
  <c r="O13" i="12"/>
  <c r="O12" i="12"/>
  <c r="O10" i="12"/>
  <c r="O3" i="12"/>
  <c r="K27" i="5" l="1"/>
  <c r="D13" i="6" l="1"/>
  <c r="H13" i="6" s="1"/>
  <c r="L9" i="6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1" i="11"/>
  <c r="E38" i="7"/>
  <c r="D31" i="11" l="1"/>
  <c r="E13" i="11"/>
  <c r="H6" i="12" s="1"/>
  <c r="O4" i="12"/>
  <c r="O6" i="12" s="1"/>
  <c r="F11" i="11"/>
  <c r="J23" i="11"/>
  <c r="J25" i="11"/>
  <c r="J24" i="11"/>
  <c r="H8" i="12" l="1"/>
  <c r="O8" i="12" s="1"/>
  <c r="O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38" i="7" l="1"/>
  <c r="AK29" i="2" l="1"/>
  <c r="K38" i="7" l="1"/>
  <c r="D36" i="1" l="1"/>
  <c r="D35" i="1" l="1"/>
  <c r="D34" i="1"/>
  <c r="D32" i="1"/>
  <c r="D33" i="1"/>
  <c r="L8" i="6"/>
  <c r="N8" i="4"/>
  <c r="AK4" i="2"/>
  <c r="K8" i="6" l="1"/>
  <c r="D8" i="6" s="1"/>
  <c r="D15" i="6" s="1"/>
  <c r="M8" i="4"/>
  <c r="E8" i="4" s="1"/>
  <c r="AK30" i="2"/>
  <c r="H8" i="4"/>
  <c r="AK5" i="1"/>
  <c r="AK4" i="1"/>
  <c r="F8" i="6"/>
  <c r="F15" i="6" s="1"/>
  <c r="F8" i="4" l="1"/>
  <c r="J8" i="4" s="1"/>
  <c r="J20" i="4" s="1"/>
  <c r="E20" i="4"/>
  <c r="AK29" i="1"/>
  <c r="G20" i="4"/>
  <c r="H8" i="6"/>
  <c r="H38" i="7"/>
  <c r="I8" i="4"/>
  <c r="E39" i="2"/>
  <c r="E41" i="2" s="1"/>
  <c r="J18" i="11" l="1"/>
  <c r="H15" i="6"/>
  <c r="D27" i="11" s="1"/>
  <c r="H20" i="4"/>
  <c r="D22" i="11"/>
  <c r="M38" i="7"/>
  <c r="D26" i="11" s="1"/>
  <c r="L38" i="7"/>
  <c r="I38" i="7"/>
  <c r="D38" i="1"/>
  <c r="D40" i="1" s="1"/>
  <c r="J38" i="7"/>
  <c r="O15" i="12" l="1"/>
  <c r="O11" i="12"/>
  <c r="J27" i="11"/>
  <c r="O16" i="12"/>
  <c r="J19" i="11"/>
  <c r="H28" i="12" s="1"/>
  <c r="D30" i="11"/>
  <c r="E14" i="11"/>
  <c r="J22" i="11"/>
  <c r="J26" i="11"/>
  <c r="K26" i="11" s="1"/>
  <c r="K27" i="11"/>
  <c r="F20" i="4"/>
  <c r="I20" i="4"/>
  <c r="F14" i="11" l="1"/>
  <c r="H23" i="12" s="1"/>
  <c r="O28" i="12"/>
  <c r="O17" i="12"/>
  <c r="O20" i="12" s="1"/>
  <c r="O27" i="12"/>
  <c r="O22" i="12" s="1"/>
  <c r="B35" i="11"/>
  <c r="D33" i="11"/>
  <c r="K22" i="11"/>
  <c r="K28" i="11" s="1"/>
  <c r="J28" i="11"/>
  <c r="C22" i="4"/>
  <c r="C41" i="7" s="1"/>
  <c r="C17" i="6" s="1"/>
  <c r="O23" i="12" l="1"/>
  <c r="O19" i="12"/>
  <c r="O21" i="12" s="1"/>
  <c r="J30" i="11"/>
  <c r="J31" i="11" l="1"/>
  <c r="O29" i="12"/>
  <c r="I22" i="11"/>
  <c r="I23" i="11"/>
  <c r="I27" i="11"/>
  <c r="I25" i="11"/>
  <c r="I24" i="11"/>
  <c r="I26" i="11"/>
  <c r="O30" i="12" l="1"/>
  <c r="I28" i="11"/>
</calcChain>
</file>

<file path=xl/sharedStrings.xml><?xml version="1.0" encoding="utf-8"?>
<sst xmlns="http://schemas.openxmlformats.org/spreadsheetml/2006/main" count="813" uniqueCount="360">
  <si>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</si>
  <si>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</si>
  <si>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</si>
  <si>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</si>
  <si>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</si>
  <si>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</si>
  <si>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</si>
  <si>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</si>
  <si>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</si>
  <si>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</si>
  <si>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</si>
  <si>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</si>
  <si>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</si>
  <si>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</si>
  <si>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</si>
  <si>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</si>
  <si>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</si>
  <si>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</si>
  <si>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</si>
  <si>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</si>
  <si>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</si>
  <si>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</si>
  <si>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</si>
  <si>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</si>
  <si>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</si>
  <si>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</si>
  <si>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</si>
  <si>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</si>
  <si>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</si>
  <si>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</si>
  <si>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</si>
  <si>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</si>
  <si>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</si>
  <si>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</si>
  <si>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</si>
  <si>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</si>
  <si>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</si>
  <si>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</si>
  <si>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</si>
  <si>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</si>
  <si>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</si>
  <si>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</si>
  <si>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</si>
  <si>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</si>
  <si>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</si>
  <si>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</si>
  <si>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</si>
  <si>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</si>
  <si>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</si>
  <si>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</si>
  <si>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</si>
  <si>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</si>
  <si>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</si>
  <si>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</si>
  <si>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</si>
  <si>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</si>
  <si>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</si>
  <si>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</si>
  <si>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</si>
  <si>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</si>
  <si>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</si>
  <si>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</si>
  <si>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</si>
  <si>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</si>
  <si>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</si>
  <si>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</si>
  <si>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</si>
  <si>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</si>
  <si>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</si>
  <si>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</si>
  <si>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</si>
  <si>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</si>
  <si>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</si>
  <si>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</si>
  <si>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</si>
  <si>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</si>
  <si>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</si>
  <si>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</si>
  <si>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</si>
  <si>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</si>
  <si>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</si>
  <si>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</si>
  <si>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</si>
  <si>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</si>
  <si>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</si>
  <si>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</si>
  <si>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</si>
  <si>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</si>
  <si>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</si>
  <si>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</si>
  <si>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</si>
  <si>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</si>
  <si>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</si>
  <si>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</si>
  <si>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</si>
  <si>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</si>
  <si>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</si>
  <si>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</si>
  <si>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</si>
  <si>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</si>
  <si>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</si>
  <si>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</si>
  <si>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</si>
  <si>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</si>
  <si>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</si>
  <si>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</si>
  <si>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</si>
  <si>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</si>
  <si>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</si>
  <si>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</si>
  <si>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</si>
  <si>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</si>
  <si>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</si>
  <si>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</si>
  <si>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</si>
  <si>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</si>
  <si>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</si>
  <si>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</si>
  <si>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</si>
  <si>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</si>
  <si>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</si>
  <si>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</si>
  <si>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</si>
  <si>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</si>
  <si>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</si>
  <si>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</si>
  <si>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</si>
  <si>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</si>
  <si>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</si>
  <si>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</si>
  <si>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</si>
  <si>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</si>
  <si>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</si>
  <si>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</si>
  <si>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</si>
  <si>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</si>
  <si>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</si>
  <si>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</si>
  <si>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</si>
  <si>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</si>
  <si>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</si>
  <si>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</si>
  <si>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</si>
  <si>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</si>
  <si>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</si>
  <si>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</si>
  <si>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</si>
  <si>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</si>
  <si>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</si>
  <si>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</si>
  <si>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</si>
  <si>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</si>
  <si>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</si>
  <si>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</si>
  <si>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</si>
  <si>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</si>
  <si>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</si>
  <si>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</si>
  <si>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</si>
  <si>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</si>
  <si>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</si>
  <si>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</si>
  <si>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</si>
  <si>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</si>
  <si>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</si>
  <si>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</si>
  <si>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</si>
  <si>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</si>
  <si>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</si>
  <si>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</si>
  <si>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</si>
  <si>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</si>
  <si>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</si>
  <si>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</si>
  <si>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</si>
  <si>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</si>
  <si>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</si>
  <si>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</si>
  <si>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</si>
  <si>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</si>
  <si>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</si>
  <si>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</si>
  <si>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</si>
  <si>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</si>
  <si>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</si>
  <si>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</si>
  <si>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</si>
  <si>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</si>
  <si>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</si>
  <si>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</si>
  <si>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</si>
  <si>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</si>
  <si>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</si>
  <si>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</si>
  <si>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</si>
  <si>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</si>
  <si>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</si>
  <si>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</si>
  <si>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</si>
  <si>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</si>
  <si>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</si>
  <si>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</si>
  <si>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</si>
  <si>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</si>
  <si>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</si>
  <si>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</si>
  <si>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</si>
  <si>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</si>
  <si>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</si>
  <si>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</si>
  <si>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</si>
  <si>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</si>
  <si>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</si>
  <si>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</si>
  <si>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</si>
  <si>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</si>
  <si>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</si>
  <si>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</si>
  <si>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</si>
  <si>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</si>
  <si>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</si>
  <si>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</si>
  <si>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</si>
  <si>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</si>
  <si>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</si>
  <si>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</si>
  <si>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</si>
  <si>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</si>
  <si>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</si>
  <si>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</si>
  <si>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</si>
  <si>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</si>
  <si>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</si>
  <si>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</si>
  <si>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</si>
  <si>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</si>
  <si>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</si>
  <si>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</si>
  <si>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</si>
  <si>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</si>
  <si>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</si>
  <si>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</si>
  <si>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</si>
  <si>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</si>
  <si>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</si>
  <si>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</si>
  <si>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</si>
  <si>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</si>
  <si>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</si>
  <si>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</si>
  <si>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</si>
  <si>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</si>
  <si>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</si>
  <si>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</si>
  <si>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</si>
  <si>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</si>
  <si>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</si>
  <si>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</si>
  <si>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</si>
  <si>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</si>
  <si>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</si>
  <si>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</si>
  <si>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</si>
  <si>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</si>
  <si>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</si>
  <si>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</si>
  <si>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</si>
  <si>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</si>
  <si>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</si>
  <si>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</si>
  <si>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</si>
  <si>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</si>
  <si>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</si>
  <si>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</si>
  <si>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</si>
  <si>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</si>
  <si>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</si>
  <si>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</si>
  <si>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</si>
  <si>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</si>
  <si>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</si>
  <si>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</si>
  <si>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</si>
  <si>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</si>
  <si>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</si>
  <si>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</si>
  <si>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</si>
  <si>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</si>
  <si>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</si>
  <si>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</si>
  <si>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</si>
  <si>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</si>
  <si>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</si>
  <si>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</si>
  <si>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</si>
  <si>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TOTAL 2022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</si>
  <si>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</si>
  <si>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</si>
  <si>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</si>
  <si>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</si>
  <si>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</si>
  <si>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DT Hino 260</t>
  </si>
  <si>
    <t>DT Hino 261</t>
  </si>
  <si>
    <t>DT Hino 262</t>
  </si>
  <si>
    <t>DT Hino 268</t>
  </si>
  <si>
    <t>DT Hino 273</t>
  </si>
  <si>
    <t>DT Hino 275</t>
  </si>
  <si>
    <t>DT Hino 285</t>
  </si>
  <si>
    <t>DT Hino 286</t>
  </si>
  <si>
    <t>DT Hino 287</t>
  </si>
  <si>
    <t>DT Hino 288</t>
  </si>
  <si>
    <t>DT Hino 289</t>
  </si>
  <si>
    <t>DT Hino 290</t>
  </si>
  <si>
    <t>DT Hino 293</t>
  </si>
  <si>
    <t>DT Hino 295</t>
  </si>
  <si>
    <t>DT Hino 296</t>
  </si>
  <si>
    <t>DT Hino 297</t>
  </si>
  <si>
    <t>DT Hino 299</t>
  </si>
  <si>
    <t>DT Hino 301</t>
  </si>
  <si>
    <t>DT Hino 308</t>
  </si>
  <si>
    <t>LV TRITON PUTIH - 28</t>
  </si>
  <si>
    <t>TRUCK TYRE (LT-06)</t>
  </si>
  <si>
    <t>WELDER CAR (LT-07)</t>
  </si>
  <si>
    <t>(fuel not include in contract)</t>
  </si>
  <si>
    <t>FUEL TRUCK - 02</t>
  </si>
  <si>
    <t>last year (2022)</t>
  </si>
  <si>
    <t>SAKAI - 01</t>
  </si>
  <si>
    <t>DT Hino 265</t>
  </si>
  <si>
    <t>DT Hino 271</t>
  </si>
  <si>
    <t>DT Hino 278</t>
  </si>
  <si>
    <t>DT Hino 280</t>
  </si>
  <si>
    <t>DT Hino 283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</si>
  <si>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</si>
  <si>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</si>
  <si>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</si>
  <si>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</si>
  <si>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</si>
  <si>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</si>
  <si>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</si>
  <si>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</si>
  <si>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</si>
  <si>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</si>
  <si>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</si>
  <si>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</si>
  <si>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</si>
  <si>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</si>
  <si>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</si>
  <si>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</si>
  <si>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DT Hino 266</t>
  </si>
  <si>
    <t>DT Hino 282</t>
  </si>
  <si>
    <t>DT Hino 292</t>
  </si>
  <si>
    <t>DT Hino 302</t>
  </si>
  <si>
    <t>DT Hino 304</t>
  </si>
  <si>
    <t>LV HILUX MERAH - 06</t>
  </si>
  <si>
    <t>ADT HM 400 (bcm/hour)</t>
  </si>
  <si>
    <t>PRODUCTION hauler</t>
  </si>
  <si>
    <t>Juni 2023</t>
  </si>
  <si>
    <t>bdm</t>
  </si>
  <si>
    <t>ore hauling bdm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</si>
  <si>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(JUNI)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</si>
</sst>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4" fillId="0" borderId="0" xfId="2" applyNumberFormat="1" applyFont="1" applyBorder="1" applyAlignment="1">
      <alignment vertical="center"/>
    </xf>
    <xf numFmtId="170" fontId="34" fillId="0" borderId="0" xfId="0" applyNumberFormat="1" applyFont="1" applyAlignment="1">
      <alignment horizontal="center" vertical="center"/>
    </xf>
    <xf numFmtId="173" fontId="34" fillId="0" borderId="0" xfId="2" applyNumberFormat="1" applyFont="1" applyAlignment="1">
      <alignment horizontal="center" vertical="center"/>
    </xf>
    <xf numFmtId="169" fontId="34" fillId="0" borderId="0" xfId="3" applyNumberFormat="1" applyFont="1" applyBorder="1" applyAlignment="1">
      <alignment vertical="center"/>
    </xf>
    <xf numFmtId="169" fontId="34" fillId="0" borderId="0" xfId="13" applyNumberFormat="1" applyFont="1" applyAlignment="1">
      <alignment vertical="center"/>
    </xf>
    <xf numFmtId="169" fontId="34" fillId="0" borderId="0" xfId="13" applyNumberFormat="1" applyFont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5" fontId="34" fillId="0" borderId="0" xfId="2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9" fontId="37" fillId="0" borderId="0" xfId="13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5" borderId="0" xfId="0" quotePrefix="1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43" fontId="41" fillId="12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43" fontId="41" fillId="13" borderId="0" xfId="0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43" fontId="41" fillId="4" borderId="0" xfId="0" applyNumberFormat="1" applyFont="1" applyFill="1" applyAlignment="1">
      <alignment horizontal="center" vertical="center"/>
    </xf>
    <xf numFmtId="43" fontId="41" fillId="0" borderId="0" xfId="0" applyNumberFormat="1" applyFont="1" applyAlignment="1">
      <alignment horizontal="center" vertical="center"/>
    </xf>
    <xf numFmtId="170" fontId="41" fillId="0" borderId="0" xfId="0" applyNumberFormat="1" applyFont="1" applyAlignment="1">
      <alignment horizontal="center" vertical="center"/>
    </xf>
    <xf numFmtId="170" fontId="42" fillId="5" borderId="0" xfId="0" applyNumberFormat="1" applyFont="1" applyFill="1" applyAlignment="1">
      <alignment horizontal="center" vertical="center"/>
    </xf>
    <xf numFmtId="9" fontId="41" fillId="0" borderId="0" xfId="3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169" fontId="42" fillId="14" borderId="0" xfId="2" applyNumberFormat="1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9" fontId="42" fillId="15" borderId="0" xfId="3" applyFont="1" applyFill="1" applyAlignment="1">
      <alignment horizontal="center" vertical="center"/>
    </xf>
    <xf numFmtId="9" fontId="40" fillId="15" borderId="0" xfId="3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43" fontId="44" fillId="16" borderId="0" xfId="1" applyFont="1" applyFill="1" applyAlignment="1">
      <alignment horizontal="center" vertical="center"/>
    </xf>
    <xf numFmtId="43" fontId="39" fillId="12" borderId="0" xfId="0" applyNumberFormat="1" applyFont="1" applyFill="1" applyAlignment="1">
      <alignment horizontal="center" vertical="center"/>
    </xf>
    <xf numFmtId="43" fontId="39" fillId="13" borderId="0" xfId="0" applyNumberFormat="1" applyFont="1" applyFill="1" applyAlignment="1">
      <alignment horizontal="center" vertical="center"/>
    </xf>
    <xf numFmtId="43" fontId="39" fillId="4" borderId="0" xfId="0" applyNumberFormat="1" applyFont="1" applyFill="1" applyAlignment="1">
      <alignment horizontal="center" vertical="center"/>
    </xf>
    <xf numFmtId="43" fontId="39" fillId="0" borderId="0" xfId="0" applyNumberFormat="1" applyFont="1" applyAlignment="1">
      <alignment horizontal="center" vertical="center"/>
    </xf>
    <xf numFmtId="170" fontId="39" fillId="0" borderId="0" xfId="0" applyNumberFormat="1" applyFont="1" applyAlignment="1">
      <alignment horizontal="center" vertical="center"/>
    </xf>
    <xf numFmtId="170" fontId="40" fillId="5" borderId="0" xfId="0" applyNumberFormat="1" applyFont="1" applyFill="1" applyAlignment="1">
      <alignment horizontal="center" vertical="center"/>
    </xf>
    <xf numFmtId="43" fontId="43" fillId="16" borderId="0" xfId="1" applyFont="1" applyFill="1" applyAlignment="1">
      <alignment horizontal="center" vertical="center"/>
    </xf>
    <xf numFmtId="9" fontId="39" fillId="0" borderId="0" xfId="3" applyFont="1" applyAlignment="1">
      <alignment horizontal="center" vertical="center"/>
    </xf>
    <xf numFmtId="4" fontId="39" fillId="0" borderId="0" xfId="0" applyNumberFormat="1" applyFont="1" applyAlignment="1">
      <alignment horizontal="center" vertical="center"/>
    </xf>
    <xf numFmtId="169" fontId="40" fillId="14" borderId="0" xfId="2" applyNumberFormat="1" applyFont="1" applyFill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43" fontId="41" fillId="9" borderId="0" xfId="0" applyNumberFormat="1" applyFont="1" applyFill="1" applyAlignment="1">
      <alignment horizontal="center" vertical="center"/>
    </xf>
    <xf numFmtId="43" fontId="39" fillId="9" borderId="0" xfId="0" applyNumberFormat="1" applyFont="1" applyFill="1" applyAlignment="1">
      <alignment horizontal="center" vertical="center"/>
    </xf>
    <xf numFmtId="165" fontId="40" fillId="14" borderId="0" xfId="2" applyFont="1" applyFill="1" applyAlignment="1">
      <alignment horizontal="center" vertical="center"/>
    </xf>
    <xf numFmtId="165" fontId="42" fillId="14" borderId="0" xfId="2" applyFont="1" applyFill="1" applyAlignment="1">
      <alignment horizontal="center" vertical="center"/>
    </xf>
    <xf numFmtId="165" fontId="41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1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4" fontId="22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47" fillId="5" borderId="0" xfId="0" applyNumberFormat="1" applyFont="1" applyFill="1" applyAlignment="1">
      <alignment horizontal="right" vertical="center"/>
    </xf>
    <xf numFmtId="165" fontId="47" fillId="5" borderId="0" xfId="2" applyFont="1" applyFill="1" applyBorder="1" applyAlignment="1">
      <alignment horizontal="right" vertical="center"/>
    </xf>
    <xf numFmtId="169" fontId="47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5" fillId="5" borderId="0" xfId="0" applyFont="1" applyFill="1" applyAlignment="1">
      <alignment vertical="center"/>
    </xf>
    <xf numFmtId="165" fontId="45" fillId="5" borderId="0" xfId="2" applyFont="1" applyFill="1" applyBorder="1" applyAlignment="1">
      <alignment horizontal="left" vertical="center"/>
    </xf>
    <xf numFmtId="169" fontId="46" fillId="5" borderId="0" xfId="2" applyNumberFormat="1" applyFont="1" applyFill="1" applyBorder="1" applyAlignment="1">
      <alignment horizontal="center" vertical="center"/>
    </xf>
    <xf numFmtId="166" fontId="23" fillId="5" borderId="0" xfId="1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0" fontId="46" fillId="5" borderId="0" xfId="0" applyFont="1" applyFill="1" applyAlignment="1">
      <alignment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horizontal="right" vertical="center"/>
    </xf>
    <xf numFmtId="169" fontId="32" fillId="5" borderId="0" xfId="2" applyNumberFormat="1" applyFont="1" applyFill="1" applyBorder="1" applyAlignment="1">
      <alignment horizontal="right" vertical="center"/>
    </xf>
    <xf numFmtId="10" fontId="39" fillId="0" borderId="0" xfId="3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0" fontId="44" fillId="16" borderId="0" xfId="1" applyNumberFormat="1" applyFont="1" applyFill="1" applyAlignment="1">
      <alignment horizontal="center" vertical="center"/>
    </xf>
    <xf numFmtId="10" fontId="43" fillId="16" borderId="0" xfId="3" applyNumberFormat="1" applyFont="1" applyFill="1" applyAlignment="1">
      <alignment horizontal="center" vertical="center"/>
    </xf>
    <xf numFmtId="10" fontId="41" fillId="0" borderId="0" xfId="3" applyNumberFormat="1" applyFont="1" applyFill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0" fillId="5" borderId="5" xfId="1" applyFont="1" applyFill="1" applyBorder="1" applyAlignment="1">
      <alignment vertical="center"/>
    </xf>
    <xf numFmtId="43" fontId="50" fillId="5" borderId="3" xfId="1" applyFont="1" applyFill="1" applyBorder="1" applyAlignment="1">
      <alignment vertical="center"/>
    </xf>
    <xf numFmtId="10" fontId="19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43" fontId="50" fillId="5" borderId="0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1" fillId="5" borderId="0" xfId="0" applyFont="1" applyFill="1" applyAlignment="1">
      <alignment horizontal="left" vertical="center"/>
    </xf>
    <xf numFmtId="43" fontId="50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4" fontId="19" fillId="5" borderId="4" xfId="0" applyNumberFormat="1" applyFont="1" applyFill="1" applyBorder="1" applyAlignment="1">
      <alignment vertical="center"/>
    </xf>
    <xf numFmtId="0" fontId="19" fillId="5" borderId="4" xfId="0" applyFont="1" applyFill="1" applyBorder="1" applyAlignment="1">
      <alignment horizontal="right" vertical="center"/>
    </xf>
    <xf numFmtId="43" fontId="50" fillId="5" borderId="4" xfId="0" applyNumberFormat="1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52" fillId="5" borderId="0" xfId="1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center"/>
    </xf>
    <xf numFmtId="10" fontId="41" fillId="0" borderId="0" xfId="0" applyNumberFormat="1" applyFont="1" applyAlignment="1">
      <alignment horizontal="center" vertical="center"/>
    </xf>
    <xf numFmtId="9" fontId="41" fillId="0" borderId="0" xfId="0" applyNumberFormat="1" applyFont="1" applyAlignment="1">
      <alignment horizontal="center" vertical="center"/>
    </xf>
    <xf numFmtId="9" fontId="44" fillId="16" borderId="0" xfId="3" applyFont="1" applyFill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172" fontId="18" fillId="17" borderId="0" xfId="0" quotePrefix="1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4" fontId="38" fillId="5" borderId="0" xfId="1" applyNumberFormat="1" applyFont="1" applyFill="1" applyBorder="1" applyAlignment="1">
      <alignment horizontal="right" vertical="center"/>
    </xf>
    <xf numFmtId="0" fontId="38" fillId="5" borderId="0" xfId="0" applyFont="1" applyFill="1" applyAlignment="1">
      <alignment horizontal="center" vertical="center"/>
    </xf>
    <xf numFmtId="165" fontId="23" fillId="5" borderId="0" xfId="2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169" fontId="32" fillId="5" borderId="0" xfId="2" applyNumberFormat="1" applyFont="1" applyFill="1" applyBorder="1" applyAlignment="1">
      <alignment horizontal="center" vertical="center"/>
    </xf>
    <xf numFmtId="165" fontId="32" fillId="5" borderId="0" xfId="2" applyFont="1" applyFill="1" applyBorder="1" applyAlignment="1">
      <alignment horizontal="center" vertical="center"/>
    </xf>
    <xf numFmtId="169" fontId="45" fillId="5" borderId="0" xfId="2" applyNumberFormat="1" applyFont="1" applyFill="1" applyBorder="1" applyAlignment="1">
      <alignment horizontal="center" vertical="center"/>
    </xf>
    <xf numFmtId="165" fontId="45" fillId="5" borderId="0" xfId="2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165" fontId="23" fillId="5" borderId="0" xfId="2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5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23545.18</c:v>
                </c:pt>
                <c:pt idx="1">
                  <c:v>29931.979999999996</c:v>
                </c:pt>
                <c:pt idx="2">
                  <c:v>18697.04</c:v>
                </c:pt>
                <c:pt idx="3">
                  <c:v>18697.04</c:v>
                </c:pt>
                <c:pt idx="4">
                  <c:v>15970.69</c:v>
                </c:pt>
                <c:pt idx="5">
                  <c:v>21341.300000000003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  <c:pt idx="4">
                  <c:v>75392.73</c:v>
                </c:pt>
                <c:pt idx="5">
                  <c:v>65676.390000000014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0.36380281590034058</c:v>
                </c:pt>
                <c:pt idx="1">
                  <c:v>0.39207872598169075</c:v>
                </c:pt>
                <c:pt idx="2">
                  <c:v>0.26315786510559785</c:v>
                </c:pt>
                <c:pt idx="3">
                  <c:v>0.26315786510559785</c:v>
                </c:pt>
                <c:pt idx="4">
                  <c:v>0.21183328949621538</c:v>
                </c:pt>
                <c:pt idx="5">
                  <c:v>0.32494630109846168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4028785747.1515021</c:v>
                </c:pt>
                <c:pt idx="1">
                  <c:v>4686612138.4179249</c:v>
                </c:pt>
                <c:pt idx="2">
                  <c:v>4787111618.3285179</c:v>
                </c:pt>
                <c:pt idx="3">
                  <c:v>5026141793.8723221</c:v>
                </c:pt>
                <c:pt idx="4">
                  <c:v>4950207879.027422</c:v>
                </c:pt>
                <c:pt idx="5">
                  <c:v>4661355488.1971321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7687655342.0799999</c:v>
                </c:pt>
                <c:pt idx="1">
                  <c:v>9068179619.8400002</c:v>
                </c:pt>
                <c:pt idx="2">
                  <c:v>8439455907.8400011</c:v>
                </c:pt>
                <c:pt idx="3">
                  <c:v>6729864314.8799992</c:v>
                </c:pt>
                <c:pt idx="4">
                  <c:v>8955450040.3199997</c:v>
                </c:pt>
                <c:pt idx="5">
                  <c:v>7801304309.7600021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0.47594089902819975</c:v>
                </c:pt>
                <c:pt idx="1">
                  <c:v>0.48318049102553884</c:v>
                </c:pt>
                <c:pt idx="2">
                  <c:v>0.43277011331009679</c:v>
                </c:pt>
                <c:pt idx="3">
                  <c:v>0.25315852464375521</c:v>
                </c:pt>
                <c:pt idx="4">
                  <c:v>0.44724074650183193</c:v>
                </c:pt>
                <c:pt idx="5">
                  <c:v>0.4024902371305481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131810</c:v>
                </c:pt>
                <c:pt idx="1">
                  <c:v>153187.8031256058</c:v>
                </c:pt>
                <c:pt idx="2">
                  <c:v>145293</c:v>
                </c:pt>
                <c:pt idx="3">
                  <c:v>117279.33802816902</c:v>
                </c:pt>
                <c:pt idx="4">
                  <c:v>147292</c:v>
                </c:pt>
                <c:pt idx="5">
                  <c:v>136424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  <c:pt idx="4">
                  <c:v>75392.73</c:v>
                </c:pt>
                <c:pt idx="5">
                  <c:v>65676.390000000014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2.0366312410363352</c:v>
                </c:pt>
                <c:pt idx="1">
                  <c:v>2.0066055999443266</c:v>
                </c:pt>
                <c:pt idx="2">
                  <c:v>2.0449758729075636</c:v>
                </c:pt>
                <c:pt idx="3">
                  <c:v>1.6506880349237483</c:v>
                </c:pt>
                <c:pt idx="4">
                  <c:v>1.95366317150208</c:v>
                </c:pt>
                <c:pt idx="5">
                  <c:v>2.0772152671606947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4.1924728077744016</c:v>
                </c:pt>
                <c:pt idx="1">
                  <c:v>4.1345560717956893</c:v>
                </c:pt>
                <c:pt idx="2">
                  <c:v>4.5378390935192261</c:v>
                </c:pt>
                <c:pt idx="3">
                  <c:v>5.9747318028499583</c:v>
                </c:pt>
                <c:pt idx="4">
                  <c:v>4.4220740279853441</c:v>
                </c:pt>
                <c:pt idx="5">
                  <c:v>4.7800781029556161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0.84908269622145682</c:v>
                </c:pt>
                <c:pt idx="1">
                  <c:v>1.035658101803042</c:v>
                </c:pt>
                <c:pt idx="2">
                  <c:v>0.39127206136036835</c:v>
                </c:pt>
                <c:pt idx="3">
                  <c:v>0.39127206136036835</c:v>
                </c:pt>
                <c:pt idx="4">
                  <c:v>0.33421786537587889</c:v>
                </c:pt>
                <c:pt idx="5">
                  <c:v>0.60548466463753714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1.1800244320460924</c:v>
                </c:pt>
                <c:pt idx="1">
                  <c:v>1.0641843667922801</c:v>
                </c:pt>
                <c:pt idx="2">
                  <c:v>0.81724145889208089</c:v>
                </c:pt>
                <c:pt idx="3">
                  <c:v>0.81724145889208089</c:v>
                </c:pt>
                <c:pt idx="4">
                  <c:v>0.86720816316930438</c:v>
                </c:pt>
                <c:pt idx="5">
                  <c:v>0.85453678190666116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8.9735099859968484E-2</c:v>
                </c:pt>
                <c:pt idx="1">
                  <c:v>7.4688396108511593E-2</c:v>
                </c:pt>
                <c:pt idx="2">
                  <c:v>1.3207330843037188</c:v>
                </c:pt>
                <c:pt idx="3">
                  <c:v>1.3207330843037188</c:v>
                </c:pt>
                <c:pt idx="4">
                  <c:v>1.1371217500833952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1.0409346362187997</c:v>
                </c:pt>
                <c:pt idx="1">
                  <c:v>0.96680683042737714</c:v>
                </c:pt>
                <c:pt idx="2">
                  <c:v>1.0652538625179695</c:v>
                </c:pt>
                <c:pt idx="3">
                  <c:v>1.0677308600294704</c:v>
                </c:pt>
                <c:pt idx="4">
                  <c:v>1.1313194377009574</c:v>
                </c:pt>
                <c:pt idx="5" formatCode="0%">
                  <c:v>0.9696853768089907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0.8822540778393142</c:v>
                </c:pt>
                <c:pt idx="1">
                  <c:v>0.90920737263787432</c:v>
                </c:pt>
                <c:pt idx="2">
                  <c:v>1.3034750634923911</c:v>
                </c:pt>
                <c:pt idx="3">
                  <c:v>1.3589440175874787</c:v>
                </c:pt>
                <c:pt idx="4">
                  <c:v>1.2834668169350676</c:v>
                </c:pt>
                <c:pt idx="5" formatCode="#,##0.00">
                  <c:v>1.1347497232891572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254121</xdr:colOff>
      <xdr:row>4</xdr:row>
      <xdr:rowOff>46084</xdr:rowOff>
    </xdr:from>
    <xdr:to>
      <xdr:col>9</xdr:col>
      <xdr:colOff>912706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01" y="777604"/>
          <a:ext cx="658585" cy="419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8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zoomScale="85" zoomScaleNormal="85" workbookViewId="0">
      <selection activeCell="N13" sqref="N13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75" t="s">
        <v>359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</row>
    <row r="3" spans="2:12" ht="19.95" customHeight="1" x14ac:dyDescent="0.3"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72" t="s">
        <v>342</v>
      </c>
      <c r="D5" s="174" t="s">
        <v>356</v>
      </c>
      <c r="E5" s="174"/>
      <c r="F5" s="174"/>
      <c r="G5" s="107"/>
      <c r="H5" s="173" t="s">
        <v>298</v>
      </c>
      <c r="I5" s="173"/>
      <c r="J5" s="173"/>
      <c r="K5" s="107"/>
      <c r="L5" s="107"/>
    </row>
    <row r="6" spans="2:12" ht="14.4" customHeight="1" x14ac:dyDescent="0.3">
      <c r="B6" s="107"/>
      <c r="C6" s="172"/>
      <c r="D6" s="174"/>
      <c r="E6" s="174"/>
      <c r="F6" s="174"/>
      <c r="G6" s="107"/>
      <c r="H6" s="173"/>
      <c r="I6" s="173"/>
      <c r="J6" s="173"/>
      <c r="K6" s="107"/>
      <c r="L6" s="107"/>
    </row>
    <row r="7" spans="2:12" ht="14.4" customHeight="1" x14ac:dyDescent="0.3">
      <c r="B7" s="107"/>
      <c r="C7" s="172"/>
      <c r="D7" s="174"/>
      <c r="E7" s="174"/>
      <c r="F7" s="174"/>
      <c r="G7" s="107"/>
      <c r="H7" s="173"/>
      <c r="I7" s="173"/>
      <c r="J7" s="173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45" t="s">
        <v>332</v>
      </c>
      <c r="E9" s="146" t="s">
        <v>333</v>
      </c>
      <c r="F9" s="145" t="s">
        <v>334</v>
      </c>
      <c r="G9" s="107"/>
      <c r="H9" s="109" t="s">
        <v>73</v>
      </c>
      <c r="I9" s="109"/>
      <c r="J9" s="115">
        <v>30</v>
      </c>
      <c r="K9" s="112" t="s">
        <v>337</v>
      </c>
      <c r="L9" s="107"/>
    </row>
    <row r="10" spans="2:12" ht="15.6" x14ac:dyDescent="0.3">
      <c r="B10" s="107"/>
      <c r="C10" s="109" t="s">
        <v>335</v>
      </c>
      <c r="D10" s="147">
        <v>35246.639999999999</v>
      </c>
      <c r="E10" s="148">
        <v>21341.300000000003</v>
      </c>
      <c r="F10" s="149">
        <f>E10/D10</f>
        <v>0.60548466463753714</v>
      </c>
      <c r="G10" s="107"/>
      <c r="H10" s="109" t="s">
        <v>74</v>
      </c>
      <c r="I10" s="109"/>
      <c r="J10" s="115">
        <f>9*J9</f>
        <v>270</v>
      </c>
      <c r="K10" s="112" t="s">
        <v>338</v>
      </c>
      <c r="L10" s="107"/>
    </row>
    <row r="11" spans="2:12" ht="15.6" x14ac:dyDescent="0.3">
      <c r="B11" s="107"/>
      <c r="C11" s="109" t="s">
        <v>75</v>
      </c>
      <c r="D11" s="150">
        <v>76856.130000000019</v>
      </c>
      <c r="E11" s="151">
        <f>'REPORT unit DT HAUL'!D38</f>
        <v>65676.390000000014</v>
      </c>
      <c r="F11" s="152">
        <f t="shared" ref="F11:F12" si="0">E11/D11</f>
        <v>0.85453678190666116</v>
      </c>
      <c r="G11" s="107"/>
      <c r="H11" s="109" t="s">
        <v>340</v>
      </c>
      <c r="I11" s="111"/>
      <c r="J11" s="153">
        <v>0.9</v>
      </c>
      <c r="K11" s="112" t="s">
        <v>339</v>
      </c>
      <c r="L11" s="107"/>
    </row>
    <row r="12" spans="2:12" ht="15.6" x14ac:dyDescent="0.3">
      <c r="B12" s="107"/>
      <c r="C12" s="109" t="s">
        <v>180</v>
      </c>
      <c r="D12" s="150">
        <v>4229.5967999999993</v>
      </c>
      <c r="E12" s="151"/>
      <c r="F12" s="152">
        <f t="shared" si="0"/>
        <v>0</v>
      </c>
      <c r="G12" s="107"/>
      <c r="H12" s="109"/>
      <c r="I12" s="111"/>
      <c r="J12" s="153"/>
      <c r="K12" s="112"/>
      <c r="L12" s="107"/>
    </row>
    <row r="13" spans="2:12" ht="15.6" x14ac:dyDescent="0.3">
      <c r="B13" s="107"/>
      <c r="C13" s="109" t="s">
        <v>77</v>
      </c>
      <c r="D13" s="150">
        <f>D10/D11</f>
        <v>0.45860544890823923</v>
      </c>
      <c r="E13" s="151">
        <f>E10/E11</f>
        <v>0.32494630109846168</v>
      </c>
      <c r="F13" s="152">
        <f>D13/E13</f>
        <v>1.4113268788041309</v>
      </c>
      <c r="G13" s="107"/>
      <c r="H13" s="109" t="s">
        <v>85</v>
      </c>
      <c r="I13" s="112"/>
      <c r="J13" s="154">
        <v>0</v>
      </c>
      <c r="K13" s="154"/>
      <c r="L13" s="107"/>
    </row>
    <row r="14" spans="2:12" ht="15.6" x14ac:dyDescent="0.3">
      <c r="B14" s="107"/>
      <c r="C14" s="109" t="s">
        <v>336</v>
      </c>
      <c r="D14" s="150">
        <v>2.0142452690501065</v>
      </c>
      <c r="E14" s="151">
        <f>J18/E11</f>
        <v>2.0772152671606947</v>
      </c>
      <c r="F14" s="152">
        <f>D14/E14</f>
        <v>0.9696853768089907</v>
      </c>
      <c r="G14" s="107"/>
      <c r="H14" s="155" t="s">
        <v>323</v>
      </c>
      <c r="I14" s="112"/>
      <c r="J14" s="110"/>
      <c r="K14" s="107"/>
      <c r="L14" s="107"/>
    </row>
    <row r="15" spans="2:12" ht="15.6" x14ac:dyDescent="0.3">
      <c r="B15" s="107"/>
      <c r="C15" s="109"/>
      <c r="D15" s="156"/>
      <c r="E15" s="151"/>
      <c r="F15" s="157"/>
      <c r="G15" s="107"/>
      <c r="H15" s="155"/>
      <c r="I15" s="112"/>
      <c r="J15" s="110"/>
      <c r="K15" s="107"/>
      <c r="L15" s="107"/>
    </row>
    <row r="16" spans="2:12" ht="7.95" customHeight="1" x14ac:dyDescent="0.3">
      <c r="B16" s="107"/>
      <c r="C16" s="109"/>
      <c r="D16" s="156"/>
      <c r="E16" s="151"/>
      <c r="F16" s="157"/>
      <c r="G16" s="107"/>
      <c r="H16" s="155"/>
      <c r="I16" s="112"/>
      <c r="J16" s="110"/>
      <c r="K16" s="107"/>
      <c r="L16" s="107"/>
    </row>
    <row r="17" spans="2:12" ht="15.6" x14ac:dyDescent="0.3">
      <c r="B17" s="107"/>
      <c r="C17" s="109" t="s">
        <v>354</v>
      </c>
      <c r="D17" s="158"/>
      <c r="E17" s="159"/>
      <c r="F17" s="157"/>
      <c r="G17" s="107"/>
      <c r="H17" s="184" t="s">
        <v>139</v>
      </c>
      <c r="I17" s="161" t="s">
        <v>332</v>
      </c>
      <c r="J17" s="162">
        <v>154807.09625</v>
      </c>
      <c r="K17" s="163" t="s">
        <v>140</v>
      </c>
      <c r="L17" s="115"/>
    </row>
    <row r="18" spans="2:12" ht="15.6" x14ac:dyDescent="0.3">
      <c r="B18" s="107"/>
      <c r="C18" s="109" t="s">
        <v>355</v>
      </c>
      <c r="D18" s="164">
        <v>63.199999999999996</v>
      </c>
      <c r="E18" s="151">
        <f>(E10+E12)/(SUM('REPORT unit OB'!D15:D18)+SUM('REPORT unit QUARRY'!D13:D15))</f>
        <v>39.52092592592593</v>
      </c>
      <c r="F18" s="152">
        <f t="shared" ref="F18" si="1">E18/D18</f>
        <v>0.6253311064228787</v>
      </c>
      <c r="G18" s="107"/>
      <c r="H18" s="184"/>
      <c r="I18" s="161" t="s">
        <v>333</v>
      </c>
      <c r="J18" s="162">
        <f>'REPORT unit OB'!G20+'REPORT unit QUARRY'!G17+'REPORT unit DEVELOP'!G12+'REPORT unit ORE GETTING'!G20+'REPORT unit DT HAUL'!H38+'REPORT unit LV &amp; support'!E15</f>
        <v>136424</v>
      </c>
      <c r="K18" s="165" t="s">
        <v>140</v>
      </c>
      <c r="L18" s="107"/>
    </row>
    <row r="19" spans="2:12" ht="15.6" x14ac:dyDescent="0.3">
      <c r="B19" s="107"/>
      <c r="C19" s="109"/>
      <c r="D19" s="109"/>
      <c r="E19" s="113"/>
      <c r="F19" s="107"/>
      <c r="G19" s="107"/>
      <c r="H19" s="184"/>
      <c r="I19" s="161" t="s">
        <v>334</v>
      </c>
      <c r="J19" s="152">
        <f>J17/J18</f>
        <v>1.1347497232891572</v>
      </c>
      <c r="K19" s="165"/>
      <c r="L19" s="107"/>
    </row>
    <row r="20" spans="2:12" ht="7.95" customHeight="1" x14ac:dyDescent="0.3">
      <c r="B20" s="107"/>
      <c r="C20" s="109"/>
      <c r="D20" s="109"/>
      <c r="E20" s="113"/>
      <c r="F20" s="107"/>
      <c r="G20" s="107"/>
      <c r="H20" s="160"/>
      <c r="I20" s="115"/>
      <c r="J20" s="118"/>
      <c r="K20" s="112"/>
      <c r="L20" s="107"/>
    </row>
    <row r="21" spans="2:12" ht="17.399999999999999" x14ac:dyDescent="0.3">
      <c r="B21" s="107"/>
      <c r="C21" s="116" t="s">
        <v>168</v>
      </c>
      <c r="D21" s="116"/>
      <c r="E21" s="117"/>
      <c r="F21" s="107"/>
      <c r="G21" s="107"/>
      <c r="H21" s="166" t="s">
        <v>341</v>
      </c>
      <c r="I21" s="112"/>
      <c r="J21" s="118"/>
      <c r="K21" s="107"/>
      <c r="L21" s="107"/>
    </row>
    <row r="22" spans="2:12" ht="15.6" x14ac:dyDescent="0.3">
      <c r="B22" s="107"/>
      <c r="C22" s="119" t="s">
        <v>169</v>
      </c>
      <c r="D22" s="171">
        <f>'REPORT unit OB'!J20</f>
        <v>1108555488.1971326</v>
      </c>
      <c r="E22" s="171"/>
      <c r="F22" s="171"/>
      <c r="G22" s="107"/>
      <c r="H22" s="109" t="s">
        <v>178</v>
      </c>
      <c r="I22" s="121">
        <f>J22/$J$30</f>
        <v>0.23781826788453916</v>
      </c>
      <c r="J22" s="122">
        <f>D22/E11</f>
        <v>16879.056357956524</v>
      </c>
      <c r="K22" s="123">
        <f>J22/$J$32</f>
        <v>1.1367898947977184</v>
      </c>
      <c r="L22" s="123"/>
    </row>
    <row r="23" spans="2:12" ht="15.6" x14ac:dyDescent="0.3">
      <c r="B23" s="107"/>
      <c r="C23" s="119" t="s">
        <v>170</v>
      </c>
      <c r="D23" s="171">
        <f>'REPORT unit QUARRY'!J17</f>
        <v>156750000</v>
      </c>
      <c r="E23" s="171"/>
      <c r="F23" s="171"/>
      <c r="G23" s="107"/>
      <c r="H23" s="109" t="s">
        <v>179</v>
      </c>
      <c r="I23" s="121">
        <f t="shared" ref="I23:I27" si="2">J23/$J$30</f>
        <v>3.3627557562795111E-2</v>
      </c>
      <c r="J23" s="122">
        <f>D23/E11</f>
        <v>2386.7024359895536</v>
      </c>
      <c r="K23" s="123">
        <f t="shared" ref="K23:K27" si="3">J23/$J$32</f>
        <v>0.16074235156179645</v>
      </c>
      <c r="L23" s="123"/>
    </row>
    <row r="24" spans="2:12" ht="15.6" x14ac:dyDescent="0.3">
      <c r="B24" s="107"/>
      <c r="C24" s="119" t="s">
        <v>171</v>
      </c>
      <c r="D24" s="171">
        <f>'REPORT unit DEVELOP'!J12</f>
        <v>0</v>
      </c>
      <c r="E24" s="171"/>
      <c r="F24" s="171"/>
      <c r="G24" s="107"/>
      <c r="H24" s="109" t="s">
        <v>174</v>
      </c>
      <c r="I24" s="121">
        <f t="shared" si="2"/>
        <v>0</v>
      </c>
      <c r="J24" s="122">
        <f>D24/E11</f>
        <v>0</v>
      </c>
      <c r="K24" s="123">
        <f t="shared" si="3"/>
        <v>0</v>
      </c>
      <c r="L24" s="123"/>
    </row>
    <row r="25" spans="2:12" ht="15.6" x14ac:dyDescent="0.3">
      <c r="B25" s="107"/>
      <c r="C25" s="119" t="s">
        <v>172</v>
      </c>
      <c r="D25" s="171">
        <f>'REPORT unit ORE GETTING'!J20</f>
        <v>546440000</v>
      </c>
      <c r="E25" s="171"/>
      <c r="F25" s="171"/>
      <c r="G25" s="107"/>
      <c r="H25" s="109" t="s">
        <v>175</v>
      </c>
      <c r="I25" s="121">
        <f t="shared" si="2"/>
        <v>0.11722770369769546</v>
      </c>
      <c r="J25" s="122">
        <f>D25/E11</f>
        <v>8320.1893404920684</v>
      </c>
      <c r="K25" s="123">
        <f t="shared" si="3"/>
        <v>0.5603575795051231</v>
      </c>
      <c r="L25" s="123"/>
    </row>
    <row r="26" spans="2:12" ht="15.6" x14ac:dyDescent="0.3">
      <c r="B26" s="107"/>
      <c r="C26" s="119" t="s">
        <v>173</v>
      </c>
      <c r="D26" s="171">
        <f>'REPORT unit DT HAUL'!M38</f>
        <v>2801400000</v>
      </c>
      <c r="E26" s="171"/>
      <c r="F26" s="171"/>
      <c r="G26" s="107"/>
      <c r="H26" s="109" t="s">
        <v>176</v>
      </c>
      <c r="I26" s="121">
        <f t="shared" si="2"/>
        <v>0.60098398568685318</v>
      </c>
      <c r="J26" s="122">
        <f>D26/E11</f>
        <v>42654.597793819048</v>
      </c>
      <c r="K26" s="123">
        <f t="shared" si="3"/>
        <v>2.8727503902087181</v>
      </c>
      <c r="L26" s="123"/>
    </row>
    <row r="27" spans="2:12" ht="15.6" x14ac:dyDescent="0.3">
      <c r="B27" s="107"/>
      <c r="C27" s="119" t="s">
        <v>81</v>
      </c>
      <c r="D27" s="171">
        <f>'REPORT unit LV &amp; support'!H15</f>
        <v>48210000</v>
      </c>
      <c r="E27" s="171"/>
      <c r="F27" s="171"/>
      <c r="G27" s="107"/>
      <c r="H27" s="109" t="s">
        <v>177</v>
      </c>
      <c r="I27" s="121">
        <f t="shared" si="2"/>
        <v>1.0342485168117081E-2</v>
      </c>
      <c r="J27" s="122">
        <f>D27/E11</f>
        <v>734.05374442779191</v>
      </c>
      <c r="K27" s="123">
        <f t="shared" si="3"/>
        <v>4.9437886882259689E-2</v>
      </c>
      <c r="L27" s="123"/>
    </row>
    <row r="28" spans="2:12" ht="15.6" x14ac:dyDescent="0.3">
      <c r="B28" s="107"/>
      <c r="C28" s="119"/>
      <c r="D28" s="119"/>
      <c r="E28" s="120"/>
      <c r="F28" s="107"/>
      <c r="G28" s="107"/>
      <c r="H28" s="114"/>
      <c r="I28" s="124">
        <f>SUM(I22:I27)</f>
        <v>1</v>
      </c>
      <c r="J28" s="125">
        <f t="shared" ref="J28:K28" si="4">SUM(J22:J27)</f>
        <v>70974.599672684984</v>
      </c>
      <c r="K28" s="126">
        <f t="shared" si="4"/>
        <v>4.7800781029556152</v>
      </c>
      <c r="L28" s="126"/>
    </row>
    <row r="29" spans="2:12" ht="15.6" x14ac:dyDescent="0.3">
      <c r="B29" s="107"/>
      <c r="C29" s="127"/>
      <c r="D29" s="127"/>
      <c r="E29" s="128"/>
      <c r="F29" s="107"/>
      <c r="G29" s="107"/>
      <c r="H29" s="129"/>
      <c r="I29" s="121"/>
      <c r="J29" s="130"/>
      <c r="K29" s="131"/>
      <c r="L29" s="131"/>
    </row>
    <row r="30" spans="2:12" ht="18" x14ac:dyDescent="0.3">
      <c r="B30" s="107"/>
      <c r="C30" s="132" t="s">
        <v>46</v>
      </c>
      <c r="D30" s="185">
        <f>SUM(D22:F27)</f>
        <v>4661355488.1971321</v>
      </c>
      <c r="E30" s="185"/>
      <c r="F30" s="185"/>
      <c r="G30" s="133"/>
      <c r="H30" s="129" t="s">
        <v>93</v>
      </c>
      <c r="I30" s="134"/>
      <c r="J30" s="183">
        <f>D30/E11</f>
        <v>70974.599672684984</v>
      </c>
      <c r="K30" s="183"/>
      <c r="L30" s="131"/>
    </row>
    <row r="31" spans="2:12" ht="18" x14ac:dyDescent="0.3">
      <c r="B31" s="107"/>
      <c r="C31" s="132" t="s">
        <v>49</v>
      </c>
      <c r="D31" s="178">
        <f>E11*(J33*J32)</f>
        <v>7801304309.7600021</v>
      </c>
      <c r="E31" s="178"/>
      <c r="F31" s="178"/>
      <c r="G31" s="133"/>
      <c r="H31" s="129" t="s">
        <v>83</v>
      </c>
      <c r="I31" s="134"/>
      <c r="J31" s="182">
        <f>J30/J32</f>
        <v>4.7800781029556161</v>
      </c>
      <c r="K31" s="182"/>
      <c r="L31" s="135"/>
    </row>
    <row r="32" spans="2:12" ht="18" x14ac:dyDescent="0.3">
      <c r="B32" s="107"/>
      <c r="C32" s="132"/>
      <c r="D32" s="178"/>
      <c r="E32" s="178"/>
      <c r="F32" s="178"/>
      <c r="G32" s="133"/>
      <c r="H32" s="136" t="s">
        <v>78</v>
      </c>
      <c r="I32" s="137"/>
      <c r="J32" s="181">
        <v>14848</v>
      </c>
      <c r="K32" s="181"/>
      <c r="L32" s="107"/>
    </row>
    <row r="33" spans="2:12" ht="18" x14ac:dyDescent="0.3">
      <c r="B33" s="107"/>
      <c r="C33" s="177" t="s">
        <v>79</v>
      </c>
      <c r="D33" s="176">
        <f>D31-D30</f>
        <v>3139948821.56287</v>
      </c>
      <c r="E33" s="176"/>
      <c r="F33" s="176"/>
      <c r="G33" s="107"/>
      <c r="H33" s="136" t="s">
        <v>84</v>
      </c>
      <c r="I33" s="137"/>
      <c r="J33" s="180">
        <v>8</v>
      </c>
      <c r="K33" s="180"/>
      <c r="L33" s="107"/>
    </row>
    <row r="34" spans="2:12" ht="18" x14ac:dyDescent="0.3">
      <c r="B34" s="107"/>
      <c r="C34" s="177"/>
      <c r="D34" s="176"/>
      <c r="E34" s="176"/>
      <c r="F34" s="176"/>
      <c r="G34" s="107"/>
      <c r="H34" s="136"/>
      <c r="I34" s="137"/>
      <c r="J34" s="138"/>
      <c r="K34" s="107"/>
      <c r="L34" s="107"/>
    </row>
    <row r="35" spans="2:12" ht="14.4" customHeight="1" x14ac:dyDescent="0.3">
      <c r="B35" s="179" t="str">
        <f>IF(D31&lt;D30,("….RUGI …..!!!!!"),("OKE….."))</f>
        <v>OKE…..</v>
      </c>
      <c r="C35" s="179"/>
      <c r="D35" s="179"/>
      <c r="E35" s="179"/>
      <c r="F35" s="179"/>
      <c r="G35" s="179"/>
      <c r="H35" s="179"/>
      <c r="I35" s="179"/>
      <c r="J35" s="179"/>
      <c r="K35" s="179"/>
      <c r="L35" s="179"/>
    </row>
    <row r="36" spans="2:12" ht="14.4" customHeight="1" x14ac:dyDescent="0.3"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</row>
    <row r="37" spans="2:12" ht="14.4" customHeight="1" x14ac:dyDescent="0.3"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</row>
    <row r="39" spans="2:12" x14ac:dyDescent="0.3">
      <c r="H39" s="167"/>
    </row>
  </sheetData>
  <mergeCells count="21"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  <mergeCell ref="D26:F26"/>
    <mergeCell ref="D25:F25"/>
    <mergeCell ref="C5:C7"/>
    <mergeCell ref="H5:J7"/>
    <mergeCell ref="D5:F7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193" t="s">
        <v>1</v>
      </c>
      <c r="E2" s="193" t="s">
        <v>2</v>
      </c>
      <c r="F2" s="193" t="s">
        <v>22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2" t="s">
        <v>23</v>
      </c>
      <c r="AL2" s="192" t="s">
        <v>24</v>
      </c>
      <c r="AN2" s="3"/>
    </row>
    <row r="3" spans="1:40" s="4" customFormat="1" x14ac:dyDescent="0.3">
      <c r="C3" s="4" t="s">
        <v>5</v>
      </c>
      <c r="D3" s="193"/>
      <c r="E3" s="193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92"/>
      <c r="AL3" s="192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194" t="s">
        <v>12</v>
      </c>
      <c r="AB33" s="194"/>
      <c r="AC33" s="194"/>
      <c r="AH33" s="194" t="s">
        <v>13</v>
      </c>
      <c r="AI33" s="194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194" t="s">
        <v>9</v>
      </c>
      <c r="U35" s="194"/>
      <c r="V35" s="194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194" t="s">
        <v>19</v>
      </c>
      <c r="AB37" s="194"/>
      <c r="AC37" s="194"/>
      <c r="AH37" s="194" t="s">
        <v>20</v>
      </c>
      <c r="AI37" s="194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9"/>
  <sheetViews>
    <sheetView topLeftCell="D94" workbookViewId="0">
      <selection activeCell="P122" sqref="P122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94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292</v>
      </c>
      <c r="P2" s="64" t="s">
        <v>293</v>
      </c>
    </row>
    <row r="3" spans="1:16" x14ac:dyDescent="0.3">
      <c r="A3" s="64" t="s">
        <v>1</v>
      </c>
      <c r="B3" s="64" t="s">
        <v>86</v>
      </c>
      <c r="C3" s="64" t="s">
        <v>95</v>
      </c>
      <c r="D3" s="64" t="s">
        <v>96</v>
      </c>
      <c r="E3" s="64" t="s">
        <v>97</v>
      </c>
      <c r="F3" s="64" t="s">
        <v>98</v>
      </c>
      <c r="G3" s="64" t="s">
        <v>99</v>
      </c>
      <c r="H3" s="64" t="s">
        <v>100</v>
      </c>
      <c r="I3" s="64" t="s">
        <v>101</v>
      </c>
      <c r="J3" s="64" t="s">
        <v>102</v>
      </c>
      <c r="K3" s="64" t="s">
        <v>103</v>
      </c>
      <c r="O3" s="64" t="s">
        <v>181</v>
      </c>
      <c r="P3" s="64" t="s">
        <v>148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182</v>
      </c>
      <c r="P4" s="64" t="s">
        <v>148</v>
      </c>
    </row>
    <row r="5" spans="1:16" x14ac:dyDescent="0.3">
      <c r="D5" s="64" t="s">
        <v>104</v>
      </c>
      <c r="E5" s="64" t="s">
        <v>105</v>
      </c>
      <c r="F5" s="64" t="s">
        <v>106</v>
      </c>
      <c r="O5" s="64" t="s">
        <v>183</v>
      </c>
      <c r="P5" s="64" t="s">
        <v>148</v>
      </c>
    </row>
    <row r="6" spans="1:16" x14ac:dyDescent="0.3">
      <c r="A6" s="64">
        <v>1</v>
      </c>
      <c r="B6" s="64" t="s">
        <v>107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108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232</v>
      </c>
      <c r="P6" s="64" t="s">
        <v>148</v>
      </c>
    </row>
    <row r="7" spans="1:16" x14ac:dyDescent="0.3">
      <c r="A7" s="64">
        <v>2</v>
      </c>
      <c r="B7" s="64" t="s">
        <v>109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108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240</v>
      </c>
      <c r="P7" s="64" t="s">
        <v>111</v>
      </c>
    </row>
    <row r="8" spans="1:16" x14ac:dyDescent="0.3">
      <c r="A8" s="64">
        <v>3</v>
      </c>
      <c r="B8" s="64" t="s">
        <v>110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108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266</v>
      </c>
      <c r="P8" s="64" t="s">
        <v>111</v>
      </c>
    </row>
    <row r="9" spans="1:16" x14ac:dyDescent="0.3">
      <c r="A9" s="64">
        <v>4</v>
      </c>
      <c r="B9" s="64" t="s">
        <v>111</v>
      </c>
      <c r="C9" s="64">
        <v>38</v>
      </c>
      <c r="D9" s="56">
        <v>58.29</v>
      </c>
      <c r="E9" s="56">
        <v>61.6</v>
      </c>
      <c r="F9" s="56">
        <v>87.81</v>
      </c>
      <c r="G9" s="64" t="s">
        <v>108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233</v>
      </c>
      <c r="P9" s="64" t="s">
        <v>111</v>
      </c>
    </row>
    <row r="10" spans="1:16" x14ac:dyDescent="0.3">
      <c r="A10" s="64">
        <v>5</v>
      </c>
      <c r="B10" s="65" t="s">
        <v>148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108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184</v>
      </c>
      <c r="P10" s="64" t="s">
        <v>111</v>
      </c>
    </row>
    <row r="11" spans="1:16" x14ac:dyDescent="0.3">
      <c r="A11" s="64">
        <v>6</v>
      </c>
      <c r="B11" s="64" t="s">
        <v>112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108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241</v>
      </c>
      <c r="P11" s="64" t="s">
        <v>111</v>
      </c>
    </row>
    <row r="12" spans="1:16" x14ac:dyDescent="0.3">
      <c r="A12" s="64">
        <v>7</v>
      </c>
      <c r="B12" s="64" t="s">
        <v>113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108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185</v>
      </c>
      <c r="P12" s="64" t="s">
        <v>110</v>
      </c>
    </row>
    <row r="13" spans="1:16" x14ac:dyDescent="0.3">
      <c r="A13" s="64">
        <v>8</v>
      </c>
      <c r="B13" s="64" t="s">
        <v>114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115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288</v>
      </c>
      <c r="P13" s="64" t="s">
        <v>110</v>
      </c>
    </row>
    <row r="14" spans="1:16" x14ac:dyDescent="0.3">
      <c r="A14" s="64">
        <v>9</v>
      </c>
      <c r="B14" s="64" t="s">
        <v>116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117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255</v>
      </c>
      <c r="P14" s="64" t="s">
        <v>110</v>
      </c>
    </row>
    <row r="15" spans="1:16" x14ac:dyDescent="0.3">
      <c r="A15" s="64">
        <v>10</v>
      </c>
      <c r="B15" s="64" t="s">
        <v>118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117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242</v>
      </c>
      <c r="P15" s="64" t="s">
        <v>110</v>
      </c>
    </row>
    <row r="16" spans="1:16" x14ac:dyDescent="0.3">
      <c r="A16" s="64">
        <v>11</v>
      </c>
      <c r="B16" s="64" t="s">
        <v>119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120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256</v>
      </c>
      <c r="P16" s="64" t="s">
        <v>110</v>
      </c>
    </row>
    <row r="17" spans="1:16" x14ac:dyDescent="0.3">
      <c r="A17" s="64">
        <v>12</v>
      </c>
      <c r="B17" s="64" t="s">
        <v>121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122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257</v>
      </c>
      <c r="P17" s="64" t="s">
        <v>110</v>
      </c>
    </row>
    <row r="18" spans="1:16" x14ac:dyDescent="0.3">
      <c r="A18" s="64">
        <v>13</v>
      </c>
      <c r="B18" s="64" t="s">
        <v>123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122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267</v>
      </c>
      <c r="P18" s="64" t="s">
        <v>110</v>
      </c>
    </row>
    <row r="19" spans="1:16" x14ac:dyDescent="0.3">
      <c r="A19" s="64">
        <v>14</v>
      </c>
      <c r="B19" s="64" t="s">
        <v>124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122</v>
      </c>
      <c r="H19" s="53">
        <v>125052.51776336112</v>
      </c>
      <c r="I19" s="53">
        <v>168048.30180450308</v>
      </c>
      <c r="J19" s="53">
        <v>283048.30180450308</v>
      </c>
      <c r="O19" s="64" t="s">
        <v>186</v>
      </c>
      <c r="P19" s="64" t="s">
        <v>113</v>
      </c>
    </row>
    <row r="20" spans="1:16" x14ac:dyDescent="0.3">
      <c r="A20" s="64">
        <v>15</v>
      </c>
      <c r="B20" s="64" t="s">
        <v>125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126</v>
      </c>
      <c r="H20" s="53">
        <v>186614.06561388844</v>
      </c>
      <c r="I20" s="53">
        <v>229609.84965503035</v>
      </c>
      <c r="J20" s="53">
        <v>459609.84965503041</v>
      </c>
      <c r="O20" s="64" t="s">
        <v>187</v>
      </c>
      <c r="P20" s="64" t="s">
        <v>113</v>
      </c>
    </row>
    <row r="21" spans="1:16" x14ac:dyDescent="0.3">
      <c r="A21" s="64">
        <v>16</v>
      </c>
      <c r="B21" s="64" t="s">
        <v>127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126</v>
      </c>
      <c r="H21" s="53">
        <v>493209.98170661525</v>
      </c>
      <c r="I21" s="53">
        <v>536205.76574775728</v>
      </c>
      <c r="J21" s="53">
        <v>766205.76574775728</v>
      </c>
      <c r="O21" s="64" t="s">
        <v>258</v>
      </c>
      <c r="P21" s="64" t="s">
        <v>109</v>
      </c>
    </row>
    <row r="22" spans="1:16" x14ac:dyDescent="0.3">
      <c r="A22" s="64">
        <v>17</v>
      </c>
      <c r="B22" s="64" t="s">
        <v>128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129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259</v>
      </c>
      <c r="P22" s="64" t="s">
        <v>109</v>
      </c>
    </row>
    <row r="23" spans="1:16" x14ac:dyDescent="0.3">
      <c r="A23" s="64">
        <v>18</v>
      </c>
      <c r="B23" s="64" t="s">
        <v>130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129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260</v>
      </c>
      <c r="P23" s="64" t="s">
        <v>109</v>
      </c>
    </row>
    <row r="24" spans="1:16" x14ac:dyDescent="0.3">
      <c r="A24" s="64">
        <v>19</v>
      </c>
      <c r="B24" s="65" t="s">
        <v>149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129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261</v>
      </c>
      <c r="P24" s="64" t="s">
        <v>109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262</v>
      </c>
      <c r="P25" s="64" t="s">
        <v>109</v>
      </c>
    </row>
    <row r="26" spans="1:16" x14ac:dyDescent="0.3">
      <c r="A26" s="64">
        <v>21</v>
      </c>
      <c r="B26" s="64" t="s">
        <v>131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188</v>
      </c>
      <c r="P26" s="64" t="s">
        <v>109</v>
      </c>
    </row>
    <row r="27" spans="1:16" x14ac:dyDescent="0.3">
      <c r="A27" s="65">
        <v>22</v>
      </c>
      <c r="B27" s="64" t="s">
        <v>150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189</v>
      </c>
      <c r="P27" s="64" t="s">
        <v>109</v>
      </c>
    </row>
    <row r="28" spans="1:16" x14ac:dyDescent="0.3">
      <c r="A28" s="195" t="s">
        <v>132</v>
      </c>
      <c r="B28" s="195"/>
      <c r="C28" s="195"/>
      <c r="O28" s="64" t="s">
        <v>299</v>
      </c>
      <c r="P28" s="64" t="s">
        <v>109</v>
      </c>
    </row>
    <row r="29" spans="1:16" x14ac:dyDescent="0.3">
      <c r="J29" s="141" t="s">
        <v>297</v>
      </c>
      <c r="O29" s="64" t="s">
        <v>300</v>
      </c>
      <c r="P29" s="64" t="s">
        <v>109</v>
      </c>
    </row>
    <row r="30" spans="1:16" ht="14.4" thickBot="1" x14ac:dyDescent="0.35">
      <c r="A30" s="58" t="s">
        <v>1</v>
      </c>
      <c r="B30" s="59" t="s">
        <v>86</v>
      </c>
      <c r="C30" s="59" t="s">
        <v>133</v>
      </c>
      <c r="O30" s="64" t="s">
        <v>289</v>
      </c>
      <c r="P30" s="64" t="s">
        <v>109</v>
      </c>
    </row>
    <row r="31" spans="1:16" ht="14.4" thickTop="1" x14ac:dyDescent="0.3">
      <c r="A31" s="64">
        <v>1</v>
      </c>
      <c r="B31" s="64" t="s">
        <v>134</v>
      </c>
      <c r="C31" s="60">
        <v>24</v>
      </c>
      <c r="O31" s="64" t="s">
        <v>190</v>
      </c>
      <c r="P31" s="64" t="s">
        <v>107</v>
      </c>
    </row>
    <row r="32" spans="1:16" x14ac:dyDescent="0.3">
      <c r="A32" s="64">
        <v>2</v>
      </c>
      <c r="B32" s="64" t="s">
        <v>135</v>
      </c>
      <c r="C32" s="60">
        <v>16</v>
      </c>
      <c r="O32" s="64" t="s">
        <v>191</v>
      </c>
      <c r="P32" s="64" t="s">
        <v>112</v>
      </c>
    </row>
    <row r="33" spans="1:16" x14ac:dyDescent="0.3">
      <c r="A33" s="64">
        <v>3</v>
      </c>
      <c r="B33" s="61" t="s">
        <v>136</v>
      </c>
      <c r="C33" s="60">
        <v>8</v>
      </c>
      <c r="O33" s="64" t="s">
        <v>243</v>
      </c>
      <c r="P33" s="64" t="s">
        <v>112</v>
      </c>
    </row>
    <row r="34" spans="1:16" x14ac:dyDescent="0.3">
      <c r="A34" s="64">
        <v>4</v>
      </c>
      <c r="B34" s="64" t="s">
        <v>137</v>
      </c>
      <c r="C34" s="60">
        <v>16</v>
      </c>
      <c r="O34" s="64" t="s">
        <v>192</v>
      </c>
      <c r="P34" s="64" t="s">
        <v>112</v>
      </c>
    </row>
    <row r="35" spans="1:16" x14ac:dyDescent="0.3">
      <c r="A35" s="64">
        <v>5</v>
      </c>
      <c r="B35" s="64" t="s">
        <v>138</v>
      </c>
      <c r="C35" s="60">
        <v>8</v>
      </c>
      <c r="O35" s="64" t="s">
        <v>193</v>
      </c>
      <c r="P35" s="64" t="s">
        <v>112</v>
      </c>
    </row>
    <row r="36" spans="1:16" x14ac:dyDescent="0.3">
      <c r="O36" s="64" t="s">
        <v>194</v>
      </c>
      <c r="P36" s="64" t="s">
        <v>112</v>
      </c>
    </row>
    <row r="37" spans="1:16" x14ac:dyDescent="0.3">
      <c r="O37" s="64" t="s">
        <v>195</v>
      </c>
      <c r="P37" s="64" t="s">
        <v>112</v>
      </c>
    </row>
    <row r="38" spans="1:16" x14ac:dyDescent="0.3">
      <c r="B38" s="64">
        <v>14652.34</v>
      </c>
      <c r="O38" s="64" t="s">
        <v>196</v>
      </c>
      <c r="P38" s="64" t="s">
        <v>112</v>
      </c>
    </row>
    <row r="39" spans="1:16" x14ac:dyDescent="0.3">
      <c r="O39" s="64" t="s">
        <v>197</v>
      </c>
      <c r="P39" s="64" t="s">
        <v>112</v>
      </c>
    </row>
    <row r="40" spans="1:16" x14ac:dyDescent="0.3">
      <c r="O40" s="64" t="s">
        <v>198</v>
      </c>
      <c r="P40" s="64" t="s">
        <v>112</v>
      </c>
    </row>
    <row r="41" spans="1:16" x14ac:dyDescent="0.3">
      <c r="O41" s="64" t="s">
        <v>199</v>
      </c>
      <c r="P41" s="64" t="s">
        <v>112</v>
      </c>
    </row>
    <row r="42" spans="1:16" x14ac:dyDescent="0.3">
      <c r="O42" s="64" t="s">
        <v>253</v>
      </c>
      <c r="P42" s="64" t="s">
        <v>114</v>
      </c>
    </row>
    <row r="43" spans="1:16" x14ac:dyDescent="0.3">
      <c r="O43" s="64" t="s">
        <v>271</v>
      </c>
      <c r="P43" s="64" t="s">
        <v>114</v>
      </c>
    </row>
    <row r="44" spans="1:16" x14ac:dyDescent="0.3">
      <c r="O44" s="64" t="s">
        <v>244</v>
      </c>
      <c r="P44" s="64" t="s">
        <v>114</v>
      </c>
    </row>
    <row r="45" spans="1:16" x14ac:dyDescent="0.3">
      <c r="O45" s="64" t="s">
        <v>254</v>
      </c>
      <c r="P45" s="64" t="s">
        <v>114</v>
      </c>
    </row>
    <row r="46" spans="1:16" x14ac:dyDescent="0.3">
      <c r="O46" s="64" t="s">
        <v>245</v>
      </c>
      <c r="P46" s="64" t="s">
        <v>114</v>
      </c>
    </row>
    <row r="47" spans="1:16" x14ac:dyDescent="0.3">
      <c r="O47" s="64" t="s">
        <v>246</v>
      </c>
      <c r="P47" s="64" t="s">
        <v>114</v>
      </c>
    </row>
    <row r="48" spans="1:16" x14ac:dyDescent="0.3">
      <c r="O48" s="64" t="s">
        <v>247</v>
      </c>
      <c r="P48" s="64" t="s">
        <v>114</v>
      </c>
    </row>
    <row r="49" spans="15:16" x14ac:dyDescent="0.3">
      <c r="O49" s="64" t="s">
        <v>200</v>
      </c>
      <c r="P49" s="64" t="s">
        <v>114</v>
      </c>
    </row>
    <row r="50" spans="15:16" x14ac:dyDescent="0.3">
      <c r="O50" s="64" t="s">
        <v>201</v>
      </c>
      <c r="P50" s="64" t="s">
        <v>114</v>
      </c>
    </row>
    <row r="51" spans="15:16" x14ac:dyDescent="0.3">
      <c r="O51" s="64" t="s">
        <v>202</v>
      </c>
      <c r="P51" s="64" t="s">
        <v>114</v>
      </c>
    </row>
    <row r="52" spans="15:16" x14ac:dyDescent="0.3">
      <c r="O52" s="64" t="s">
        <v>203</v>
      </c>
      <c r="P52" s="64" t="s">
        <v>114</v>
      </c>
    </row>
    <row r="53" spans="15:16" x14ac:dyDescent="0.3">
      <c r="O53" s="64" t="s">
        <v>204</v>
      </c>
      <c r="P53" s="64" t="s">
        <v>114</v>
      </c>
    </row>
    <row r="54" spans="15:16" x14ac:dyDescent="0.3">
      <c r="O54" s="64" t="s">
        <v>205</v>
      </c>
      <c r="P54" s="64" t="s">
        <v>114</v>
      </c>
    </row>
    <row r="55" spans="15:16" x14ac:dyDescent="0.3">
      <c r="O55" s="64" t="s">
        <v>206</v>
      </c>
      <c r="P55" s="64" t="s">
        <v>114</v>
      </c>
    </row>
    <row r="56" spans="15:16" x14ac:dyDescent="0.3">
      <c r="O56" s="64" t="s">
        <v>207</v>
      </c>
      <c r="P56" s="64" t="s">
        <v>114</v>
      </c>
    </row>
    <row r="57" spans="15:16" x14ac:dyDescent="0.3">
      <c r="O57" s="64" t="s">
        <v>208</v>
      </c>
      <c r="P57" s="64" t="s">
        <v>114</v>
      </c>
    </row>
    <row r="58" spans="15:16" x14ac:dyDescent="0.3">
      <c r="O58" s="64" t="s">
        <v>209</v>
      </c>
      <c r="P58" s="64" t="s">
        <v>114</v>
      </c>
    </row>
    <row r="59" spans="15:16" x14ac:dyDescent="0.3">
      <c r="O59" s="64" t="s">
        <v>210</v>
      </c>
      <c r="P59" s="64" t="s">
        <v>114</v>
      </c>
    </row>
    <row r="60" spans="15:16" x14ac:dyDescent="0.3">
      <c r="O60" s="64" t="s">
        <v>211</v>
      </c>
      <c r="P60" s="64" t="s">
        <v>114</v>
      </c>
    </row>
    <row r="61" spans="15:16" x14ac:dyDescent="0.3">
      <c r="O61" s="64" t="s">
        <v>212</v>
      </c>
      <c r="P61" s="64" t="s">
        <v>114</v>
      </c>
    </row>
    <row r="62" spans="15:16" x14ac:dyDescent="0.3">
      <c r="O62" s="64" t="s">
        <v>213</v>
      </c>
      <c r="P62" s="64" t="s">
        <v>114</v>
      </c>
    </row>
    <row r="63" spans="15:16" x14ac:dyDescent="0.3">
      <c r="O63" s="64" t="s">
        <v>234</v>
      </c>
      <c r="P63" s="64" t="s">
        <v>114</v>
      </c>
    </row>
    <row r="64" spans="15:16" x14ac:dyDescent="0.3">
      <c r="O64" s="64" t="s">
        <v>235</v>
      </c>
      <c r="P64" s="64" t="s">
        <v>114</v>
      </c>
    </row>
    <row r="65" spans="15:16" x14ac:dyDescent="0.3">
      <c r="O65" s="64" t="s">
        <v>236</v>
      </c>
      <c r="P65" s="64" t="s">
        <v>114</v>
      </c>
    </row>
    <row r="66" spans="15:16" x14ac:dyDescent="0.3">
      <c r="O66" s="64" t="s">
        <v>278</v>
      </c>
      <c r="P66" s="64" t="s">
        <v>118</v>
      </c>
    </row>
    <row r="67" spans="15:16" x14ac:dyDescent="0.3">
      <c r="O67" s="64" t="s">
        <v>248</v>
      </c>
      <c r="P67" s="64" t="s">
        <v>118</v>
      </c>
    </row>
    <row r="68" spans="15:16" x14ac:dyDescent="0.3">
      <c r="O68" s="64" t="s">
        <v>249</v>
      </c>
      <c r="P68" s="64" t="s">
        <v>118</v>
      </c>
    </row>
    <row r="69" spans="15:16" x14ac:dyDescent="0.3">
      <c r="O69" s="64" t="s">
        <v>214</v>
      </c>
      <c r="P69" s="64" t="s">
        <v>118</v>
      </c>
    </row>
    <row r="70" spans="15:16" x14ac:dyDescent="0.3">
      <c r="O70" s="64" t="s">
        <v>215</v>
      </c>
      <c r="P70" s="64" t="s">
        <v>118</v>
      </c>
    </row>
    <row r="71" spans="15:16" x14ac:dyDescent="0.3">
      <c r="O71" s="64" t="s">
        <v>216</v>
      </c>
      <c r="P71" s="64" t="s">
        <v>118</v>
      </c>
    </row>
    <row r="72" spans="15:16" x14ac:dyDescent="0.3">
      <c r="O72" s="64" t="s">
        <v>217</v>
      </c>
      <c r="P72" s="64" t="s">
        <v>118</v>
      </c>
    </row>
    <row r="73" spans="15:16" x14ac:dyDescent="0.3">
      <c r="O73" s="64" t="s">
        <v>237</v>
      </c>
      <c r="P73" s="64" t="s">
        <v>118</v>
      </c>
    </row>
    <row r="74" spans="15:16" x14ac:dyDescent="0.3">
      <c r="O74" s="64" t="s">
        <v>263</v>
      </c>
      <c r="P74" s="64" t="s">
        <v>116</v>
      </c>
    </row>
    <row r="75" spans="15:16" x14ac:dyDescent="0.3">
      <c r="O75" s="64" t="s">
        <v>218</v>
      </c>
      <c r="P75" s="64" t="s">
        <v>116</v>
      </c>
    </row>
    <row r="76" spans="15:16" x14ac:dyDescent="0.3">
      <c r="O76" s="64" t="s">
        <v>250</v>
      </c>
      <c r="P76" s="64" t="s">
        <v>116</v>
      </c>
    </row>
    <row r="77" spans="15:16" x14ac:dyDescent="0.3">
      <c r="O77" s="64" t="s">
        <v>219</v>
      </c>
      <c r="P77" s="64" t="s">
        <v>116</v>
      </c>
    </row>
    <row r="78" spans="15:16" x14ac:dyDescent="0.3">
      <c r="O78" s="64" t="s">
        <v>238</v>
      </c>
      <c r="P78" s="64" t="s">
        <v>116</v>
      </c>
    </row>
    <row r="79" spans="15:16" x14ac:dyDescent="0.3">
      <c r="O79" s="64" t="s">
        <v>220</v>
      </c>
      <c r="P79" s="64" t="s">
        <v>119</v>
      </c>
    </row>
    <row r="80" spans="15:16" x14ac:dyDescent="0.3">
      <c r="O80" s="64" t="s">
        <v>268</v>
      </c>
      <c r="P80" s="64" t="s">
        <v>127</v>
      </c>
    </row>
    <row r="81" spans="15:16" x14ac:dyDescent="0.3">
      <c r="O81" s="64" t="s">
        <v>326</v>
      </c>
      <c r="P81" s="64" t="s">
        <v>121</v>
      </c>
    </row>
    <row r="82" spans="15:16" x14ac:dyDescent="0.3">
      <c r="O82" s="64" t="s">
        <v>269</v>
      </c>
      <c r="P82" s="64" t="s">
        <v>121</v>
      </c>
    </row>
    <row r="83" spans="15:16" x14ac:dyDescent="0.3">
      <c r="O83" s="64" t="s">
        <v>279</v>
      </c>
      <c r="P83" s="64" t="s">
        <v>121</v>
      </c>
    </row>
    <row r="84" spans="15:16" x14ac:dyDescent="0.3">
      <c r="O84" s="64" t="s">
        <v>221</v>
      </c>
      <c r="P84" s="64" t="s">
        <v>121</v>
      </c>
    </row>
    <row r="85" spans="15:16" x14ac:dyDescent="0.3">
      <c r="O85" s="64" t="s">
        <v>283</v>
      </c>
      <c r="P85" s="64" t="s">
        <v>38</v>
      </c>
    </row>
    <row r="86" spans="15:16" x14ac:dyDescent="0.3">
      <c r="O86" s="64" t="s">
        <v>224</v>
      </c>
      <c r="P86" s="64" t="s">
        <v>38</v>
      </c>
    </row>
    <row r="87" spans="15:16" x14ac:dyDescent="0.3">
      <c r="O87" s="64" t="s">
        <v>225</v>
      </c>
      <c r="P87" s="64" t="s">
        <v>38</v>
      </c>
    </row>
    <row r="88" spans="15:16" x14ac:dyDescent="0.3">
      <c r="O88" s="64" t="s">
        <v>226</v>
      </c>
      <c r="P88" s="64" t="s">
        <v>38</v>
      </c>
    </row>
    <row r="89" spans="15:16" x14ac:dyDescent="0.3">
      <c r="O89" s="64" t="s">
        <v>239</v>
      </c>
      <c r="P89" s="64" t="s">
        <v>38</v>
      </c>
    </row>
    <row r="90" spans="15:16" x14ac:dyDescent="0.3">
      <c r="O90" s="64" t="s">
        <v>284</v>
      </c>
      <c r="P90" s="64" t="s">
        <v>38</v>
      </c>
    </row>
    <row r="91" spans="15:16" x14ac:dyDescent="0.3">
      <c r="O91" s="64" t="s">
        <v>222</v>
      </c>
      <c r="P91" s="64" t="s">
        <v>38</v>
      </c>
    </row>
    <row r="92" spans="15:16" x14ac:dyDescent="0.3">
      <c r="O92" s="64" t="s">
        <v>265</v>
      </c>
      <c r="P92" s="64" t="s">
        <v>38</v>
      </c>
    </row>
    <row r="93" spans="15:16" x14ac:dyDescent="0.3">
      <c r="O93" s="64" t="s">
        <v>272</v>
      </c>
      <c r="P93" s="64" t="s">
        <v>38</v>
      </c>
    </row>
    <row r="94" spans="15:16" x14ac:dyDescent="0.3">
      <c r="O94" s="64" t="s">
        <v>290</v>
      </c>
      <c r="P94" s="64" t="s">
        <v>38</v>
      </c>
    </row>
    <row r="95" spans="15:16" x14ac:dyDescent="0.3">
      <c r="O95" s="64" t="s">
        <v>273</v>
      </c>
      <c r="P95" s="64" t="s">
        <v>38</v>
      </c>
    </row>
    <row r="96" spans="15:16" x14ac:dyDescent="0.3">
      <c r="O96" s="64" t="s">
        <v>274</v>
      </c>
      <c r="P96" s="64" t="s">
        <v>38</v>
      </c>
    </row>
    <row r="97" spans="15:16" x14ac:dyDescent="0.3">
      <c r="O97" s="64" t="s">
        <v>275</v>
      </c>
      <c r="P97" s="64" t="s">
        <v>38</v>
      </c>
    </row>
    <row r="98" spans="15:16" x14ac:dyDescent="0.3">
      <c r="O98" s="64" t="s">
        <v>296</v>
      </c>
      <c r="P98" s="64" t="s">
        <v>38</v>
      </c>
    </row>
    <row r="99" spans="15:16" x14ac:dyDescent="0.3">
      <c r="O99" s="64" t="s">
        <v>223</v>
      </c>
      <c r="P99" s="64" t="s">
        <v>38</v>
      </c>
    </row>
    <row r="100" spans="15:16" x14ac:dyDescent="0.3">
      <c r="O100" s="64" t="s">
        <v>276</v>
      </c>
      <c r="P100" s="64" t="s">
        <v>38</v>
      </c>
    </row>
    <row r="101" spans="15:16" x14ac:dyDescent="0.3">
      <c r="O101" s="64" t="s">
        <v>291</v>
      </c>
      <c r="P101" s="64" t="s">
        <v>38</v>
      </c>
    </row>
    <row r="102" spans="15:16" x14ac:dyDescent="0.3">
      <c r="O102" s="64" t="s">
        <v>251</v>
      </c>
      <c r="P102" s="64" t="s">
        <v>38</v>
      </c>
    </row>
    <row r="103" spans="15:16" x14ac:dyDescent="0.3">
      <c r="O103" s="64" t="s">
        <v>264</v>
      </c>
      <c r="P103" s="64" t="s">
        <v>38</v>
      </c>
    </row>
    <row r="104" spans="15:16" x14ac:dyDescent="0.3">
      <c r="O104" s="64" t="s">
        <v>277</v>
      </c>
      <c r="P104" s="64" t="s">
        <v>38</v>
      </c>
    </row>
    <row r="105" spans="15:16" x14ac:dyDescent="0.3">
      <c r="O105" s="64" t="s">
        <v>227</v>
      </c>
      <c r="P105" s="64" t="s">
        <v>128</v>
      </c>
    </row>
    <row r="106" spans="15:16" x14ac:dyDescent="0.3">
      <c r="O106" s="64" t="s">
        <v>280</v>
      </c>
      <c r="P106" s="64" t="s">
        <v>150</v>
      </c>
    </row>
    <row r="107" spans="15:16" x14ac:dyDescent="0.3">
      <c r="O107" s="64" t="s">
        <v>324</v>
      </c>
      <c r="P107" s="64" t="s">
        <v>128</v>
      </c>
    </row>
    <row r="108" spans="15:16" x14ac:dyDescent="0.3">
      <c r="O108" s="64" t="s">
        <v>228</v>
      </c>
      <c r="P108" s="64" t="s">
        <v>128</v>
      </c>
    </row>
    <row r="109" spans="15:16" x14ac:dyDescent="0.3">
      <c r="O109" s="64" t="s">
        <v>229</v>
      </c>
      <c r="P109" s="64" t="s">
        <v>128</v>
      </c>
    </row>
    <row r="110" spans="15:16" x14ac:dyDescent="0.3">
      <c r="O110" s="64" t="s">
        <v>294</v>
      </c>
      <c r="P110" s="64" t="s">
        <v>128</v>
      </c>
    </row>
    <row r="111" spans="15:16" x14ac:dyDescent="0.3">
      <c r="O111" s="64" t="s">
        <v>285</v>
      </c>
      <c r="P111" s="64" t="s">
        <v>150</v>
      </c>
    </row>
    <row r="112" spans="15:16" x14ac:dyDescent="0.3">
      <c r="O112" s="64" t="s">
        <v>230</v>
      </c>
      <c r="P112" s="64" t="s">
        <v>150</v>
      </c>
    </row>
    <row r="113" spans="15:16" x14ac:dyDescent="0.3">
      <c r="O113" s="64" t="s">
        <v>231</v>
      </c>
      <c r="P113" s="64" t="s">
        <v>150</v>
      </c>
    </row>
    <row r="114" spans="15:16" x14ac:dyDescent="0.3">
      <c r="O114" s="64" t="s">
        <v>281</v>
      </c>
      <c r="P114" s="64" t="s">
        <v>150</v>
      </c>
    </row>
    <row r="115" spans="15:16" x14ac:dyDescent="0.3">
      <c r="O115" s="64" t="s">
        <v>287</v>
      </c>
    </row>
    <row r="116" spans="15:16" x14ac:dyDescent="0.3">
      <c r="O116" s="64" t="s">
        <v>320</v>
      </c>
      <c r="P116" s="64" t="s">
        <v>38</v>
      </c>
    </row>
    <row r="117" spans="15:16" x14ac:dyDescent="0.3">
      <c r="O117" s="64" t="s">
        <v>321</v>
      </c>
      <c r="P117" s="64" t="s">
        <v>150</v>
      </c>
    </row>
    <row r="118" spans="15:16" x14ac:dyDescent="0.3">
      <c r="O118" s="64" t="s">
        <v>322</v>
      </c>
      <c r="P118" s="64" t="s">
        <v>150</v>
      </c>
    </row>
    <row r="119" spans="15:16" x14ac:dyDescent="0.3">
      <c r="O119" s="64" t="s">
        <v>353</v>
      </c>
      <c r="P119" s="64" t="s">
        <v>38</v>
      </c>
    </row>
  </sheetData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J10" sqref="J10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325</v>
      </c>
      <c r="C2" s="70" t="s">
        <v>151</v>
      </c>
      <c r="D2" s="70" t="s">
        <v>152</v>
      </c>
      <c r="E2" s="70" t="s">
        <v>153</v>
      </c>
      <c r="F2" s="70" t="s">
        <v>154</v>
      </c>
      <c r="G2" s="70" t="s">
        <v>155</v>
      </c>
      <c r="H2" s="70" t="s">
        <v>156</v>
      </c>
      <c r="I2" s="70" t="s">
        <v>157</v>
      </c>
      <c r="J2" s="70" t="s">
        <v>158</v>
      </c>
      <c r="K2" s="70" t="s">
        <v>159</v>
      </c>
      <c r="L2" s="70" t="s">
        <v>160</v>
      </c>
      <c r="M2" s="70" t="s">
        <v>161</v>
      </c>
      <c r="N2" s="70" t="s">
        <v>162</v>
      </c>
      <c r="O2" s="71" t="s">
        <v>295</v>
      </c>
    </row>
    <row r="3" spans="1:17" x14ac:dyDescent="0.3">
      <c r="A3" s="72" t="s">
        <v>335</v>
      </c>
      <c r="B3" s="91">
        <v>25551.1</v>
      </c>
      <c r="C3" s="73">
        <v>23545.18</v>
      </c>
      <c r="D3" s="73">
        <v>29931.979999999996</v>
      </c>
      <c r="E3" s="73">
        <v>18697.04</v>
      </c>
      <c r="F3" s="73">
        <v>18697.04</v>
      </c>
      <c r="G3" s="73">
        <v>15970.69</v>
      </c>
      <c r="H3" s="73">
        <f>SUMMARY!$E10</f>
        <v>21341.300000000003</v>
      </c>
      <c r="I3" s="73"/>
      <c r="J3" s="73"/>
      <c r="K3" s="73"/>
      <c r="L3" s="73"/>
      <c r="M3" s="73"/>
      <c r="N3" s="73"/>
      <c r="O3" s="91">
        <f>SUM(C3:N3)</f>
        <v>128183.23</v>
      </c>
    </row>
    <row r="4" spans="1:17" x14ac:dyDescent="0.3">
      <c r="A4" s="75" t="s">
        <v>75</v>
      </c>
      <c r="B4" s="92">
        <v>125448.88</v>
      </c>
      <c r="C4" s="76">
        <v>64719.619999999995</v>
      </c>
      <c r="D4" s="76">
        <v>76341.759999999995</v>
      </c>
      <c r="E4" s="76">
        <v>71048.760000000009</v>
      </c>
      <c r="F4" s="76">
        <v>71048.760000000009</v>
      </c>
      <c r="G4" s="76">
        <v>75392.73</v>
      </c>
      <c r="H4" s="76">
        <f>SUMMARY!$E11</f>
        <v>65676.390000000014</v>
      </c>
      <c r="I4" s="76"/>
      <c r="J4" s="76"/>
      <c r="K4" s="76"/>
      <c r="L4" s="76"/>
      <c r="M4" s="76"/>
      <c r="N4" s="76"/>
      <c r="O4" s="92">
        <f>SUM(C4:N4)</f>
        <v>424228.02</v>
      </c>
    </row>
    <row r="5" spans="1:17" x14ac:dyDescent="0.3">
      <c r="A5" s="101" t="s">
        <v>180</v>
      </c>
      <c r="B5" s="103">
        <v>12871.52</v>
      </c>
      <c r="C5" s="102">
        <v>746.51</v>
      </c>
      <c r="D5" s="102">
        <v>647.58000000000004</v>
      </c>
      <c r="E5" s="102">
        <v>7573.3899999999994</v>
      </c>
      <c r="F5" s="102">
        <v>7573.3899999999994</v>
      </c>
      <c r="G5" s="102">
        <v>16301.3</v>
      </c>
      <c r="H5" s="102">
        <f>SUMMARY!$E12</f>
        <v>0</v>
      </c>
      <c r="I5" s="102"/>
      <c r="J5" s="102"/>
      <c r="K5" s="102"/>
      <c r="L5" s="102"/>
      <c r="M5" s="102"/>
      <c r="N5" s="102"/>
      <c r="O5" s="103">
        <f>SUM(C5:N5)</f>
        <v>32842.17</v>
      </c>
    </row>
    <row r="6" spans="1:17" x14ac:dyDescent="0.3">
      <c r="A6" s="77" t="s">
        <v>77</v>
      </c>
      <c r="B6" s="93">
        <v>0.2036773863584912</v>
      </c>
      <c r="C6" s="78">
        <v>0.36380281590034058</v>
      </c>
      <c r="D6" s="78">
        <v>0.39207872598169075</v>
      </c>
      <c r="E6" s="78">
        <v>0.26315786510559785</v>
      </c>
      <c r="F6" s="78">
        <v>0.26315786510559785</v>
      </c>
      <c r="G6" s="78">
        <v>0.21183328949621538</v>
      </c>
      <c r="H6" s="78">
        <f>SUMMARY!$E13</f>
        <v>0.32494630109846168</v>
      </c>
      <c r="I6" s="78"/>
      <c r="J6" s="78"/>
      <c r="K6" s="78"/>
      <c r="L6" s="78"/>
      <c r="M6" s="78"/>
      <c r="N6" s="78"/>
      <c r="O6" s="93">
        <f>O3/O4</f>
        <v>0.30215644407458042</v>
      </c>
    </row>
    <row r="7" spans="1:17" x14ac:dyDescent="0.3">
      <c r="A7" s="69" t="s">
        <v>344</v>
      </c>
      <c r="B7" s="94"/>
      <c r="C7" s="144">
        <v>0.84908269622145682</v>
      </c>
      <c r="D7" s="144">
        <v>1.035658101803042</v>
      </c>
      <c r="E7" s="144">
        <v>0.39127206136036835</v>
      </c>
      <c r="F7" s="144">
        <v>0.39127206136036835</v>
      </c>
      <c r="G7" s="168">
        <v>0.33421786537587889</v>
      </c>
      <c r="H7" s="168">
        <f>SUMMARY!$F10</f>
        <v>0.60548466463753714</v>
      </c>
      <c r="I7" s="79"/>
      <c r="J7" s="79"/>
      <c r="K7" s="79"/>
      <c r="L7" s="79"/>
      <c r="M7" s="79"/>
      <c r="N7" s="79"/>
      <c r="O7" s="98">
        <f>AVERAGE(C7:N7)</f>
        <v>0.60116457512644184</v>
      </c>
    </row>
    <row r="8" spans="1:17" x14ac:dyDescent="0.3">
      <c r="A8" s="69" t="s">
        <v>343</v>
      </c>
      <c r="B8" s="94"/>
      <c r="C8" s="144">
        <v>1.1800244320460924</v>
      </c>
      <c r="D8" s="144">
        <v>1.0641843667922801</v>
      </c>
      <c r="E8" s="144">
        <v>0.81724145889208089</v>
      </c>
      <c r="F8" s="144">
        <v>0.81724145889208089</v>
      </c>
      <c r="G8" s="168">
        <v>0.86720816316930438</v>
      </c>
      <c r="H8" s="168">
        <f>SUMMARY!$F11</f>
        <v>0.85453678190666116</v>
      </c>
      <c r="I8" s="79"/>
      <c r="J8" s="79"/>
      <c r="K8" s="79"/>
      <c r="L8" s="79"/>
      <c r="M8" s="79"/>
      <c r="N8" s="79"/>
      <c r="O8" s="98">
        <f>AVERAGE(C8:N8)</f>
        <v>0.9334061102830834</v>
      </c>
    </row>
    <row r="9" spans="1:17" x14ac:dyDescent="0.3">
      <c r="A9" s="69" t="s">
        <v>345</v>
      </c>
      <c r="B9" s="94"/>
      <c r="C9" s="144">
        <v>8.9735099859968484E-2</v>
      </c>
      <c r="D9" s="144">
        <v>7.4688396108511593E-2</v>
      </c>
      <c r="E9" s="144">
        <v>1.3207330843037188</v>
      </c>
      <c r="F9" s="144">
        <v>1.3207330843037188</v>
      </c>
      <c r="G9" s="168">
        <v>1.1371217500833952</v>
      </c>
      <c r="H9" s="168">
        <f>SUMMARY!$F12</f>
        <v>0</v>
      </c>
      <c r="I9" s="79"/>
      <c r="J9" s="79"/>
      <c r="K9" s="79"/>
      <c r="L9" s="79"/>
      <c r="M9" s="79"/>
      <c r="N9" s="79"/>
      <c r="O9" s="98">
        <f>AVERAGE(C9:N9)</f>
        <v>0.65716856910988541</v>
      </c>
    </row>
    <row r="10" spans="1:17" x14ac:dyDescent="0.3">
      <c r="A10" s="69" t="s">
        <v>355</v>
      </c>
      <c r="B10" s="94">
        <v>249.91699783903579</v>
      </c>
      <c r="C10" s="79">
        <v>208.41297426120113</v>
      </c>
      <c r="D10" s="79">
        <v>398.86382608695646</v>
      </c>
      <c r="E10" s="79">
        <v>250.45960805084746</v>
      </c>
      <c r="F10" s="79">
        <v>497.20394366197189</v>
      </c>
      <c r="G10" s="79">
        <v>43.260040214477208</v>
      </c>
      <c r="H10" s="79">
        <f>SUMMARY!$E18</f>
        <v>39.52092592592593</v>
      </c>
      <c r="I10" s="79"/>
      <c r="J10" s="79"/>
      <c r="K10" s="79"/>
      <c r="L10" s="79"/>
      <c r="M10" s="79"/>
      <c r="N10" s="79"/>
      <c r="O10" s="94">
        <f>AVERAGE(C10:N10)</f>
        <v>239.62021970023</v>
      </c>
    </row>
    <row r="11" spans="1:17" x14ac:dyDescent="0.3">
      <c r="A11" s="94" t="str">
        <f>SUMMARY!C22</f>
        <v>COST OB REMOVAL</v>
      </c>
      <c r="B11" s="95">
        <v>980772683.17614365</v>
      </c>
      <c r="C11" s="80">
        <v>913930747.15150213</v>
      </c>
      <c r="D11" s="80">
        <v>963632138.41792524</v>
      </c>
      <c r="E11" s="80">
        <v>1138721618.3285179</v>
      </c>
      <c r="F11" s="80">
        <v>1103086793.8723218</v>
      </c>
      <c r="G11" s="80">
        <v>1063487879.027422</v>
      </c>
      <c r="H11" s="80">
        <f>SUMMARY!$D22</f>
        <v>1108555488.1971326</v>
      </c>
      <c r="I11" s="80"/>
      <c r="J11" s="80"/>
      <c r="K11" s="80"/>
      <c r="L11" s="80"/>
      <c r="M11" s="80"/>
      <c r="N11" s="80"/>
      <c r="O11" s="95">
        <f t="shared" ref="O11:O30" si="0">SUM(C11:N11)</f>
        <v>6291414664.9948215</v>
      </c>
      <c r="Q11" s="108"/>
    </row>
    <row r="12" spans="1:17" x14ac:dyDescent="0.3">
      <c r="A12" s="94" t="str">
        <f>SUMMARY!C23</f>
        <v>COST QUARRY HAULING</v>
      </c>
      <c r="B12" s="95">
        <v>747900000</v>
      </c>
      <c r="C12" s="80">
        <v>334050000</v>
      </c>
      <c r="D12" s="80">
        <v>264500000</v>
      </c>
      <c r="E12" s="80">
        <v>446450000</v>
      </c>
      <c r="F12" s="80">
        <v>446450000</v>
      </c>
      <c r="G12" s="80">
        <v>383750000</v>
      </c>
      <c r="H12" s="80">
        <f>SUMMARY!$D23</f>
        <v>156750000</v>
      </c>
      <c r="I12" s="80"/>
      <c r="J12" s="80"/>
      <c r="K12" s="80"/>
      <c r="L12" s="80"/>
      <c r="M12" s="80"/>
      <c r="N12" s="80"/>
      <c r="O12" s="95">
        <f t="shared" si="0"/>
        <v>2031950000</v>
      </c>
      <c r="Q12" s="108"/>
    </row>
    <row r="13" spans="1:17" x14ac:dyDescent="0.3">
      <c r="A13" s="94" t="str">
        <f>SUMMARY!C24</f>
        <v>COST DEVELOP ACT.</v>
      </c>
      <c r="B13" s="95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f>SUMMARY!$D24</f>
        <v>0</v>
      </c>
      <c r="I13" s="80"/>
      <c r="J13" s="80"/>
      <c r="K13" s="80"/>
      <c r="L13" s="80"/>
      <c r="M13" s="80"/>
      <c r="N13" s="80"/>
      <c r="O13" s="95">
        <f t="shared" si="0"/>
        <v>0</v>
      </c>
      <c r="Q13" s="108"/>
    </row>
    <row r="14" spans="1:17" x14ac:dyDescent="0.3">
      <c r="A14" s="94" t="str">
        <f>SUMMARY!C25</f>
        <v>COST ORE GETTING</v>
      </c>
      <c r="B14" s="95">
        <v>1089025000</v>
      </c>
      <c r="C14" s="80">
        <v>434195000</v>
      </c>
      <c r="D14" s="80">
        <v>532270000</v>
      </c>
      <c r="E14" s="80">
        <v>553530000</v>
      </c>
      <c r="F14" s="80">
        <v>445795000</v>
      </c>
      <c r="G14" s="80">
        <v>568760000</v>
      </c>
      <c r="H14" s="80">
        <f>SUMMARY!$D25</f>
        <v>546440000</v>
      </c>
      <c r="I14" s="80"/>
      <c r="J14" s="80"/>
      <c r="K14" s="80"/>
      <c r="L14" s="80"/>
      <c r="M14" s="80"/>
      <c r="N14" s="80"/>
      <c r="O14" s="95">
        <f t="shared" si="0"/>
        <v>3080990000</v>
      </c>
      <c r="Q14" s="108"/>
    </row>
    <row r="15" spans="1:17" x14ac:dyDescent="0.3">
      <c r="A15" s="94" t="str">
        <f>SUMMARY!C26</f>
        <v>COST ORE HAULING</v>
      </c>
      <c r="B15" s="95">
        <v>4733400000</v>
      </c>
      <c r="C15" s="80">
        <v>2318400000</v>
      </c>
      <c r="D15" s="80">
        <v>2898000000</v>
      </c>
      <c r="E15" s="80">
        <v>2608200000</v>
      </c>
      <c r="F15" s="80">
        <v>2994600000</v>
      </c>
      <c r="G15" s="80">
        <v>2898000000</v>
      </c>
      <c r="H15" s="80">
        <f>SUMMARY!$D26</f>
        <v>2801400000</v>
      </c>
      <c r="I15" s="80"/>
      <c r="J15" s="80"/>
      <c r="K15" s="80"/>
      <c r="L15" s="80"/>
      <c r="M15" s="80"/>
      <c r="N15" s="80"/>
      <c r="O15" s="95">
        <f t="shared" si="0"/>
        <v>16518600000</v>
      </c>
      <c r="Q15" s="108"/>
    </row>
    <row r="16" spans="1:17" x14ac:dyDescent="0.3">
      <c r="A16" s="94" t="str">
        <f>SUMMARY!C27</f>
        <v>COST UNIT SUPPORT</v>
      </c>
      <c r="B16" s="95">
        <v>80210000</v>
      </c>
      <c r="C16" s="80">
        <v>28210000</v>
      </c>
      <c r="D16" s="80">
        <v>28210000</v>
      </c>
      <c r="E16" s="80">
        <v>40210000</v>
      </c>
      <c r="F16" s="80">
        <v>36210000</v>
      </c>
      <c r="G16" s="80">
        <v>36210000</v>
      </c>
      <c r="H16" s="80">
        <f>SUMMARY!$D27</f>
        <v>48210000</v>
      </c>
      <c r="I16" s="80"/>
      <c r="J16" s="80"/>
      <c r="K16" s="80"/>
      <c r="L16" s="80"/>
      <c r="M16" s="80"/>
      <c r="N16" s="80"/>
      <c r="O16" s="95">
        <f t="shared" si="0"/>
        <v>217260000</v>
      </c>
      <c r="Q16" s="108"/>
    </row>
    <row r="17" spans="1:15" x14ac:dyDescent="0.3">
      <c r="A17" s="69" t="s">
        <v>46</v>
      </c>
      <c r="B17" s="95">
        <v>7631307683.1761436</v>
      </c>
      <c r="C17" s="80">
        <v>4028785747.1515021</v>
      </c>
      <c r="D17" s="80">
        <v>4686612138.4179249</v>
      </c>
      <c r="E17" s="80">
        <v>4787111618.3285179</v>
      </c>
      <c r="F17" s="80">
        <v>5026141793.8723221</v>
      </c>
      <c r="G17" s="80">
        <v>4950207879.027422</v>
      </c>
      <c r="H17" s="80">
        <f>SUMMARY!$D30</f>
        <v>4661355488.1971321</v>
      </c>
      <c r="I17" s="80"/>
      <c r="J17" s="80"/>
      <c r="K17" s="80"/>
      <c r="L17" s="80"/>
      <c r="M17" s="80"/>
      <c r="N17" s="80"/>
      <c r="O17" s="95">
        <f t="shared" si="0"/>
        <v>28140214664.994823</v>
      </c>
    </row>
    <row r="18" spans="1:15" x14ac:dyDescent="0.3">
      <c r="A18" s="69" t="s">
        <v>49</v>
      </c>
      <c r="B18" s="95">
        <v>19557982187.519997</v>
      </c>
      <c r="C18" s="80">
        <v>7687655342.0799999</v>
      </c>
      <c r="D18" s="80">
        <v>9068179619.8400002</v>
      </c>
      <c r="E18" s="80">
        <v>8439455907.8400011</v>
      </c>
      <c r="F18" s="80">
        <v>6729864314.8799992</v>
      </c>
      <c r="G18" s="80">
        <v>8955450040.3199997</v>
      </c>
      <c r="H18" s="80">
        <f>SUMMARY!$D31</f>
        <v>7801304309.7600021</v>
      </c>
      <c r="I18" s="80"/>
      <c r="J18" s="80"/>
      <c r="K18" s="80"/>
      <c r="L18" s="80"/>
      <c r="M18" s="80"/>
      <c r="N18" s="80"/>
      <c r="O18" s="95">
        <f t="shared" si="0"/>
        <v>48681909534.720001</v>
      </c>
    </row>
    <row r="19" spans="1:15" x14ac:dyDescent="0.3">
      <c r="A19" s="71" t="s">
        <v>163</v>
      </c>
      <c r="B19" s="96">
        <v>11926674504.343855</v>
      </c>
      <c r="C19" s="81">
        <f>C18-C17</f>
        <v>3658869594.9284978</v>
      </c>
      <c r="D19" s="81">
        <f>D18-D17</f>
        <v>4381567481.4220753</v>
      </c>
      <c r="E19" s="81">
        <v>3652344289.5114832</v>
      </c>
      <c r="F19" s="81">
        <v>1703722521.0076771</v>
      </c>
      <c r="G19" s="81">
        <v>4005242161.2925777</v>
      </c>
      <c r="H19" s="81">
        <f>H18-H17</f>
        <v>3139948821.56287</v>
      </c>
      <c r="I19" s="81"/>
      <c r="J19" s="81"/>
      <c r="K19" s="81"/>
      <c r="L19" s="81"/>
      <c r="M19" s="81"/>
      <c r="N19" s="81"/>
      <c r="O19" s="96">
        <f t="shared" si="0"/>
        <v>20541694869.725182</v>
      </c>
    </row>
    <row r="20" spans="1:15" x14ac:dyDescent="0.3">
      <c r="A20" s="86" t="s">
        <v>286</v>
      </c>
      <c r="B20" s="88">
        <v>0.39018890650415372</v>
      </c>
      <c r="C20" s="87">
        <f t="shared" ref="C20:D20" si="1">C17/C18</f>
        <v>0.5240591009718002</v>
      </c>
      <c r="D20" s="87">
        <f t="shared" si="1"/>
        <v>0.51681950897446116</v>
      </c>
      <c r="E20" s="87">
        <v>0.56722988668990315</v>
      </c>
      <c r="F20" s="87">
        <v>0.74684147535624479</v>
      </c>
      <c r="G20" s="87">
        <v>0.55275925349816801</v>
      </c>
      <c r="H20" s="87">
        <f t="shared" ref="H20" si="2">H17/H18</f>
        <v>0.5975097628694519</v>
      </c>
      <c r="I20" s="87"/>
      <c r="J20" s="87"/>
      <c r="K20" s="87"/>
      <c r="L20" s="87"/>
      <c r="M20" s="87"/>
      <c r="N20" s="87"/>
      <c r="O20" s="87">
        <f t="shared" ref="O20" si="3">O17/O18</f>
        <v>0.57804254052370696</v>
      </c>
    </row>
    <row r="21" spans="1:15" x14ac:dyDescent="0.3">
      <c r="A21" s="86" t="s">
        <v>164</v>
      </c>
      <c r="B21" s="88">
        <v>0.60981109349584639</v>
      </c>
      <c r="C21" s="87">
        <f t="shared" ref="C21:D21" si="4">IFERROR(C19/C18,"")</f>
        <v>0.47594089902819975</v>
      </c>
      <c r="D21" s="87">
        <f t="shared" si="4"/>
        <v>0.48318049102553884</v>
      </c>
      <c r="E21" s="87">
        <v>0.43277011331009679</v>
      </c>
      <c r="F21" s="87">
        <v>0.25315852464375521</v>
      </c>
      <c r="G21" s="87">
        <v>0.44724074650183193</v>
      </c>
      <c r="H21" s="87">
        <f t="shared" ref="H21" si="5">IFERROR(H19/H18,"")</f>
        <v>0.4024902371305481</v>
      </c>
      <c r="I21" s="87"/>
      <c r="J21" s="87"/>
      <c r="K21" s="87"/>
      <c r="L21" s="87"/>
      <c r="M21" s="87"/>
      <c r="N21" s="87"/>
      <c r="O21" s="88">
        <f t="shared" ref="O21" si="6">O19/O18</f>
        <v>0.4219574594762931</v>
      </c>
    </row>
    <row r="22" spans="1:15" x14ac:dyDescent="0.3">
      <c r="A22" s="89" t="s">
        <v>270</v>
      </c>
      <c r="B22" s="97">
        <v>1.8718349497565931</v>
      </c>
      <c r="C22" s="90">
        <f>IFERROR(C27/C4,0)</f>
        <v>2.0366312410363352</v>
      </c>
      <c r="D22" s="90">
        <f>IFERROR(D27/D4,0)</f>
        <v>2.0066055999443266</v>
      </c>
      <c r="E22" s="90">
        <v>2.0449758729075636</v>
      </c>
      <c r="F22" s="90">
        <v>1.6506880349237483</v>
      </c>
      <c r="G22" s="90">
        <v>1.95366317150208</v>
      </c>
      <c r="H22" s="90">
        <f>SUMMARY!$E14</f>
        <v>2.0772152671606947</v>
      </c>
      <c r="I22" s="90"/>
      <c r="J22" s="90"/>
      <c r="K22" s="90"/>
      <c r="L22" s="90"/>
      <c r="M22" s="90"/>
      <c r="N22" s="90"/>
      <c r="O22" s="97">
        <f>IFERROR(O27/O4,0)</f>
        <v>1.9595267213933081</v>
      </c>
    </row>
    <row r="23" spans="1:15" x14ac:dyDescent="0.3">
      <c r="A23" s="89" t="s">
        <v>346</v>
      </c>
      <c r="B23" s="97"/>
      <c r="C23" s="142">
        <f>2.12/C22</f>
        <v>1.0409346362187997</v>
      </c>
      <c r="D23" s="142">
        <v>0.96680683042737714</v>
      </c>
      <c r="E23" s="142">
        <v>1.0652538625179695</v>
      </c>
      <c r="F23" s="142">
        <v>1.0677308600294704</v>
      </c>
      <c r="G23" s="142">
        <v>1.1313194377009574</v>
      </c>
      <c r="H23" s="170">
        <f>SUMMARY!$F14</f>
        <v>0.9696853768089907</v>
      </c>
      <c r="I23" s="90"/>
      <c r="J23" s="90"/>
      <c r="K23" s="90"/>
      <c r="L23" s="90"/>
      <c r="M23" s="90"/>
      <c r="N23" s="90"/>
      <c r="O23" s="143">
        <f>AVERAGE(C23:N23)</f>
        <v>1.0402885006172606</v>
      </c>
    </row>
    <row r="24" spans="1:15" x14ac:dyDescent="0.3">
      <c r="A24" s="69" t="s">
        <v>73</v>
      </c>
      <c r="B24" s="69">
        <v>61</v>
      </c>
      <c r="C24" s="74">
        <v>31</v>
      </c>
      <c r="D24" s="74">
        <v>28</v>
      </c>
      <c r="E24" s="74">
        <v>31</v>
      </c>
      <c r="F24" s="74">
        <v>30</v>
      </c>
      <c r="G24" s="74">
        <v>31</v>
      </c>
      <c r="H24" s="74">
        <f>SUMMARY!$J9</f>
        <v>30</v>
      </c>
      <c r="O24" s="69">
        <f t="shared" si="0"/>
        <v>181</v>
      </c>
    </row>
    <row r="25" spans="1:15" x14ac:dyDescent="0.3">
      <c r="A25" s="69" t="s">
        <v>74</v>
      </c>
      <c r="B25" s="69">
        <v>549</v>
      </c>
      <c r="C25" s="74">
        <v>279</v>
      </c>
      <c r="D25" s="74">
        <v>252</v>
      </c>
      <c r="E25" s="74">
        <v>279</v>
      </c>
      <c r="F25" s="74">
        <v>270</v>
      </c>
      <c r="G25" s="74">
        <v>270</v>
      </c>
      <c r="H25" s="74">
        <f>SUMMARY!$J10</f>
        <v>270</v>
      </c>
      <c r="O25" s="69">
        <f t="shared" si="0"/>
        <v>1620</v>
      </c>
    </row>
    <row r="26" spans="1:15" x14ac:dyDescent="0.3">
      <c r="A26" s="69" t="s">
        <v>76</v>
      </c>
      <c r="B26" s="98">
        <v>0.85</v>
      </c>
      <c r="C26" s="82">
        <v>0.85</v>
      </c>
      <c r="D26" s="82">
        <v>0.85</v>
      </c>
      <c r="E26" s="82">
        <v>0.85</v>
      </c>
      <c r="F26" s="82">
        <v>0.85</v>
      </c>
      <c r="G26" s="169">
        <v>0.9</v>
      </c>
      <c r="H26" s="82">
        <f>SUMMARY!$J11</f>
        <v>0.9</v>
      </c>
      <c r="I26" s="82"/>
      <c r="J26" s="82"/>
      <c r="K26" s="82"/>
      <c r="L26" s="82"/>
      <c r="M26" s="82"/>
      <c r="N26" s="82"/>
      <c r="O26" s="98">
        <f>AVERAGE(C26:N26)</f>
        <v>0.8666666666666667</v>
      </c>
    </row>
    <row r="27" spans="1:15" x14ac:dyDescent="0.3">
      <c r="A27" s="69" t="s">
        <v>139</v>
      </c>
      <c r="B27" s="99">
        <v>234819.59799182089</v>
      </c>
      <c r="C27" s="83">
        <v>131810</v>
      </c>
      <c r="D27" s="83">
        <v>153187.8031256058</v>
      </c>
      <c r="E27" s="83">
        <v>145293</v>
      </c>
      <c r="F27" s="83">
        <v>117279.33802816902</v>
      </c>
      <c r="G27" s="83">
        <v>147292</v>
      </c>
      <c r="H27" s="83">
        <f>SUMMARY!$J18</f>
        <v>136424</v>
      </c>
      <c r="I27" s="83"/>
      <c r="J27" s="83"/>
      <c r="K27" s="83"/>
      <c r="L27" s="83"/>
      <c r="M27" s="83"/>
      <c r="N27" s="83"/>
      <c r="O27" s="99">
        <f t="shared" si="0"/>
        <v>831286.14115377481</v>
      </c>
    </row>
    <row r="28" spans="1:15" x14ac:dyDescent="0.3">
      <c r="A28" s="69" t="s">
        <v>347</v>
      </c>
      <c r="B28" s="99"/>
      <c r="C28" s="108">
        <v>0.8822540778393142</v>
      </c>
      <c r="D28" s="108">
        <v>0.90920737263787432</v>
      </c>
      <c r="E28" s="108">
        <v>1.3034750634923911</v>
      </c>
      <c r="F28" s="108">
        <v>1.3589440175874787</v>
      </c>
      <c r="G28" s="108">
        <v>1.2834668169350676</v>
      </c>
      <c r="H28" s="83">
        <f>SUMMARY!$J19</f>
        <v>1.1347497232891572</v>
      </c>
      <c r="I28" s="83"/>
      <c r="J28" s="83"/>
      <c r="K28" s="83"/>
      <c r="L28" s="83"/>
      <c r="M28" s="83"/>
      <c r="N28" s="83"/>
      <c r="O28" s="98">
        <f>AVERAGE(C28:N28)</f>
        <v>1.1453495119635473</v>
      </c>
    </row>
    <row r="29" spans="1:15" s="106" customFormat="1" x14ac:dyDescent="0.3">
      <c r="A29" s="104" t="s">
        <v>93</v>
      </c>
      <c r="B29" s="104">
        <v>121718.57625684212</v>
      </c>
      <c r="C29" s="85">
        <v>62249.836249834319</v>
      </c>
      <c r="D29" s="85">
        <v>61389.8885540224</v>
      </c>
      <c r="E29" s="85">
        <v>67377.834860573465</v>
      </c>
      <c r="F29" s="85">
        <v>88712.81780871618</v>
      </c>
      <c r="G29" s="85">
        <v>65658.955167526394</v>
      </c>
      <c r="H29" s="85">
        <f>SUMMARY!$J30</f>
        <v>70974.599672684984</v>
      </c>
      <c r="I29" s="85"/>
      <c r="J29" s="85"/>
      <c r="K29" s="85"/>
      <c r="L29" s="105"/>
      <c r="M29" s="105"/>
      <c r="N29" s="105"/>
      <c r="O29" s="104">
        <f t="shared" si="0"/>
        <v>416363.93231335771</v>
      </c>
    </row>
    <row r="30" spans="1:15" x14ac:dyDescent="0.3">
      <c r="A30" s="84" t="str">
        <f>[1]SUMMARY!G21</f>
        <v>( USD / Ton )</v>
      </c>
      <c r="B30" s="100">
        <v>8.197641181091198</v>
      </c>
      <c r="C30" s="85">
        <v>4.1924728077744016</v>
      </c>
      <c r="D30" s="85">
        <v>4.1345560717956893</v>
      </c>
      <c r="E30" s="85">
        <v>4.5378390935192261</v>
      </c>
      <c r="F30" s="85">
        <v>5.9747318028499583</v>
      </c>
      <c r="G30" s="85">
        <v>4.4220740279853441</v>
      </c>
      <c r="H30" s="85">
        <f>SUMMARY!$J31</f>
        <v>4.7800781029556161</v>
      </c>
      <c r="I30" s="85"/>
      <c r="J30" s="85"/>
      <c r="K30" s="85"/>
      <c r="L30" s="85"/>
      <c r="M30" s="85"/>
      <c r="N30" s="85"/>
      <c r="O30" s="100">
        <f t="shared" si="0"/>
        <v>28.041751906880233</v>
      </c>
    </row>
    <row r="31" spans="1:15" x14ac:dyDescent="0.3">
      <c r="I31" s="79"/>
      <c r="J31" s="82"/>
    </row>
    <row r="41" spans="1:2" x14ac:dyDescent="0.3">
      <c r="A41" s="139"/>
      <c r="B41" s="139"/>
    </row>
    <row r="43" spans="1:2" x14ac:dyDescent="0.3">
      <c r="A43" s="140"/>
      <c r="B43" s="140"/>
    </row>
  </sheetData>
  <pageMargins left="0.7" right="0.7" top="0.75" bottom="0.75" header="0.3" footer="0.3"/>
  <pageSetup paperSize="8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25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L17" sqref="L1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90" t="s">
        <v>165</v>
      </c>
      <c r="C2" s="19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90"/>
      <c r="C3" s="19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7" t="s">
        <v>1</v>
      </c>
      <c r="C5" s="187" t="s">
        <v>86</v>
      </c>
      <c r="D5" s="188" t="s">
        <v>36</v>
      </c>
      <c r="E5" s="188"/>
      <c r="F5" s="188"/>
      <c r="G5" s="189" t="s">
        <v>37</v>
      </c>
      <c r="H5" s="189"/>
      <c r="I5" s="187" t="s">
        <v>54</v>
      </c>
      <c r="J5" s="191" t="s">
        <v>80</v>
      </c>
      <c r="K5" s="31"/>
      <c r="L5" s="187" t="s">
        <v>47</v>
      </c>
      <c r="M5" s="187" t="s">
        <v>87</v>
      </c>
      <c r="N5" s="187"/>
    </row>
    <row r="6" spans="2:15" ht="15" customHeight="1" x14ac:dyDescent="0.3">
      <c r="B6" s="187"/>
      <c r="C6" s="187"/>
      <c r="D6" s="39" t="s">
        <v>26</v>
      </c>
      <c r="E6" s="40" t="s">
        <v>31</v>
      </c>
      <c r="F6" s="187" t="s">
        <v>28</v>
      </c>
      <c r="G6" s="39" t="s">
        <v>27</v>
      </c>
      <c r="H6" s="187" t="s">
        <v>28</v>
      </c>
      <c r="I6" s="187"/>
      <c r="J6" s="191"/>
      <c r="K6" s="31"/>
      <c r="L6" s="187"/>
      <c r="M6" s="187"/>
      <c r="N6" s="187"/>
    </row>
    <row r="7" spans="2:15" ht="15" customHeight="1" x14ac:dyDescent="0.3">
      <c r="B7" s="187"/>
      <c r="C7" s="187"/>
      <c r="D7" s="39" t="s">
        <v>29</v>
      </c>
      <c r="E7" s="40" t="s">
        <v>30</v>
      </c>
      <c r="F7" s="187"/>
      <c r="G7" s="39" t="s">
        <v>32</v>
      </c>
      <c r="H7" s="187"/>
      <c r="I7" s="39" t="s">
        <v>33</v>
      </c>
      <c r="J7" s="191"/>
      <c r="K7" s="31"/>
      <c r="L7" s="187"/>
      <c r="M7" s="187"/>
      <c r="N7" s="187"/>
    </row>
    <row r="8" spans="2:15" x14ac:dyDescent="0.3">
      <c r="B8" s="41">
        <v>1</v>
      </c>
      <c r="C8" s="41" t="s">
        <v>240</v>
      </c>
      <c r="D8" s="42">
        <v>70</v>
      </c>
      <c r="E8" s="62">
        <f>IF(O8="K",VLOOKUP(M8,Table2[[#All],[UNIT]:[Column7]],10,FALSE),0)</f>
        <v>950000</v>
      </c>
      <c r="F8" s="43">
        <f>D8*E8</f>
        <v>66500000</v>
      </c>
      <c r="G8" s="42">
        <v>2363.4210526315792</v>
      </c>
      <c r="H8" s="44">
        <f t="shared" ref="H8:H16" si="0">G8*$C$23</f>
        <v>0</v>
      </c>
      <c r="I8" s="42">
        <f t="shared" ref="I8:I20" si="1">IFERROR(G8/D8,0)</f>
        <v>33.763157894736842</v>
      </c>
      <c r="J8" s="45">
        <f>F8+H8</f>
        <v>66500000</v>
      </c>
      <c r="K8" s="36"/>
      <c r="L8" s="41" t="s">
        <v>357</v>
      </c>
      <c r="M8" s="41" t="str">
        <f>VLOOKUP(N8,'list rate unit'!O:P,2,FALSE)</f>
        <v>PC 400 LC SE-8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266</v>
      </c>
      <c r="D9" s="42">
        <v>105</v>
      </c>
      <c r="E9" s="62">
        <f>IF(O9="K",VLOOKUP(M9,Table2[[#All],[UNIT]:[Column7]],10,FALSE),0)</f>
        <v>950000</v>
      </c>
      <c r="F9" s="43">
        <f t="shared" ref="F9:F16" si="2">D9*E9</f>
        <v>99750000</v>
      </c>
      <c r="G9" s="42">
        <v>3547.090909090909</v>
      </c>
      <c r="H9" s="44">
        <f t="shared" si="0"/>
        <v>0</v>
      </c>
      <c r="I9" s="42">
        <f t="shared" ref="I9:I16" si="3">IFERROR(G9/D9,0)</f>
        <v>33.781818181818181</v>
      </c>
      <c r="J9" s="45">
        <f t="shared" ref="J9:J16" si="4">F9+H9</f>
        <v>99750000</v>
      </c>
      <c r="K9" s="36"/>
      <c r="L9" s="41" t="s">
        <v>357</v>
      </c>
      <c r="M9" s="41" t="str">
        <f>VLOOKUP(N9,'list rate unit'!O:P,2,FALSE)</f>
        <v>PC 400 LC SE-8</v>
      </c>
      <c r="N9" s="41" t="str">
        <f t="shared" ref="N9:N16" si="5">C9</f>
        <v>KOMATSU PC 400 - 03</v>
      </c>
      <c r="O9" s="15" t="s">
        <v>56</v>
      </c>
    </row>
    <row r="10" spans="2:15" x14ac:dyDescent="0.3">
      <c r="B10" s="41">
        <v>3</v>
      </c>
      <c r="C10" s="41" t="s">
        <v>245</v>
      </c>
      <c r="D10" s="42">
        <v>100</v>
      </c>
      <c r="E10" s="62">
        <f>IF(O10="K",VLOOKUP(M10,Table2[[#All],[UNIT]:[Column7]],10,FALSE),0)</f>
        <v>1424304.3667884208</v>
      </c>
      <c r="F10" s="43">
        <f t="shared" si="2"/>
        <v>142430436.67884207</v>
      </c>
      <c r="G10" s="42">
        <v>1542.5806451612902</v>
      </c>
      <c r="H10" s="44">
        <f t="shared" si="0"/>
        <v>0</v>
      </c>
      <c r="I10" s="42">
        <f t="shared" si="3"/>
        <v>15.425806451612903</v>
      </c>
      <c r="J10" s="45">
        <f t="shared" si="4"/>
        <v>142430436.67884207</v>
      </c>
      <c r="K10" s="36"/>
      <c r="L10" s="41" t="s">
        <v>357</v>
      </c>
      <c r="M10" s="41" t="str">
        <f>VLOOKUP(N10,'list rate unit'!O:P,2,FALSE)</f>
        <v>HM 400-3R</v>
      </c>
      <c r="N10" s="41" t="str">
        <f t="shared" si="5"/>
        <v>KOMATSU HM 400 - 06</v>
      </c>
      <c r="O10" s="15" t="s">
        <v>56</v>
      </c>
    </row>
    <row r="11" spans="2:15" x14ac:dyDescent="0.3">
      <c r="B11" s="41">
        <v>4</v>
      </c>
      <c r="C11" s="41" t="s">
        <v>246</v>
      </c>
      <c r="D11" s="42">
        <v>68</v>
      </c>
      <c r="E11" s="62">
        <f>IF(O11="K",VLOOKUP(M11,Table2[[#All],[UNIT]:[Column7]],10,FALSE),0)</f>
        <v>1424304.3667884208</v>
      </c>
      <c r="F11" s="43">
        <f t="shared" ref="F11:F12" si="6">D11*E11</f>
        <v>96852696.941612616</v>
      </c>
      <c r="G11" s="42">
        <v>965.77215189873414</v>
      </c>
      <c r="H11" s="44">
        <f t="shared" si="0"/>
        <v>0</v>
      </c>
      <c r="I11" s="42">
        <f t="shared" ref="I11:I12" si="7">IFERROR(G11/D11,0)</f>
        <v>14.20253164556962</v>
      </c>
      <c r="J11" s="45">
        <f t="shared" ref="J11:J12" si="8">F11+H11</f>
        <v>96852696.941612616</v>
      </c>
      <c r="K11" s="36"/>
      <c r="L11" s="41" t="s">
        <v>357</v>
      </c>
      <c r="M11" s="41" t="str">
        <f>VLOOKUP(N11,'list rate unit'!O:P,2,FALSE)</f>
        <v>HM 400-3R</v>
      </c>
      <c r="N11" s="41" t="str">
        <f t="shared" ref="N11:N12" si="9">C11</f>
        <v>KOMATSU HM 400 - 07</v>
      </c>
      <c r="O11" s="15" t="s">
        <v>56</v>
      </c>
    </row>
    <row r="12" spans="2:15" x14ac:dyDescent="0.3">
      <c r="B12" s="41">
        <v>5</v>
      </c>
      <c r="C12" s="41" t="s">
        <v>247</v>
      </c>
      <c r="D12" s="42">
        <v>116</v>
      </c>
      <c r="E12" s="62">
        <f>IF(O12="K",VLOOKUP(M12,Table2[[#All],[UNIT]:[Column7]],10,FALSE),0)</f>
        <v>1424304.3667884208</v>
      </c>
      <c r="F12" s="43">
        <f t="shared" si="6"/>
        <v>165219306.5474568</v>
      </c>
      <c r="G12" s="42">
        <v>2014.3492063492063</v>
      </c>
      <c r="H12" s="44">
        <f t="shared" si="0"/>
        <v>0</v>
      </c>
      <c r="I12" s="42">
        <f t="shared" si="7"/>
        <v>17.365079365079364</v>
      </c>
      <c r="J12" s="45">
        <f t="shared" si="8"/>
        <v>165219306.5474568</v>
      </c>
      <c r="K12" s="36"/>
      <c r="L12" s="41" t="s">
        <v>357</v>
      </c>
      <c r="M12" s="41" t="str">
        <f>VLOOKUP(N12,'list rate unit'!O:P,2,FALSE)</f>
        <v>HM 400-3R</v>
      </c>
      <c r="N12" s="41" t="str">
        <f t="shared" si="9"/>
        <v>KOMATSU HM 400 - 08</v>
      </c>
      <c r="O12" s="15" t="s">
        <v>56</v>
      </c>
    </row>
    <row r="13" spans="2:15" x14ac:dyDescent="0.3">
      <c r="B13" s="41">
        <v>6</v>
      </c>
      <c r="C13" s="41" t="s">
        <v>200</v>
      </c>
      <c r="D13" s="42">
        <v>123</v>
      </c>
      <c r="E13" s="62">
        <f>IF(O13="K",VLOOKUP(M13,Table2[[#All],[UNIT]:[Column7]],10,FALSE),0)</f>
        <v>1424304.3667884208</v>
      </c>
      <c r="F13" s="43">
        <f t="shared" si="2"/>
        <v>175189437.11497575</v>
      </c>
      <c r="G13" s="42">
        <v>1935.6788321167885</v>
      </c>
      <c r="H13" s="44">
        <f t="shared" si="0"/>
        <v>0</v>
      </c>
      <c r="I13" s="42">
        <f t="shared" si="3"/>
        <v>15.737226277372264</v>
      </c>
      <c r="J13" s="45">
        <f t="shared" si="4"/>
        <v>175189437.11497575</v>
      </c>
      <c r="K13" s="36"/>
      <c r="L13" s="41" t="s">
        <v>357</v>
      </c>
      <c r="M13" s="41" t="str">
        <f>VLOOKUP(N13,'list rate unit'!O:P,2,FALSE)</f>
        <v>HM 400-3R</v>
      </c>
      <c r="N13" s="41" t="str">
        <f t="shared" si="5"/>
        <v>KOMATSU HM 400 - 09</v>
      </c>
      <c r="O13" s="15" t="s">
        <v>56</v>
      </c>
    </row>
    <row r="14" spans="2:15" x14ac:dyDescent="0.3">
      <c r="B14" s="41">
        <v>7</v>
      </c>
      <c r="C14" s="41" t="s">
        <v>201</v>
      </c>
      <c r="D14" s="42">
        <v>117</v>
      </c>
      <c r="E14" s="62">
        <f>IF(O14="K",VLOOKUP(M14,Table2[[#All],[UNIT]:[Column7]],10,FALSE),0)</f>
        <v>1424304.3667884208</v>
      </c>
      <c r="F14" s="43">
        <f t="shared" si="2"/>
        <v>166643610.91424525</v>
      </c>
      <c r="G14" s="42">
        <v>1743.1171875</v>
      </c>
      <c r="H14" s="44">
        <f t="shared" si="0"/>
        <v>0</v>
      </c>
      <c r="I14" s="42">
        <f t="shared" si="3"/>
        <v>14.8984375</v>
      </c>
      <c r="J14" s="45">
        <f t="shared" si="4"/>
        <v>166643610.91424525</v>
      </c>
      <c r="K14" s="36"/>
      <c r="L14" s="41" t="s">
        <v>357</v>
      </c>
      <c r="M14" s="41" t="str">
        <f>VLOOKUP(N14,'list rate unit'!O:P,2,FALSE)</f>
        <v>HM 400-3R</v>
      </c>
      <c r="N14" s="41" t="str">
        <f t="shared" si="5"/>
        <v>KOMATSU HM 400 - 10</v>
      </c>
      <c r="O14" s="15" t="s">
        <v>56</v>
      </c>
    </row>
    <row r="15" spans="2:15" x14ac:dyDescent="0.3">
      <c r="B15" s="41">
        <v>8</v>
      </c>
      <c r="C15" s="41" t="s">
        <v>249</v>
      </c>
      <c r="D15" s="42">
        <v>136</v>
      </c>
      <c r="E15" s="62">
        <f>IF(O15="K",VLOOKUP(M15,Table2[[#All],[UNIT]:[Column7]],10,FALSE),0)</f>
        <v>425000</v>
      </c>
      <c r="F15" s="43">
        <f t="shared" si="2"/>
        <v>57800000</v>
      </c>
      <c r="G15" s="42">
        <v>2614.5798816568044</v>
      </c>
      <c r="H15" s="44">
        <f t="shared" si="0"/>
        <v>0</v>
      </c>
      <c r="I15" s="42">
        <f t="shared" si="3"/>
        <v>19.224852071005916</v>
      </c>
      <c r="J15" s="45">
        <f t="shared" si="4"/>
        <v>57800000</v>
      </c>
      <c r="K15" s="36"/>
      <c r="L15" s="41" t="s">
        <v>357</v>
      </c>
      <c r="M15" s="41" t="str">
        <f>VLOOKUP(N15,'list rate unit'!O:P,2,FALSE)</f>
        <v>D 65 P-12</v>
      </c>
      <c r="N15" s="41" t="str">
        <f t="shared" si="5"/>
        <v>KOMATSU DOZER D65 - 11</v>
      </c>
      <c r="O15" s="15" t="s">
        <v>56</v>
      </c>
    </row>
    <row r="16" spans="2:15" x14ac:dyDescent="0.3">
      <c r="B16" s="41">
        <v>9</v>
      </c>
      <c r="C16" s="41" t="s">
        <v>214</v>
      </c>
      <c r="D16" s="42">
        <v>97</v>
      </c>
      <c r="E16" s="62">
        <f>IF(O16="K",VLOOKUP(M16,Table2[[#All],[UNIT]:[Column7]],10,FALSE),0)</f>
        <v>425000</v>
      </c>
      <c r="F16" s="43">
        <f t="shared" si="2"/>
        <v>41225000</v>
      </c>
      <c r="G16" s="42">
        <v>1688.0895522388059</v>
      </c>
      <c r="H16" s="44">
        <f t="shared" si="0"/>
        <v>0</v>
      </c>
      <c r="I16" s="42">
        <f t="shared" si="3"/>
        <v>17.402985074626866</v>
      </c>
      <c r="J16" s="45">
        <f t="shared" si="4"/>
        <v>41225000</v>
      </c>
      <c r="K16" s="36"/>
      <c r="L16" s="41" t="s">
        <v>357</v>
      </c>
      <c r="M16" s="41" t="str">
        <f>VLOOKUP(N16,'list rate unit'!O:P,2,FALSE)</f>
        <v>D 65 P-12</v>
      </c>
      <c r="N16" s="41" t="str">
        <f t="shared" si="5"/>
        <v>KOMATSU DOZER D65 - 12</v>
      </c>
      <c r="O16" s="15" t="s">
        <v>56</v>
      </c>
    </row>
    <row r="17" spans="2:15" x14ac:dyDescent="0.3">
      <c r="B17" s="41">
        <v>10</v>
      </c>
      <c r="C17" s="41" t="s">
        <v>263</v>
      </c>
      <c r="D17" s="42">
        <v>181</v>
      </c>
      <c r="E17" s="62">
        <f>IF(O17="K",VLOOKUP(M17,Table2[[#All],[UNIT]:[Column7]],10,FALSE),0)</f>
        <v>425000</v>
      </c>
      <c r="F17" s="43">
        <f t="shared" ref="F17:F18" si="10">D17*E17</f>
        <v>76925000</v>
      </c>
      <c r="G17" s="42">
        <v>3199.2712765957449</v>
      </c>
      <c r="H17" s="44">
        <f t="shared" ref="H17:H18" si="11">G17*$C$23</f>
        <v>0</v>
      </c>
      <c r="I17" s="42">
        <f t="shared" ref="I17:I18" si="12">IFERROR(G17/D17,0)</f>
        <v>17.675531914893618</v>
      </c>
      <c r="J17" s="45">
        <f t="shared" ref="J17:J18" si="13">F17+H17</f>
        <v>76925000</v>
      </c>
      <c r="K17" s="36"/>
      <c r="L17" s="41" t="s">
        <v>357</v>
      </c>
      <c r="M17" s="41" t="str">
        <f>VLOOKUP(N17,'list rate unit'!O:P,2,FALSE)</f>
        <v>D 85 ESS-2</v>
      </c>
      <c r="N17" s="41" t="str">
        <f t="shared" ref="N17:N18" si="14">C17</f>
        <v>KOMATSU DOZER D85SS - 11</v>
      </c>
      <c r="O17" s="15" t="s">
        <v>56</v>
      </c>
    </row>
    <row r="18" spans="2:15" x14ac:dyDescent="0.3">
      <c r="B18" s="41">
        <v>11</v>
      </c>
      <c r="C18" s="41" t="s">
        <v>326</v>
      </c>
      <c r="D18" s="42">
        <v>91</v>
      </c>
      <c r="E18" s="62">
        <f>IF(O18="K",VLOOKUP(M18,Table2[[#All],[UNIT]:[Column7]],10,FALSE),0)</f>
        <v>220000</v>
      </c>
      <c r="F18" s="43">
        <f t="shared" si="10"/>
        <v>20020000</v>
      </c>
      <c r="G18" s="42">
        <v>463.85840707964599</v>
      </c>
      <c r="H18" s="44">
        <f t="shared" si="11"/>
        <v>0</v>
      </c>
      <c r="I18" s="42">
        <f t="shared" si="12"/>
        <v>5.0973451327433628</v>
      </c>
      <c r="J18" s="45">
        <f t="shared" si="13"/>
        <v>20020000</v>
      </c>
      <c r="K18" s="36"/>
      <c r="L18" s="41" t="s">
        <v>357</v>
      </c>
      <c r="M18" s="41" t="str">
        <f>VLOOKUP(N18,'list rate unit'!O:P,2,FALSE)</f>
        <v>SV 525 D</v>
      </c>
      <c r="N18" s="41" t="str">
        <f t="shared" si="14"/>
        <v>SAKAI - 01</v>
      </c>
      <c r="O18" s="15" t="s">
        <v>56</v>
      </c>
    </row>
    <row r="19" spans="2:15" x14ac:dyDescent="0.3">
      <c r="D19" s="18"/>
      <c r="F19" s="32"/>
      <c r="G19" s="18"/>
      <c r="H19" s="30"/>
      <c r="I19" s="18"/>
      <c r="J19" s="33"/>
      <c r="K19" s="18"/>
    </row>
    <row r="20" spans="2:15" s="1" customFormat="1" ht="15.75" customHeight="1" x14ac:dyDescent="0.3">
      <c r="B20" s="186" t="s">
        <v>21</v>
      </c>
      <c r="C20" s="186"/>
      <c r="D20" s="46">
        <f>SUM(D8:D19)</f>
        <v>1204</v>
      </c>
      <c r="E20" s="63">
        <f>AVERAGE(E8:E19)</f>
        <v>956047.43944928225</v>
      </c>
      <c r="F20" s="47">
        <f>SUM(F8:F19)</f>
        <v>1108555488.1971326</v>
      </c>
      <c r="G20" s="46">
        <f>SUM(G8:G19)</f>
        <v>22077.809102319508</v>
      </c>
      <c r="H20" s="47">
        <f>SUM(H8:H19)</f>
        <v>0</v>
      </c>
      <c r="I20" s="46">
        <f t="shared" si="1"/>
        <v>18.337050749434809</v>
      </c>
      <c r="J20" s="48">
        <f>SUM(J8:J19)</f>
        <v>1108555488.1971326</v>
      </c>
      <c r="K20" s="37"/>
    </row>
    <row r="22" spans="2:15" x14ac:dyDescent="0.3">
      <c r="B22" s="35" t="s">
        <v>34</v>
      </c>
      <c r="C22" s="29">
        <f>SUMMARY!J32</f>
        <v>14848</v>
      </c>
    </row>
    <row r="23" spans="2:15" x14ac:dyDescent="0.3">
      <c r="B23" s="35" t="s">
        <v>35</v>
      </c>
      <c r="C23" s="29">
        <f>SUMMARY!$J$13</f>
        <v>0</v>
      </c>
      <c r="F23" s="30"/>
      <c r="G23" s="18"/>
    </row>
    <row r="25" spans="2:15" x14ac:dyDescent="0.3">
      <c r="F25" s="18"/>
    </row>
  </sheetData>
  <autoFilter ref="B7:O20" xr:uid="{00000000-0009-0000-0000-000003000000}"/>
  <mergeCells count="13">
    <mergeCell ref="B2:C3"/>
    <mergeCell ref="M5:M7"/>
    <mergeCell ref="N5:N7"/>
    <mergeCell ref="I5:I6"/>
    <mergeCell ref="L5:L7"/>
    <mergeCell ref="J5:J7"/>
    <mergeCell ref="B20:C20"/>
    <mergeCell ref="C5:C7"/>
    <mergeCell ref="B5:B7"/>
    <mergeCell ref="D5:F5"/>
    <mergeCell ref="G5:H5"/>
    <mergeCell ref="F6:F7"/>
    <mergeCell ref="H6:H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22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2" sqref="H1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90" t="s">
        <v>166</v>
      </c>
      <c r="C2" s="19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90"/>
      <c r="C3" s="19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7" t="s">
        <v>1</v>
      </c>
      <c r="C5" s="187" t="s">
        <v>86</v>
      </c>
      <c r="D5" s="188" t="s">
        <v>36</v>
      </c>
      <c r="E5" s="188"/>
      <c r="F5" s="188"/>
      <c r="G5" s="189" t="s">
        <v>37</v>
      </c>
      <c r="H5" s="189"/>
      <c r="I5" s="187" t="s">
        <v>54</v>
      </c>
      <c r="J5" s="191" t="s">
        <v>80</v>
      </c>
      <c r="K5" s="31"/>
      <c r="L5" s="187" t="s">
        <v>47</v>
      </c>
      <c r="M5" s="187" t="s">
        <v>87</v>
      </c>
      <c r="N5" s="187"/>
    </row>
    <row r="6" spans="2:15" ht="15" customHeight="1" x14ac:dyDescent="0.3">
      <c r="B6" s="187"/>
      <c r="C6" s="187"/>
      <c r="D6" s="39" t="s">
        <v>26</v>
      </c>
      <c r="E6" s="40" t="s">
        <v>31</v>
      </c>
      <c r="F6" s="187" t="s">
        <v>28</v>
      </c>
      <c r="G6" s="39" t="s">
        <v>27</v>
      </c>
      <c r="H6" s="187" t="s">
        <v>28</v>
      </c>
      <c r="I6" s="187"/>
      <c r="J6" s="191"/>
      <c r="K6" s="31"/>
      <c r="L6" s="187"/>
      <c r="M6" s="187"/>
      <c r="N6" s="187"/>
    </row>
    <row r="7" spans="2:15" ht="15" customHeight="1" x14ac:dyDescent="0.3">
      <c r="B7" s="187"/>
      <c r="C7" s="187"/>
      <c r="D7" s="39" t="s">
        <v>29</v>
      </c>
      <c r="E7" s="40" t="s">
        <v>30</v>
      </c>
      <c r="F7" s="187"/>
      <c r="G7" s="39" t="s">
        <v>32</v>
      </c>
      <c r="H7" s="187"/>
      <c r="I7" s="39" t="s">
        <v>33</v>
      </c>
      <c r="J7" s="191"/>
      <c r="K7" s="31"/>
      <c r="L7" s="187"/>
      <c r="M7" s="187"/>
      <c r="N7" s="187"/>
    </row>
    <row r="8" spans="2:15" x14ac:dyDescent="0.3">
      <c r="B8" s="41">
        <v>1</v>
      </c>
      <c r="C8" s="41" t="s">
        <v>240</v>
      </c>
      <c r="D8" s="42">
        <v>44</v>
      </c>
      <c r="E8" s="62">
        <f>IF(O8="K",VLOOKUP(M8,Table2[[#All],[UNIT]:[Column7]],10,FALSE),0)</f>
        <v>1000000</v>
      </c>
      <c r="F8" s="43">
        <f>D8*E8</f>
        <v>44000000</v>
      </c>
      <c r="G8" s="42">
        <v>1485.578947368421</v>
      </c>
      <c r="H8" s="44">
        <f t="shared" ref="H8:H15" si="0">G8*$C$20</f>
        <v>0</v>
      </c>
      <c r="I8" s="42">
        <f t="shared" ref="I8:I14" si="1">IFERROR(G8/D8,0)</f>
        <v>33.763157894736842</v>
      </c>
      <c r="J8" s="45">
        <f>F8+H8</f>
        <v>44000000</v>
      </c>
      <c r="K8" s="36"/>
      <c r="L8" s="41" t="s">
        <v>357</v>
      </c>
      <c r="M8" s="41" t="s">
        <v>148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266</v>
      </c>
      <c r="D9" s="42">
        <v>5</v>
      </c>
      <c r="E9" s="62">
        <f>IF(O9="K",VLOOKUP(M9,Table2[[#All],[UNIT]:[Column7]],10,FALSE),0)</f>
        <v>1000000</v>
      </c>
      <c r="F9" s="43">
        <f t="shared" ref="F9:F14" si="2">D9*E9</f>
        <v>5000000</v>
      </c>
      <c r="G9" s="42">
        <v>168.90909090909091</v>
      </c>
      <c r="H9" s="44">
        <f t="shared" si="0"/>
        <v>0</v>
      </c>
      <c r="I9" s="42">
        <f t="shared" si="1"/>
        <v>33.781818181818181</v>
      </c>
      <c r="J9" s="45">
        <f t="shared" ref="J9:J14" si="3">F9+H9</f>
        <v>5000000</v>
      </c>
      <c r="K9" s="36"/>
      <c r="L9" s="41" t="s">
        <v>357</v>
      </c>
      <c r="M9" s="41" t="s">
        <v>148</v>
      </c>
      <c r="N9" s="41" t="str">
        <f t="shared" ref="N9:N14" si="4">C9</f>
        <v>KOMATSU PC 400 - 03</v>
      </c>
      <c r="O9" s="15" t="s">
        <v>56</v>
      </c>
    </row>
    <row r="10" spans="2:15" x14ac:dyDescent="0.3">
      <c r="B10" s="41">
        <v>3</v>
      </c>
      <c r="C10" s="41" t="s">
        <v>267</v>
      </c>
      <c r="D10" s="42">
        <v>8</v>
      </c>
      <c r="E10" s="62">
        <f>IF(O10="K",VLOOKUP(M10,Table2[[#All],[UNIT]:[Column7]],10,FALSE),0)</f>
        <v>1000000</v>
      </c>
      <c r="F10" s="43">
        <f t="shared" ref="F10:F11" si="5">D10*E10</f>
        <v>8000000</v>
      </c>
      <c r="G10" s="42">
        <v>197.77606177606177</v>
      </c>
      <c r="H10" s="44">
        <f t="shared" si="0"/>
        <v>0</v>
      </c>
      <c r="I10" s="42">
        <f t="shared" ref="I10:I11" si="6">IFERROR(G10/D10,0)</f>
        <v>24.722007722007721</v>
      </c>
      <c r="J10" s="45">
        <f t="shared" ref="J10:J11" si="7">F10+H10</f>
        <v>8000000</v>
      </c>
      <c r="K10" s="36"/>
      <c r="L10" s="41" t="s">
        <v>357</v>
      </c>
      <c r="M10" s="41" t="s">
        <v>148</v>
      </c>
      <c r="N10" s="41" t="str">
        <f t="shared" ref="N10:N11" si="8">C10</f>
        <v>KOMATSU PC 300 - 17</v>
      </c>
      <c r="O10" s="15" t="s">
        <v>56</v>
      </c>
    </row>
    <row r="11" spans="2:15" x14ac:dyDescent="0.3">
      <c r="B11" s="41">
        <v>4</v>
      </c>
      <c r="C11" s="41" t="s">
        <v>245</v>
      </c>
      <c r="D11" s="42">
        <v>55</v>
      </c>
      <c r="E11" s="62">
        <f>IF(O11="K",VLOOKUP(M11,Table2[[#All],[UNIT]:[Column7]],10,FALSE),0)</f>
        <v>1000000</v>
      </c>
      <c r="F11" s="43">
        <f t="shared" si="5"/>
        <v>55000000</v>
      </c>
      <c r="G11" s="42">
        <v>848.41935483870964</v>
      </c>
      <c r="H11" s="44">
        <f t="shared" si="0"/>
        <v>0</v>
      </c>
      <c r="I11" s="42">
        <f t="shared" si="6"/>
        <v>15.425806451612903</v>
      </c>
      <c r="J11" s="45">
        <f t="shared" si="7"/>
        <v>55000000</v>
      </c>
      <c r="K11" s="36"/>
      <c r="L11" s="41" t="s">
        <v>357</v>
      </c>
      <c r="M11" s="41" t="s">
        <v>148</v>
      </c>
      <c r="N11" s="41" t="str">
        <f t="shared" si="8"/>
        <v>KOMATSU HM 400 - 06</v>
      </c>
      <c r="O11" s="15" t="s">
        <v>56</v>
      </c>
    </row>
    <row r="12" spans="2:15" x14ac:dyDescent="0.3">
      <c r="B12" s="41">
        <v>5</v>
      </c>
      <c r="C12" s="41" t="s">
        <v>246</v>
      </c>
      <c r="D12" s="42">
        <v>11</v>
      </c>
      <c r="E12" s="62">
        <f>IF(O12="K",VLOOKUP(M12,Table2[[#All],[UNIT]:[Column7]],10,FALSE),0)</f>
        <v>1000000</v>
      </c>
      <c r="F12" s="43">
        <f t="shared" si="2"/>
        <v>11000000</v>
      </c>
      <c r="G12" s="42">
        <v>156.22784810126581</v>
      </c>
      <c r="H12" s="44">
        <f t="shared" si="0"/>
        <v>0</v>
      </c>
      <c r="I12" s="42">
        <f t="shared" si="1"/>
        <v>14.20253164556962</v>
      </c>
      <c r="J12" s="45">
        <f t="shared" si="3"/>
        <v>11000000</v>
      </c>
      <c r="K12" s="36"/>
      <c r="L12" s="41" t="s">
        <v>357</v>
      </c>
      <c r="M12" s="41" t="s">
        <v>148</v>
      </c>
      <c r="N12" s="41" t="str">
        <f t="shared" si="4"/>
        <v>KOMATSU HM 400 - 07</v>
      </c>
      <c r="O12" s="15" t="s">
        <v>56</v>
      </c>
    </row>
    <row r="13" spans="2:15" x14ac:dyDescent="0.3">
      <c r="B13" s="41">
        <v>6</v>
      </c>
      <c r="C13" s="41" t="s">
        <v>247</v>
      </c>
      <c r="D13" s="42">
        <v>10</v>
      </c>
      <c r="E13" s="62">
        <f>IF(O13="K",VLOOKUP(M13,Table2[[#All],[UNIT]:[Column7]],10,FALSE),0)</f>
        <v>1000000</v>
      </c>
      <c r="F13" s="43">
        <f t="shared" si="2"/>
        <v>10000000</v>
      </c>
      <c r="G13" s="42">
        <v>173.65079365079364</v>
      </c>
      <c r="H13" s="44">
        <f t="shared" si="0"/>
        <v>0</v>
      </c>
      <c r="I13" s="42">
        <f t="shared" si="1"/>
        <v>17.365079365079364</v>
      </c>
      <c r="J13" s="45">
        <f t="shared" si="3"/>
        <v>10000000</v>
      </c>
      <c r="K13" s="36"/>
      <c r="L13" s="41" t="s">
        <v>357</v>
      </c>
      <c r="M13" s="41" t="s">
        <v>148</v>
      </c>
      <c r="N13" s="41" t="str">
        <f t="shared" si="4"/>
        <v>KOMATSU HM 400 - 08</v>
      </c>
      <c r="O13" s="15" t="s">
        <v>56</v>
      </c>
    </row>
    <row r="14" spans="2:15" x14ac:dyDescent="0.3">
      <c r="B14" s="41">
        <v>7</v>
      </c>
      <c r="C14" s="41" t="s">
        <v>200</v>
      </c>
      <c r="D14" s="42">
        <v>14</v>
      </c>
      <c r="E14" s="62">
        <f>IF(O14="K",VLOOKUP(M14,Table2[[#All],[UNIT]:[Column7]],10,FALSE),0)</f>
        <v>950000</v>
      </c>
      <c r="F14" s="43">
        <f t="shared" si="2"/>
        <v>13300000</v>
      </c>
      <c r="G14" s="42">
        <v>220.3211678832117</v>
      </c>
      <c r="H14" s="44">
        <f t="shared" si="0"/>
        <v>0</v>
      </c>
      <c r="I14" s="42">
        <f t="shared" si="1"/>
        <v>15.737226277372264</v>
      </c>
      <c r="J14" s="45">
        <f t="shared" si="3"/>
        <v>13300000</v>
      </c>
      <c r="K14" s="36"/>
      <c r="L14" s="41" t="s">
        <v>357</v>
      </c>
      <c r="M14" s="41" t="s">
        <v>111</v>
      </c>
      <c r="N14" s="41" t="str">
        <f t="shared" si="4"/>
        <v>KOMATSU HM 400 - 09</v>
      </c>
      <c r="O14" s="15" t="s">
        <v>56</v>
      </c>
    </row>
    <row r="15" spans="2:15" x14ac:dyDescent="0.3">
      <c r="B15" s="41">
        <v>8</v>
      </c>
      <c r="C15" s="41" t="s">
        <v>201</v>
      </c>
      <c r="D15" s="42">
        <v>11</v>
      </c>
      <c r="E15" s="62">
        <f>IF(O15="K",VLOOKUP(M15,Table2[[#All],[UNIT]:[Column7]],10,FALSE),0)</f>
        <v>950000</v>
      </c>
      <c r="F15" s="43">
        <f t="shared" ref="F15" si="9">D15*E15</f>
        <v>10450000</v>
      </c>
      <c r="G15" s="42">
        <v>163.8828125</v>
      </c>
      <c r="H15" s="44">
        <f t="shared" si="0"/>
        <v>0</v>
      </c>
      <c r="I15" s="42">
        <f t="shared" ref="I15" si="10">IFERROR(G15/D15,0)</f>
        <v>14.8984375</v>
      </c>
      <c r="J15" s="45">
        <f t="shared" ref="J15" si="11">F15+H15</f>
        <v>10450000</v>
      </c>
      <c r="K15" s="36"/>
      <c r="L15" s="41" t="s">
        <v>357</v>
      </c>
      <c r="M15" s="41" t="s">
        <v>111</v>
      </c>
      <c r="N15" s="41" t="str">
        <f t="shared" ref="N15" si="12">C15</f>
        <v>KOMATSU HM 400 - 10</v>
      </c>
      <c r="O15" s="15" t="s">
        <v>56</v>
      </c>
    </row>
    <row r="16" spans="2:15" x14ac:dyDescent="0.3">
      <c r="D16" s="18"/>
      <c r="F16" s="32"/>
      <c r="G16" s="18"/>
      <c r="H16" s="30"/>
      <c r="I16" s="18"/>
      <c r="J16" s="33"/>
      <c r="K16" s="18"/>
    </row>
    <row r="17" spans="2:11" s="1" customFormat="1" ht="15.75" customHeight="1" x14ac:dyDescent="0.3">
      <c r="B17" s="186" t="s">
        <v>21</v>
      </c>
      <c r="C17" s="186"/>
      <c r="D17" s="46">
        <f>SUM(D8:D16)</f>
        <v>158</v>
      </c>
      <c r="E17" s="63">
        <f>AVERAGE(E8:E16)</f>
        <v>987500</v>
      </c>
      <c r="F17" s="47">
        <f>SUM(F8:F16)</f>
        <v>156750000</v>
      </c>
      <c r="G17" s="46">
        <f>SUM(G8:G16)</f>
        <v>3414.7660770275547</v>
      </c>
      <c r="H17" s="47">
        <f>SUM(H8:H16)</f>
        <v>0</v>
      </c>
      <c r="I17" s="46">
        <f t="shared" ref="I17" si="13">IFERROR(G17/D17,0)</f>
        <v>21.612443525490853</v>
      </c>
      <c r="J17" s="48">
        <f>SUM(J8:J16)</f>
        <v>156750000</v>
      </c>
      <c r="K17" s="37"/>
    </row>
    <row r="19" spans="2:11" x14ac:dyDescent="0.3">
      <c r="B19" s="35" t="s">
        <v>34</v>
      </c>
      <c r="C19" s="29">
        <f>SUMMARY!J32</f>
        <v>14848</v>
      </c>
    </row>
    <row r="20" spans="2:11" x14ac:dyDescent="0.3">
      <c r="B20" s="35" t="s">
        <v>35</v>
      </c>
      <c r="C20" s="29">
        <f>SUMMARY!$J$13</f>
        <v>0</v>
      </c>
      <c r="F20" s="30"/>
      <c r="G20" s="18"/>
    </row>
    <row r="22" spans="2:11" x14ac:dyDescent="0.3">
      <c r="F22" s="18"/>
    </row>
  </sheetData>
  <autoFilter ref="B7:O14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7:C17"/>
    <mergeCell ref="G5:H5"/>
    <mergeCell ref="J5:J7"/>
    <mergeCell ref="L5:L7"/>
    <mergeCell ref="M5:M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15" sqref="C1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90" t="s">
        <v>282</v>
      </c>
      <c r="C2" s="19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90"/>
      <c r="C3" s="19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7" t="s">
        <v>1</v>
      </c>
      <c r="C5" s="187" t="s">
        <v>86</v>
      </c>
      <c r="D5" s="188" t="s">
        <v>36</v>
      </c>
      <c r="E5" s="188"/>
      <c r="F5" s="188"/>
      <c r="G5" s="189" t="s">
        <v>37</v>
      </c>
      <c r="H5" s="189"/>
      <c r="I5" s="187" t="s">
        <v>54</v>
      </c>
      <c r="J5" s="191" t="s">
        <v>80</v>
      </c>
      <c r="K5" s="31"/>
      <c r="L5" s="187" t="s">
        <v>47</v>
      </c>
      <c r="M5" s="187" t="s">
        <v>87</v>
      </c>
      <c r="N5" s="187"/>
    </row>
    <row r="6" spans="2:15" ht="15" customHeight="1" x14ac:dyDescent="0.3">
      <c r="B6" s="187"/>
      <c r="C6" s="187"/>
      <c r="D6" s="39" t="s">
        <v>26</v>
      </c>
      <c r="E6" s="40" t="s">
        <v>31</v>
      </c>
      <c r="F6" s="187" t="s">
        <v>28</v>
      </c>
      <c r="G6" s="39" t="s">
        <v>27</v>
      </c>
      <c r="H6" s="187" t="s">
        <v>28</v>
      </c>
      <c r="I6" s="187"/>
      <c r="J6" s="191"/>
      <c r="K6" s="31"/>
      <c r="L6" s="187"/>
      <c r="M6" s="187"/>
      <c r="N6" s="187"/>
    </row>
    <row r="7" spans="2:15" ht="15" customHeight="1" x14ac:dyDescent="0.3">
      <c r="B7" s="187"/>
      <c r="C7" s="187"/>
      <c r="D7" s="39" t="s">
        <v>29</v>
      </c>
      <c r="E7" s="40" t="s">
        <v>30</v>
      </c>
      <c r="F7" s="187"/>
      <c r="G7" s="39" t="s">
        <v>32</v>
      </c>
      <c r="H7" s="187"/>
      <c r="I7" s="39" t="s">
        <v>33</v>
      </c>
      <c r="J7" s="191"/>
      <c r="K7" s="31"/>
      <c r="L7" s="187"/>
      <c r="M7" s="187"/>
      <c r="N7" s="187"/>
    </row>
    <row r="8" spans="2:15" x14ac:dyDescent="0.3">
      <c r="B8" s="41">
        <v>1</v>
      </c>
      <c r="C8" s="41" t="s">
        <v>220</v>
      </c>
      <c r="D8" s="42"/>
      <c r="E8" s="62">
        <f>IF(O8="K",VLOOKUP(M8,Table2[[#All],[UNIT]:[Column7]],10,FALSE),0)</f>
        <v>350000</v>
      </c>
      <c r="F8" s="43">
        <f>D8*E8</f>
        <v>0</v>
      </c>
      <c r="G8" s="42"/>
      <c r="H8" s="44">
        <f>G8*$C$15</f>
        <v>0</v>
      </c>
      <c r="I8" s="42">
        <f t="shared" ref="I8:I10" si="0">IFERROR(G8/D8,0)</f>
        <v>0</v>
      </c>
      <c r="J8" s="45">
        <f>F8+H8</f>
        <v>0</v>
      </c>
      <c r="K8" s="36"/>
      <c r="L8" s="41" t="s">
        <v>252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3">
      <c r="B9" s="41">
        <v>2</v>
      </c>
      <c r="C9" s="41" t="s">
        <v>279</v>
      </c>
      <c r="D9" s="42"/>
      <c r="E9" s="62">
        <f>IF(O9="K",VLOOKUP(M9,Table2[[#All],[UNIT]:[Column7]],10,FALSE),0)</f>
        <v>220000</v>
      </c>
      <c r="F9" s="43">
        <f>D9*E9</f>
        <v>0</v>
      </c>
      <c r="G9" s="42"/>
      <c r="H9" s="44">
        <f>G9*$C$15</f>
        <v>0</v>
      </c>
      <c r="I9" s="42">
        <f t="shared" si="0"/>
        <v>0</v>
      </c>
      <c r="J9" s="45">
        <f>F9+H9</f>
        <v>0</v>
      </c>
      <c r="K9" s="36"/>
      <c r="L9" s="41" t="s">
        <v>252</v>
      </c>
      <c r="M9" s="41" t="str">
        <f>VLOOKUP(N9,'list rate unit'!O:P,2,FALSE)</f>
        <v>SV 525 D</v>
      </c>
      <c r="N9" s="41" t="str">
        <f>C9</f>
        <v>SAKAI - 03</v>
      </c>
      <c r="O9" s="15" t="s">
        <v>56</v>
      </c>
    </row>
    <row r="10" spans="2:15" x14ac:dyDescent="0.3">
      <c r="B10" s="41">
        <v>3</v>
      </c>
      <c r="C10" s="41" t="s">
        <v>221</v>
      </c>
      <c r="D10" s="42"/>
      <c r="E10" s="62">
        <f>IF(O10="K",VLOOKUP(M10,Table2[[#All],[UNIT]:[Column7]],10,FALSE),0)</f>
        <v>220000</v>
      </c>
      <c r="F10" s="43">
        <f t="shared" ref="F10" si="1">D10*E10</f>
        <v>0</v>
      </c>
      <c r="G10" s="42"/>
      <c r="H10" s="44">
        <f>G10*$C$15</f>
        <v>0</v>
      </c>
      <c r="I10" s="42">
        <f t="shared" si="0"/>
        <v>0</v>
      </c>
      <c r="J10" s="45">
        <f t="shared" ref="J10" si="2">F10+H10</f>
        <v>0</v>
      </c>
      <c r="K10" s="36"/>
      <c r="L10" s="41" t="s">
        <v>252</v>
      </c>
      <c r="M10" s="41" t="str">
        <f>VLOOKUP(N10,'list rate unit'!O:P,2,FALSE)</f>
        <v>SV 525 D</v>
      </c>
      <c r="N10" s="41" t="str">
        <f t="shared" ref="N10" si="3">C10</f>
        <v>SAKAI - 07</v>
      </c>
      <c r="O10" s="15" t="s">
        <v>56</v>
      </c>
    </row>
    <row r="11" spans="2:15" x14ac:dyDescent="0.3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3">
      <c r="B12" s="186" t="s">
        <v>21</v>
      </c>
      <c r="C12" s="186"/>
      <c r="D12" s="46">
        <f>SUM(D8:D10)</f>
        <v>0</v>
      </c>
      <c r="E12" s="63">
        <f>AVERAGE(E8:E10)</f>
        <v>263333.33333333331</v>
      </c>
      <c r="F12" s="47">
        <f>SUM(F8:F10)</f>
        <v>0</v>
      </c>
      <c r="G12" s="46">
        <f>SUM(G8:G10)</f>
        <v>0</v>
      </c>
      <c r="H12" s="47">
        <f>SUM(H8:H10)</f>
        <v>0</v>
      </c>
      <c r="I12" s="46">
        <f t="shared" ref="I12" si="4">IFERROR(G12/D12,0)</f>
        <v>0</v>
      </c>
      <c r="J12" s="48">
        <f>SUM(J8:J10)</f>
        <v>0</v>
      </c>
      <c r="K12" s="37"/>
    </row>
    <row r="14" spans="2:15" x14ac:dyDescent="0.3">
      <c r="B14" s="35" t="s">
        <v>34</v>
      </c>
      <c r="C14" s="29">
        <f>SUMMARY!J32</f>
        <v>14848</v>
      </c>
    </row>
    <row r="15" spans="2:15" x14ac:dyDescent="0.3">
      <c r="B15" s="35" t="s">
        <v>35</v>
      </c>
      <c r="C15" s="29">
        <f>SUMMARY!$J$13</f>
        <v>0</v>
      </c>
      <c r="F15" s="30"/>
      <c r="G15" s="18"/>
    </row>
    <row r="17" spans="6:6" x14ac:dyDescent="0.3">
      <c r="F17" s="18"/>
    </row>
  </sheetData>
  <autoFilter ref="B7:O10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2:C12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25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L16" sqref="L1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90" t="s">
        <v>167</v>
      </c>
      <c r="C2" s="19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90"/>
      <c r="C3" s="19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7" t="s">
        <v>1</v>
      </c>
      <c r="C5" s="187" t="s">
        <v>86</v>
      </c>
      <c r="D5" s="188" t="s">
        <v>36</v>
      </c>
      <c r="E5" s="188"/>
      <c r="F5" s="188"/>
      <c r="G5" s="189" t="s">
        <v>37</v>
      </c>
      <c r="H5" s="189"/>
      <c r="I5" s="187" t="s">
        <v>54</v>
      </c>
      <c r="J5" s="191" t="s">
        <v>80</v>
      </c>
      <c r="K5" s="31"/>
      <c r="L5" s="187" t="s">
        <v>47</v>
      </c>
      <c r="M5" s="187" t="s">
        <v>87</v>
      </c>
      <c r="N5" s="187"/>
    </row>
    <row r="6" spans="2:15" ht="15" customHeight="1" x14ac:dyDescent="0.3">
      <c r="B6" s="187"/>
      <c r="C6" s="187"/>
      <c r="D6" s="39" t="s">
        <v>26</v>
      </c>
      <c r="E6" s="40" t="s">
        <v>31</v>
      </c>
      <c r="F6" s="187" t="s">
        <v>28</v>
      </c>
      <c r="G6" s="39" t="s">
        <v>27</v>
      </c>
      <c r="H6" s="187" t="s">
        <v>28</v>
      </c>
      <c r="I6" s="187"/>
      <c r="J6" s="191"/>
      <c r="K6" s="31"/>
      <c r="L6" s="187"/>
      <c r="M6" s="187"/>
      <c r="N6" s="187"/>
    </row>
    <row r="7" spans="2:15" ht="15" customHeight="1" x14ac:dyDescent="0.3">
      <c r="B7" s="187"/>
      <c r="C7" s="187"/>
      <c r="D7" s="39" t="s">
        <v>29</v>
      </c>
      <c r="E7" s="40" t="s">
        <v>30</v>
      </c>
      <c r="F7" s="187"/>
      <c r="G7" s="39" t="s">
        <v>32</v>
      </c>
      <c r="H7" s="187"/>
      <c r="I7" s="39" t="s">
        <v>33</v>
      </c>
      <c r="J7" s="191"/>
      <c r="K7" s="31"/>
      <c r="L7" s="187"/>
      <c r="M7" s="187"/>
      <c r="N7" s="187"/>
    </row>
    <row r="8" spans="2:15" x14ac:dyDescent="0.3">
      <c r="B8" s="41">
        <v>1</v>
      </c>
      <c r="C8" s="41" t="s">
        <v>255</v>
      </c>
      <c r="D8" s="42">
        <v>245</v>
      </c>
      <c r="E8" s="62">
        <f>IF(O8="K",VLOOKUP(M8,Table2[[#All],[UNIT]:[Column7]],10,FALSE),0)</f>
        <v>400000</v>
      </c>
      <c r="F8" s="43">
        <f>D8*E8</f>
        <v>98000000</v>
      </c>
      <c r="G8" s="42">
        <v>6364</v>
      </c>
      <c r="H8" s="44">
        <f t="shared" ref="H8:H17" si="0">G8*$C$23</f>
        <v>0</v>
      </c>
      <c r="I8" s="42">
        <f t="shared" ref="I8:I14" si="1">IFERROR(G8/D8,0)</f>
        <v>25.975510204081633</v>
      </c>
      <c r="J8" s="45">
        <f>F8+H8</f>
        <v>98000000</v>
      </c>
      <c r="K8" s="36"/>
      <c r="L8" s="41" t="s">
        <v>357</v>
      </c>
      <c r="M8" s="41" t="str">
        <f>VLOOKUP(N8,'list rate unit'!O:P,2,FALSE)</f>
        <v>PC 300 SE-8</v>
      </c>
      <c r="N8" s="41" t="str">
        <f>C8</f>
        <v>KOMATSU PC 300 - 12</v>
      </c>
      <c r="O8" s="15" t="s">
        <v>56</v>
      </c>
    </row>
    <row r="9" spans="2:15" x14ac:dyDescent="0.3">
      <c r="B9" s="41">
        <v>2</v>
      </c>
      <c r="C9" s="41" t="s">
        <v>267</v>
      </c>
      <c r="D9" s="42">
        <v>251</v>
      </c>
      <c r="E9" s="62">
        <f>IF(O9="K",VLOOKUP(M9,Table2[[#All],[UNIT]:[Column7]],10,FALSE),0)</f>
        <v>400000</v>
      </c>
      <c r="F9" s="43">
        <f t="shared" ref="F9:F14" si="2">D9*E9</f>
        <v>100400000</v>
      </c>
      <c r="G9" s="42">
        <v>6205.2239382239377</v>
      </c>
      <c r="H9" s="44">
        <f t="shared" si="0"/>
        <v>0</v>
      </c>
      <c r="I9" s="42">
        <f t="shared" si="1"/>
        <v>24.722007722007721</v>
      </c>
      <c r="J9" s="45">
        <f t="shared" ref="J9:J14" si="3">F9+H9</f>
        <v>100400000</v>
      </c>
      <c r="K9" s="36"/>
      <c r="L9" s="41" t="s">
        <v>357</v>
      </c>
      <c r="M9" s="41" t="str">
        <f>VLOOKUP(N9,'list rate unit'!O:P,2,FALSE)</f>
        <v>PC 300 SE-8</v>
      </c>
      <c r="N9" s="41" t="str">
        <f t="shared" ref="N9:N14" si="4">C9</f>
        <v>KOMATSU PC 300 - 17</v>
      </c>
      <c r="O9" s="15" t="s">
        <v>56</v>
      </c>
    </row>
    <row r="10" spans="2:15" x14ac:dyDescent="0.3">
      <c r="B10" s="41">
        <v>3</v>
      </c>
      <c r="C10" s="41" t="s">
        <v>258</v>
      </c>
      <c r="D10" s="42">
        <v>69</v>
      </c>
      <c r="E10" s="62">
        <f>IF(O10="K",VLOOKUP(M10,Table2[[#All],[UNIT]:[Column7]],10,FALSE),0)</f>
        <v>275000</v>
      </c>
      <c r="F10" s="43">
        <f t="shared" si="2"/>
        <v>18975000</v>
      </c>
      <c r="G10" s="42">
        <v>1274</v>
      </c>
      <c r="H10" s="44">
        <f t="shared" si="0"/>
        <v>0</v>
      </c>
      <c r="I10" s="42">
        <f t="shared" si="1"/>
        <v>18.463768115942027</v>
      </c>
      <c r="J10" s="45">
        <f t="shared" si="3"/>
        <v>18975000</v>
      </c>
      <c r="K10" s="36"/>
      <c r="L10" s="41" t="s">
        <v>357</v>
      </c>
      <c r="M10" s="41" t="str">
        <f>VLOOKUP(N10,'list rate unit'!O:P,2,FALSE)</f>
        <v>PC 200-8 MO</v>
      </c>
      <c r="N10" s="41" t="str">
        <f t="shared" si="4"/>
        <v>KOMATSU PC 200 - 11</v>
      </c>
      <c r="O10" s="15" t="s">
        <v>56</v>
      </c>
    </row>
    <row r="11" spans="2:15" x14ac:dyDescent="0.3">
      <c r="B11" s="41">
        <v>4</v>
      </c>
      <c r="C11" s="41" t="s">
        <v>261</v>
      </c>
      <c r="D11" s="42">
        <v>290</v>
      </c>
      <c r="E11" s="62">
        <f>IF(O11="K",VLOOKUP(M11,Table2[[#All],[UNIT]:[Column7]],10,FALSE),0)</f>
        <v>275000</v>
      </c>
      <c r="F11" s="43">
        <f t="shared" si="2"/>
        <v>79750000</v>
      </c>
      <c r="G11" s="42">
        <v>3290</v>
      </c>
      <c r="H11" s="44">
        <f t="shared" si="0"/>
        <v>0</v>
      </c>
      <c r="I11" s="42">
        <f t="shared" si="1"/>
        <v>11.344827586206897</v>
      </c>
      <c r="J11" s="45">
        <f t="shared" si="3"/>
        <v>79750000</v>
      </c>
      <c r="K11" s="36"/>
      <c r="L11" s="41" t="s">
        <v>357</v>
      </c>
      <c r="M11" s="41" t="str">
        <f>VLOOKUP(N11,'list rate unit'!O:P,2,FALSE)</f>
        <v>PC 200-8 MO</v>
      </c>
      <c r="N11" s="41" t="str">
        <f t="shared" si="4"/>
        <v>KOMATSU PC 200 - 15</v>
      </c>
      <c r="O11" s="15" t="s">
        <v>56</v>
      </c>
    </row>
    <row r="12" spans="2:15" x14ac:dyDescent="0.3">
      <c r="B12" s="41">
        <v>5</v>
      </c>
      <c r="C12" s="41" t="s">
        <v>189</v>
      </c>
      <c r="D12" s="42">
        <v>254</v>
      </c>
      <c r="E12" s="62">
        <f>IF(O12="K",VLOOKUP(M12,Table2[[#All],[UNIT]:[Column7]],10,FALSE),0)</f>
        <v>275000</v>
      </c>
      <c r="F12" s="43">
        <f t="shared" si="2"/>
        <v>69850000</v>
      </c>
      <c r="G12" s="42">
        <v>3854</v>
      </c>
      <c r="H12" s="44">
        <f t="shared" si="0"/>
        <v>0</v>
      </c>
      <c r="I12" s="42">
        <f t="shared" si="1"/>
        <v>15.173228346456693</v>
      </c>
      <c r="J12" s="45">
        <f t="shared" si="3"/>
        <v>69850000</v>
      </c>
      <c r="K12" s="36"/>
      <c r="L12" s="41" t="s">
        <v>357</v>
      </c>
      <c r="M12" s="41" t="str">
        <f>VLOOKUP(N12,'list rate unit'!O:P,2,FALSE)</f>
        <v>PC 200-8 MO</v>
      </c>
      <c r="N12" s="41" t="str">
        <f t="shared" si="4"/>
        <v>KOMATSU PC 200 - 23</v>
      </c>
      <c r="O12" s="15" t="s">
        <v>56</v>
      </c>
    </row>
    <row r="13" spans="2:15" x14ac:dyDescent="0.3">
      <c r="B13" s="41">
        <v>6</v>
      </c>
      <c r="C13" s="41" t="s">
        <v>299</v>
      </c>
      <c r="D13" s="42">
        <v>288</v>
      </c>
      <c r="E13" s="62">
        <f>IF(O13="K",VLOOKUP(M13,Table2[[#All],[UNIT]:[Column7]],10,FALSE),0)</f>
        <v>275000</v>
      </c>
      <c r="F13" s="43">
        <f t="shared" si="2"/>
        <v>79200000</v>
      </c>
      <c r="G13" s="42">
        <v>2910</v>
      </c>
      <c r="H13" s="44">
        <f t="shared" si="0"/>
        <v>0</v>
      </c>
      <c r="I13" s="42">
        <f t="shared" si="1"/>
        <v>10.104166666666666</v>
      </c>
      <c r="J13" s="45">
        <f t="shared" si="3"/>
        <v>79200000</v>
      </c>
      <c r="K13" s="36"/>
      <c r="L13" s="41" t="s">
        <v>357</v>
      </c>
      <c r="M13" s="41" t="str">
        <f>VLOOKUP(N13,'list rate unit'!O:P,2,FALSE)</f>
        <v>PC 200-8 MO</v>
      </c>
      <c r="N13" s="41" t="str">
        <f t="shared" si="4"/>
        <v>KOMATSU PC 200 - 24</v>
      </c>
      <c r="O13" s="15" t="s">
        <v>56</v>
      </c>
    </row>
    <row r="14" spans="2:15" x14ac:dyDescent="0.3">
      <c r="B14" s="41">
        <v>7</v>
      </c>
      <c r="C14" s="41" t="s">
        <v>198</v>
      </c>
      <c r="D14" s="42">
        <v>228</v>
      </c>
      <c r="E14" s="62">
        <f>IF(O14="K",VLOOKUP(M14,Table2[[#All],[UNIT]:[Column7]],10,FALSE),0)</f>
        <v>275000</v>
      </c>
      <c r="F14" s="43">
        <f t="shared" si="2"/>
        <v>62700000</v>
      </c>
      <c r="G14" s="42">
        <v>2786</v>
      </c>
      <c r="H14" s="44">
        <f t="shared" si="0"/>
        <v>0</v>
      </c>
      <c r="I14" s="42">
        <f t="shared" si="1"/>
        <v>12.219298245614034</v>
      </c>
      <c r="J14" s="45">
        <f t="shared" si="3"/>
        <v>62700000</v>
      </c>
      <c r="K14" s="36"/>
      <c r="L14" s="41" t="s">
        <v>357</v>
      </c>
      <c r="M14" s="41" t="str">
        <f>VLOOKUP(N14,'list rate unit'!O:P,2,FALSE)</f>
        <v>SK 200-8 SX</v>
      </c>
      <c r="N14" s="41" t="str">
        <f t="shared" si="4"/>
        <v>KOBELCO SK 200 - 19</v>
      </c>
      <c r="O14" s="15" t="s">
        <v>56</v>
      </c>
    </row>
    <row r="15" spans="2:15" x14ac:dyDescent="0.3">
      <c r="B15" s="41">
        <v>8</v>
      </c>
      <c r="C15" s="41" t="s">
        <v>249</v>
      </c>
      <c r="D15" s="42">
        <v>33</v>
      </c>
      <c r="E15" s="62">
        <f>IF(O15="K",VLOOKUP(M15,Table2[[#All],[UNIT]:[Column7]],10,FALSE),0)</f>
        <v>425000</v>
      </c>
      <c r="F15" s="43">
        <f t="shared" ref="F15:F18" si="5">D15*E15</f>
        <v>14025000</v>
      </c>
      <c r="G15" s="42">
        <v>634.42011834319521</v>
      </c>
      <c r="H15" s="44">
        <f t="shared" si="0"/>
        <v>0</v>
      </c>
      <c r="I15" s="42">
        <f t="shared" ref="I15:I18" si="6">IFERROR(G15/D15,0)</f>
        <v>19.224852071005916</v>
      </c>
      <c r="J15" s="45">
        <f t="shared" ref="J15:J18" si="7">F15+H15</f>
        <v>14025000</v>
      </c>
      <c r="K15" s="36"/>
      <c r="L15" s="41" t="s">
        <v>357</v>
      </c>
      <c r="M15" s="41" t="str">
        <f>VLOOKUP(N15,'list rate unit'!O:P,2,FALSE)</f>
        <v>D 65 P-12</v>
      </c>
      <c r="N15" s="41" t="str">
        <f t="shared" ref="N15:N18" si="8">C15</f>
        <v>KOMATSU DOZER D65 - 11</v>
      </c>
      <c r="O15" s="15" t="s">
        <v>56</v>
      </c>
    </row>
    <row r="16" spans="2:15" x14ac:dyDescent="0.3">
      <c r="B16" s="41">
        <v>9</v>
      </c>
      <c r="C16" s="41" t="s">
        <v>214</v>
      </c>
      <c r="D16" s="42">
        <v>37</v>
      </c>
      <c r="E16" s="62">
        <f>IF(O16="K",VLOOKUP(M16,Table2[[#All],[UNIT]:[Column7]],10,FALSE),0)</f>
        <v>425000</v>
      </c>
      <c r="F16" s="43">
        <f t="shared" si="5"/>
        <v>15725000</v>
      </c>
      <c r="G16" s="42">
        <v>643.91044776119406</v>
      </c>
      <c r="H16" s="44">
        <f t="shared" si="0"/>
        <v>0</v>
      </c>
      <c r="I16" s="42">
        <f t="shared" si="6"/>
        <v>17.402985074626866</v>
      </c>
      <c r="J16" s="45">
        <f t="shared" si="7"/>
        <v>15725000</v>
      </c>
      <c r="K16" s="36"/>
      <c r="L16" s="41" t="s">
        <v>357</v>
      </c>
      <c r="M16" s="41" t="str">
        <f>VLOOKUP(N16,'list rate unit'!O:P,2,FALSE)</f>
        <v>D 65 P-12</v>
      </c>
      <c r="N16" s="41" t="str">
        <f t="shared" si="8"/>
        <v>KOMATSU DOZER D65 - 12</v>
      </c>
      <c r="O16" s="15" t="s">
        <v>56</v>
      </c>
    </row>
    <row r="17" spans="2:15" x14ac:dyDescent="0.3">
      <c r="B17" s="41">
        <v>10</v>
      </c>
      <c r="C17" s="41" t="s">
        <v>263</v>
      </c>
      <c r="D17" s="42">
        <v>7</v>
      </c>
      <c r="E17" s="62">
        <f>IF(O17="K",VLOOKUP(M17,Table2[[#All],[UNIT]:[Column7]],10,FALSE),0)</f>
        <v>425000</v>
      </c>
      <c r="F17" s="43">
        <f t="shared" ref="F17" si="9">D17*E17</f>
        <v>2975000</v>
      </c>
      <c r="G17" s="42">
        <v>123.72872340425533</v>
      </c>
      <c r="H17" s="44">
        <f t="shared" si="0"/>
        <v>0</v>
      </c>
      <c r="I17" s="42">
        <f t="shared" ref="I17" si="10">IFERROR(G17/D17,0)</f>
        <v>17.675531914893618</v>
      </c>
      <c r="J17" s="45">
        <f t="shared" ref="J17" si="11">F17+H17</f>
        <v>2975000</v>
      </c>
      <c r="K17" s="36"/>
      <c r="L17" s="41" t="s">
        <v>357</v>
      </c>
      <c r="M17" s="41" t="str">
        <f>VLOOKUP(N17,'list rate unit'!O:P,2,FALSE)</f>
        <v>D 85 ESS-2</v>
      </c>
      <c r="N17" s="41" t="str">
        <f t="shared" ref="N17" si="12">C17</f>
        <v>KOMATSU DOZER D85SS - 11</v>
      </c>
      <c r="O17" s="15" t="s">
        <v>56</v>
      </c>
    </row>
    <row r="18" spans="2:15" x14ac:dyDescent="0.3">
      <c r="B18" s="41">
        <v>11</v>
      </c>
      <c r="C18" s="41" t="s">
        <v>326</v>
      </c>
      <c r="D18" s="42">
        <v>22</v>
      </c>
      <c r="E18" s="62">
        <f>IF(O18="K",VLOOKUP(M18,Table2[[#All],[UNIT]:[Column7]],10,FALSE),0)</f>
        <v>220000</v>
      </c>
      <c r="F18" s="43">
        <f t="shared" si="5"/>
        <v>4840000</v>
      </c>
      <c r="G18" s="42">
        <v>112.14159292035399</v>
      </c>
      <c r="H18" s="44">
        <f t="shared" ref="H18" si="13">G18*$C$23</f>
        <v>0</v>
      </c>
      <c r="I18" s="42">
        <f t="shared" si="6"/>
        <v>5.0973451327433628</v>
      </c>
      <c r="J18" s="45">
        <f t="shared" si="7"/>
        <v>4840000</v>
      </c>
      <c r="K18" s="36"/>
      <c r="L18" s="41" t="s">
        <v>357</v>
      </c>
      <c r="M18" s="41" t="str">
        <f>VLOOKUP(N18,'list rate unit'!O:P,2,FALSE)</f>
        <v>SV 525 D</v>
      </c>
      <c r="N18" s="41" t="str">
        <f t="shared" si="8"/>
        <v>SAKAI - 01</v>
      </c>
      <c r="O18" s="15" t="s">
        <v>56</v>
      </c>
    </row>
    <row r="19" spans="2:15" x14ac:dyDescent="0.3">
      <c r="D19" s="18"/>
      <c r="F19" s="32"/>
      <c r="G19" s="18"/>
      <c r="H19" s="30"/>
      <c r="I19" s="18"/>
      <c r="J19" s="33"/>
      <c r="K19" s="18"/>
    </row>
    <row r="20" spans="2:15" s="1" customFormat="1" ht="15.75" customHeight="1" x14ac:dyDescent="0.3">
      <c r="B20" s="186" t="s">
        <v>21</v>
      </c>
      <c r="C20" s="186"/>
      <c r="D20" s="46">
        <f>SUM(D8:D19)</f>
        <v>1724</v>
      </c>
      <c r="E20" s="63">
        <f>AVERAGE(E8:E19)</f>
        <v>333636.36363636365</v>
      </c>
      <c r="F20" s="47">
        <f>SUM(F8:F19)</f>
        <v>546440000</v>
      </c>
      <c r="G20" s="46">
        <f>SUM(G8:G19)</f>
        <v>28197.424820652937</v>
      </c>
      <c r="H20" s="47">
        <f>SUM(H8:H19)</f>
        <v>0</v>
      </c>
      <c r="I20" s="46">
        <f t="shared" ref="I20" si="14">IFERROR(G20/D20,0)</f>
        <v>16.355814861167598</v>
      </c>
      <c r="J20" s="48">
        <f>SUM(J8:J19)</f>
        <v>546440000</v>
      </c>
      <c r="K20" s="37"/>
    </row>
    <row r="22" spans="2:15" x14ac:dyDescent="0.3">
      <c r="B22" s="35" t="s">
        <v>34</v>
      </c>
      <c r="C22" s="29">
        <f>SUMMARY!J32</f>
        <v>14848</v>
      </c>
    </row>
    <row r="23" spans="2:15" x14ac:dyDescent="0.3">
      <c r="B23" s="35" t="s">
        <v>35</v>
      </c>
      <c r="C23" s="29">
        <f>SUMMARY!$J$13</f>
        <v>0</v>
      </c>
      <c r="F23" s="30"/>
      <c r="G23" s="18"/>
    </row>
    <row r="25" spans="2:15" x14ac:dyDescent="0.3">
      <c r="F25" s="18"/>
    </row>
  </sheetData>
  <autoFilter ref="B7:O18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20:C20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30"/>
  <sheetViews>
    <sheetView workbookViewId="0">
      <pane xSplit="3" ySplit="7" topLeftCell="F8" activePane="bottomRight" state="frozenSplit"/>
      <selection pane="topRight" activeCell="C1" sqref="C1"/>
      <selection pane="bottomLeft" activeCell="A8" sqref="A8"/>
      <selection pane="bottomRight" activeCell="I23" sqref="I23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1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190" t="s">
        <v>82</v>
      </c>
      <c r="C2" s="190"/>
    </row>
    <row r="3" spans="2:17" x14ac:dyDescent="0.3">
      <c r="B3" s="190"/>
      <c r="C3" s="190"/>
    </row>
    <row r="4" spans="2:17" x14ac:dyDescent="0.3">
      <c r="D4" s="30"/>
      <c r="E4" s="30"/>
    </row>
    <row r="5" spans="2:17" ht="15" customHeight="1" x14ac:dyDescent="0.3">
      <c r="B5" s="187" t="s">
        <v>1</v>
      </c>
      <c r="C5" s="187" t="s">
        <v>86</v>
      </c>
      <c r="D5" s="188" t="s">
        <v>39</v>
      </c>
      <c r="E5" s="188"/>
      <c r="F5" s="189" t="s">
        <v>52</v>
      </c>
      <c r="G5" s="189"/>
      <c r="H5" s="189" t="s">
        <v>37</v>
      </c>
      <c r="I5" s="189"/>
      <c r="J5" s="187" t="s">
        <v>88</v>
      </c>
      <c r="K5" s="187"/>
      <c r="L5" s="187"/>
      <c r="M5" s="191" t="s">
        <v>80</v>
      </c>
      <c r="N5" s="31"/>
      <c r="O5" s="187" t="s">
        <v>47</v>
      </c>
      <c r="P5" s="187" t="s">
        <v>87</v>
      </c>
      <c r="Q5" s="187"/>
    </row>
    <row r="6" spans="2:17" ht="15" customHeight="1" x14ac:dyDescent="0.3">
      <c r="B6" s="187"/>
      <c r="C6" s="187"/>
      <c r="D6" s="187" t="s">
        <v>41</v>
      </c>
      <c r="E6" s="187"/>
      <c r="F6" s="39" t="s">
        <v>48</v>
      </c>
      <c r="G6" s="187" t="s">
        <v>28</v>
      </c>
      <c r="H6" s="39" t="s">
        <v>27</v>
      </c>
      <c r="I6" s="187" t="s">
        <v>28</v>
      </c>
      <c r="J6" s="187"/>
      <c r="K6" s="187"/>
      <c r="L6" s="187"/>
      <c r="M6" s="191"/>
      <c r="N6" s="31"/>
      <c r="O6" s="187"/>
      <c r="P6" s="187"/>
      <c r="Q6" s="187"/>
    </row>
    <row r="7" spans="2:17" ht="15" customHeight="1" x14ac:dyDescent="0.3">
      <c r="B7" s="187"/>
      <c r="C7" s="187"/>
      <c r="D7" s="39" t="s">
        <v>42</v>
      </c>
      <c r="E7" s="39" t="s">
        <v>43</v>
      </c>
      <c r="F7" s="39" t="s">
        <v>30</v>
      </c>
      <c r="G7" s="187"/>
      <c r="H7" s="39" t="s">
        <v>32</v>
      </c>
      <c r="I7" s="187"/>
      <c r="J7" s="39" t="s">
        <v>40</v>
      </c>
      <c r="K7" s="39" t="s">
        <v>44</v>
      </c>
      <c r="L7" s="39" t="s">
        <v>55</v>
      </c>
      <c r="M7" s="191"/>
      <c r="N7" s="31"/>
      <c r="O7" s="187"/>
      <c r="P7" s="187"/>
      <c r="Q7" s="187"/>
    </row>
    <row r="8" spans="2:17" x14ac:dyDescent="0.3">
      <c r="B8" s="41">
        <v>1</v>
      </c>
      <c r="C8" s="41" t="s">
        <v>301</v>
      </c>
      <c r="D8" s="42">
        <v>1718.2</v>
      </c>
      <c r="E8" s="42">
        <v>47</v>
      </c>
      <c r="F8" s="49">
        <f>VLOOKUP(P8,'list rate unit'!$B$3:$K$40,10,FALSE)</f>
        <v>460000</v>
      </c>
      <c r="G8" s="44">
        <f t="shared" ref="G8:G36" si="0">IF(D8=0,0,F8*$C$43)</f>
        <v>96600000</v>
      </c>
      <c r="H8" s="42">
        <v>2051</v>
      </c>
      <c r="I8" s="44">
        <f t="shared" ref="I8:I36" si="1">H8*$C$42</f>
        <v>0</v>
      </c>
      <c r="J8" s="42">
        <f>IFERROR(H8/D8,0)</f>
        <v>1.1936910720521476</v>
      </c>
      <c r="K8" s="42">
        <f t="shared" ref="K8:K12" si="2">IFERROR(D8/E8,0)</f>
        <v>36.55744680851064</v>
      </c>
      <c r="L8" s="42">
        <f>H8/E8</f>
        <v>43.638297872340424</v>
      </c>
      <c r="M8" s="45">
        <f>G8+I8</f>
        <v>96600000</v>
      </c>
      <c r="N8" s="18"/>
      <c r="O8" s="41" t="s">
        <v>358</v>
      </c>
      <c r="P8" s="41" t="s">
        <v>130</v>
      </c>
      <c r="Q8" s="41" t="str">
        <f t="shared" ref="Q8:Q22" si="3">C8</f>
        <v>DT Hino 260</v>
      </c>
    </row>
    <row r="9" spans="2:17" x14ac:dyDescent="0.3">
      <c r="B9" s="41">
        <v>2</v>
      </c>
      <c r="C9" s="41" t="s">
        <v>302</v>
      </c>
      <c r="D9" s="42">
        <v>1891.99</v>
      </c>
      <c r="E9" s="42">
        <v>52</v>
      </c>
      <c r="F9" s="49">
        <f>VLOOKUP(P9,'list rate unit'!$B$3:$K$40,10,FALSE)</f>
        <v>460000</v>
      </c>
      <c r="G9" s="44">
        <f t="shared" si="0"/>
        <v>96600000</v>
      </c>
      <c r="H9" s="42">
        <v>2320</v>
      </c>
      <c r="I9" s="44">
        <f t="shared" si="1"/>
        <v>0</v>
      </c>
      <c r="J9" s="42">
        <f t="shared" ref="J9:J12" si="4">IFERROR(H9/D9,0)</f>
        <v>1.2262221259097563</v>
      </c>
      <c r="K9" s="42">
        <f t="shared" si="2"/>
        <v>36.384423076923078</v>
      </c>
      <c r="L9" s="42">
        <f t="shared" ref="L9:L12" si="5">H9/E9</f>
        <v>44.615384615384613</v>
      </c>
      <c r="M9" s="45">
        <f t="shared" ref="M9:M12" si="6">G9+I9</f>
        <v>96600000</v>
      </c>
      <c r="N9" s="18"/>
      <c r="O9" s="41" t="s">
        <v>358</v>
      </c>
      <c r="P9" s="41" t="s">
        <v>130</v>
      </c>
      <c r="Q9" s="41" t="str">
        <f t="shared" si="3"/>
        <v>DT Hino 261</v>
      </c>
    </row>
    <row r="10" spans="2:17" x14ac:dyDescent="0.3">
      <c r="B10" s="41">
        <v>3</v>
      </c>
      <c r="C10" s="41" t="s">
        <v>303</v>
      </c>
      <c r="D10" s="42">
        <v>1809.39</v>
      </c>
      <c r="E10" s="42">
        <v>49</v>
      </c>
      <c r="F10" s="49">
        <f>VLOOKUP(P10,'list rate unit'!$B$3:$K$40,10,FALSE)</f>
        <v>460000</v>
      </c>
      <c r="G10" s="44">
        <f t="shared" si="0"/>
        <v>96600000</v>
      </c>
      <c r="H10" s="42">
        <v>2273</v>
      </c>
      <c r="I10" s="44">
        <f t="shared" si="1"/>
        <v>0</v>
      </c>
      <c r="J10" s="42">
        <f t="shared" si="4"/>
        <v>1.2562244734413255</v>
      </c>
      <c r="K10" s="42">
        <f t="shared" si="2"/>
        <v>36.926326530612243</v>
      </c>
      <c r="L10" s="42">
        <f t="shared" si="5"/>
        <v>46.387755102040813</v>
      </c>
      <c r="M10" s="45">
        <f t="shared" si="6"/>
        <v>96600000</v>
      </c>
      <c r="N10" s="18"/>
      <c r="O10" s="41" t="s">
        <v>358</v>
      </c>
      <c r="P10" s="41" t="s">
        <v>130</v>
      </c>
      <c r="Q10" s="41" t="str">
        <f t="shared" si="3"/>
        <v>DT Hino 262</v>
      </c>
    </row>
    <row r="11" spans="2:17" x14ac:dyDescent="0.3">
      <c r="B11" s="41">
        <v>4</v>
      </c>
      <c r="C11" s="41" t="s">
        <v>327</v>
      </c>
      <c r="D11" s="42">
        <v>2855.04</v>
      </c>
      <c r="E11" s="42">
        <v>78</v>
      </c>
      <c r="F11" s="49">
        <f>VLOOKUP(P11,'list rate unit'!$B$3:$K$40,10,FALSE)</f>
        <v>460000</v>
      </c>
      <c r="G11" s="44">
        <f t="shared" si="0"/>
        <v>96600000</v>
      </c>
      <c r="H11" s="42">
        <v>3166</v>
      </c>
      <c r="I11" s="44">
        <f t="shared" si="1"/>
        <v>0</v>
      </c>
      <c r="J11" s="42">
        <f t="shared" si="4"/>
        <v>1.1089161622954495</v>
      </c>
      <c r="K11" s="42">
        <f t="shared" si="2"/>
        <v>36.60307692307692</v>
      </c>
      <c r="L11" s="42">
        <f t="shared" si="5"/>
        <v>40.589743589743591</v>
      </c>
      <c r="M11" s="45">
        <f t="shared" si="6"/>
        <v>96600000</v>
      </c>
      <c r="N11" s="18"/>
      <c r="O11" s="41" t="s">
        <v>358</v>
      </c>
      <c r="P11" s="41" t="s">
        <v>130</v>
      </c>
      <c r="Q11" s="41" t="str">
        <f t="shared" si="3"/>
        <v>DT Hino 265</v>
      </c>
    </row>
    <row r="12" spans="2:17" x14ac:dyDescent="0.3">
      <c r="B12" s="41">
        <v>5</v>
      </c>
      <c r="C12" s="41" t="s">
        <v>348</v>
      </c>
      <c r="D12" s="42">
        <v>2868.34</v>
      </c>
      <c r="E12" s="42">
        <v>78</v>
      </c>
      <c r="F12" s="49">
        <f>VLOOKUP(P12,'list rate unit'!$B$3:$K$40,10,FALSE)</f>
        <v>460000</v>
      </c>
      <c r="G12" s="44">
        <f t="shared" si="0"/>
        <v>96600000</v>
      </c>
      <c r="H12" s="42">
        <v>3558</v>
      </c>
      <c r="I12" s="44">
        <f t="shared" si="1"/>
        <v>0</v>
      </c>
      <c r="J12" s="42">
        <f t="shared" si="4"/>
        <v>1.2404387206537579</v>
      </c>
      <c r="K12" s="42">
        <f t="shared" si="2"/>
        <v>36.773589743589746</v>
      </c>
      <c r="L12" s="42">
        <f t="shared" si="5"/>
        <v>45.615384615384613</v>
      </c>
      <c r="M12" s="45">
        <f t="shared" si="6"/>
        <v>96600000</v>
      </c>
      <c r="N12" s="18"/>
      <c r="O12" s="41" t="s">
        <v>358</v>
      </c>
      <c r="P12" s="41" t="s">
        <v>130</v>
      </c>
      <c r="Q12" s="41" t="str">
        <f t="shared" si="3"/>
        <v>DT Hino 266</v>
      </c>
    </row>
    <row r="13" spans="2:17" x14ac:dyDescent="0.3">
      <c r="B13" s="41">
        <v>6</v>
      </c>
      <c r="C13" s="41" t="s">
        <v>304</v>
      </c>
      <c r="D13" s="42">
        <v>3176.96</v>
      </c>
      <c r="E13" s="42">
        <v>86</v>
      </c>
      <c r="F13" s="49">
        <f>VLOOKUP(P13,'list rate unit'!$B$3:$K$40,10,FALSE)</f>
        <v>460000</v>
      </c>
      <c r="G13" s="44">
        <f t="shared" si="0"/>
        <v>96600000</v>
      </c>
      <c r="H13" s="42">
        <v>3978</v>
      </c>
      <c r="I13" s="44">
        <f t="shared" si="1"/>
        <v>0</v>
      </c>
      <c r="J13" s="42">
        <f t="shared" ref="J13:J22" si="7">IFERROR(H13/D13,0)</f>
        <v>1.252140410958904</v>
      </c>
      <c r="K13" s="42">
        <f t="shared" ref="K13:K22" si="8">IFERROR(D13/E13,0)</f>
        <v>36.941395348837212</v>
      </c>
      <c r="L13" s="42">
        <f t="shared" ref="L13:L22" si="9">H13/E13</f>
        <v>46.255813953488371</v>
      </c>
      <c r="M13" s="45">
        <f t="shared" ref="M13:M22" si="10">G13+I13</f>
        <v>96600000</v>
      </c>
      <c r="N13" s="18"/>
      <c r="O13" s="41" t="s">
        <v>358</v>
      </c>
      <c r="P13" s="41" t="s">
        <v>130</v>
      </c>
      <c r="Q13" s="41" t="str">
        <f t="shared" si="3"/>
        <v>DT Hino 268</v>
      </c>
    </row>
    <row r="14" spans="2:17" x14ac:dyDescent="0.3">
      <c r="B14" s="41">
        <v>7</v>
      </c>
      <c r="C14" s="41" t="s">
        <v>328</v>
      </c>
      <c r="D14" s="42">
        <v>1646.2300000000002</v>
      </c>
      <c r="E14" s="42">
        <v>45</v>
      </c>
      <c r="F14" s="49">
        <f>VLOOKUP(P14,'list rate unit'!$B$3:$K$40,10,FALSE)</f>
        <v>460000</v>
      </c>
      <c r="G14" s="44">
        <f t="shared" si="0"/>
        <v>96600000</v>
      </c>
      <c r="H14" s="42">
        <v>2029</v>
      </c>
      <c r="I14" s="44">
        <f t="shared" si="1"/>
        <v>0</v>
      </c>
      <c r="J14" s="42">
        <f t="shared" si="7"/>
        <v>1.2325130753296925</v>
      </c>
      <c r="K14" s="42">
        <f t="shared" si="8"/>
        <v>36.582888888888895</v>
      </c>
      <c r="L14" s="42">
        <f t="shared" si="9"/>
        <v>45.088888888888889</v>
      </c>
      <c r="M14" s="45">
        <f t="shared" si="10"/>
        <v>96600000</v>
      </c>
      <c r="N14" s="18"/>
      <c r="O14" s="41" t="s">
        <v>358</v>
      </c>
      <c r="P14" s="41" t="s">
        <v>130</v>
      </c>
      <c r="Q14" s="41" t="str">
        <f t="shared" si="3"/>
        <v>DT Hino 271</v>
      </c>
    </row>
    <row r="15" spans="2:17" x14ac:dyDescent="0.3">
      <c r="B15" s="41">
        <v>8</v>
      </c>
      <c r="C15" s="41" t="s">
        <v>305</v>
      </c>
      <c r="D15" s="42">
        <v>1885.0599999999997</v>
      </c>
      <c r="E15" s="42">
        <v>51</v>
      </c>
      <c r="F15" s="49">
        <f>VLOOKUP(P15,'list rate unit'!$B$3:$K$40,10,FALSE)</f>
        <v>460000</v>
      </c>
      <c r="G15" s="44">
        <f t="shared" si="0"/>
        <v>96600000</v>
      </c>
      <c r="H15" s="42">
        <v>2411</v>
      </c>
      <c r="I15" s="44">
        <f t="shared" si="1"/>
        <v>0</v>
      </c>
      <c r="J15" s="42">
        <f t="shared" si="7"/>
        <v>1.2790043818233905</v>
      </c>
      <c r="K15" s="42">
        <f t="shared" si="8"/>
        <v>36.961960784313717</v>
      </c>
      <c r="L15" s="42">
        <f t="shared" si="9"/>
        <v>47.274509803921568</v>
      </c>
      <c r="M15" s="45">
        <f t="shared" si="10"/>
        <v>96600000</v>
      </c>
      <c r="N15" s="18"/>
      <c r="O15" s="41" t="s">
        <v>358</v>
      </c>
      <c r="P15" s="41" t="s">
        <v>130</v>
      </c>
      <c r="Q15" s="41" t="str">
        <f t="shared" si="3"/>
        <v>DT Hino 273</v>
      </c>
    </row>
    <row r="16" spans="2:17" x14ac:dyDescent="0.3">
      <c r="B16" s="41">
        <v>9</v>
      </c>
      <c r="C16" s="41" t="s">
        <v>306</v>
      </c>
      <c r="D16" s="42">
        <v>2221.1799999999998</v>
      </c>
      <c r="E16" s="42">
        <v>60</v>
      </c>
      <c r="F16" s="49">
        <f>VLOOKUP(P16,'list rate unit'!$B$3:$K$40,10,FALSE)</f>
        <v>460000</v>
      </c>
      <c r="G16" s="44">
        <f t="shared" si="0"/>
        <v>96600000</v>
      </c>
      <c r="H16" s="42">
        <v>2590</v>
      </c>
      <c r="I16" s="44">
        <f t="shared" si="1"/>
        <v>0</v>
      </c>
      <c r="J16" s="42">
        <f t="shared" si="7"/>
        <v>1.166046875984837</v>
      </c>
      <c r="K16" s="42">
        <f t="shared" si="8"/>
        <v>37.019666666666666</v>
      </c>
      <c r="L16" s="42">
        <f t="shared" si="9"/>
        <v>43.166666666666664</v>
      </c>
      <c r="M16" s="45">
        <f t="shared" si="10"/>
        <v>96600000</v>
      </c>
      <c r="N16" s="18"/>
      <c r="O16" s="41" t="s">
        <v>358</v>
      </c>
      <c r="P16" s="41" t="s">
        <v>130</v>
      </c>
      <c r="Q16" s="41" t="str">
        <f t="shared" si="3"/>
        <v>DT Hino 275</v>
      </c>
    </row>
    <row r="17" spans="2:17" x14ac:dyDescent="0.3">
      <c r="B17" s="41">
        <v>10</v>
      </c>
      <c r="C17" s="41" t="s">
        <v>329</v>
      </c>
      <c r="D17" s="42">
        <v>1542.12</v>
      </c>
      <c r="E17" s="42">
        <v>42</v>
      </c>
      <c r="F17" s="49">
        <f>VLOOKUP(P17,'list rate unit'!$B$3:$K$40,10,FALSE)</f>
        <v>460000</v>
      </c>
      <c r="G17" s="44">
        <f t="shared" si="0"/>
        <v>96600000</v>
      </c>
      <c r="H17" s="42">
        <v>2151</v>
      </c>
      <c r="I17" s="44">
        <f t="shared" si="1"/>
        <v>0</v>
      </c>
      <c r="J17" s="42">
        <f t="shared" si="7"/>
        <v>1.394833086919306</v>
      </c>
      <c r="K17" s="42">
        <f t="shared" si="8"/>
        <v>36.717142857142854</v>
      </c>
      <c r="L17" s="42">
        <f t="shared" si="9"/>
        <v>51.214285714285715</v>
      </c>
      <c r="M17" s="45">
        <f t="shared" si="10"/>
        <v>96600000</v>
      </c>
      <c r="N17" s="18"/>
      <c r="O17" s="41" t="s">
        <v>358</v>
      </c>
      <c r="P17" s="41" t="s">
        <v>130</v>
      </c>
      <c r="Q17" s="41" t="str">
        <f t="shared" si="3"/>
        <v>DT Hino 278</v>
      </c>
    </row>
    <row r="18" spans="2:17" x14ac:dyDescent="0.3">
      <c r="B18" s="41">
        <v>11</v>
      </c>
      <c r="C18" s="41" t="s">
        <v>330</v>
      </c>
      <c r="D18" s="42">
        <v>1681.88</v>
      </c>
      <c r="E18" s="42">
        <v>45</v>
      </c>
      <c r="F18" s="49">
        <f>VLOOKUP(P18,'list rate unit'!$B$3:$K$40,10,FALSE)</f>
        <v>460000</v>
      </c>
      <c r="G18" s="44">
        <f t="shared" si="0"/>
        <v>96600000</v>
      </c>
      <c r="H18" s="42">
        <v>2229</v>
      </c>
      <c r="I18" s="44">
        <f t="shared" si="1"/>
        <v>0</v>
      </c>
      <c r="J18" s="42">
        <f t="shared" si="7"/>
        <v>1.3253026375246746</v>
      </c>
      <c r="K18" s="42">
        <f t="shared" si="8"/>
        <v>37.37511111111111</v>
      </c>
      <c r="L18" s="42">
        <f t="shared" si="9"/>
        <v>49.533333333333331</v>
      </c>
      <c r="M18" s="45">
        <f t="shared" si="10"/>
        <v>96600000</v>
      </c>
      <c r="N18" s="18"/>
      <c r="O18" s="41" t="s">
        <v>358</v>
      </c>
      <c r="P18" s="41" t="s">
        <v>130</v>
      </c>
      <c r="Q18" s="41" t="str">
        <f t="shared" si="3"/>
        <v>DT Hino 280</v>
      </c>
    </row>
    <row r="19" spans="2:17" x14ac:dyDescent="0.3">
      <c r="B19" s="41">
        <v>12</v>
      </c>
      <c r="C19" s="41" t="s">
        <v>349</v>
      </c>
      <c r="D19" s="42">
        <v>4130.5999999999995</v>
      </c>
      <c r="E19" s="42">
        <v>111</v>
      </c>
      <c r="F19" s="49">
        <f>VLOOKUP(P19,'list rate unit'!$B$3:$K$40,10,FALSE)</f>
        <v>460000</v>
      </c>
      <c r="G19" s="44">
        <f t="shared" si="0"/>
        <v>96600000</v>
      </c>
      <c r="H19" s="42">
        <v>4941</v>
      </c>
      <c r="I19" s="44">
        <f t="shared" si="1"/>
        <v>0</v>
      </c>
      <c r="J19" s="42">
        <f t="shared" si="7"/>
        <v>1.1961942574928583</v>
      </c>
      <c r="K19" s="42">
        <f t="shared" si="8"/>
        <v>37.21261261261261</v>
      </c>
      <c r="L19" s="42">
        <f t="shared" si="9"/>
        <v>44.513513513513516</v>
      </c>
      <c r="M19" s="45">
        <f t="shared" si="10"/>
        <v>96600000</v>
      </c>
      <c r="N19" s="18"/>
      <c r="O19" s="41" t="s">
        <v>358</v>
      </c>
      <c r="P19" s="41" t="s">
        <v>130</v>
      </c>
      <c r="Q19" s="41" t="str">
        <f t="shared" si="3"/>
        <v>DT Hino 282</v>
      </c>
    </row>
    <row r="20" spans="2:17" x14ac:dyDescent="0.3">
      <c r="B20" s="41">
        <v>13</v>
      </c>
      <c r="C20" s="41" t="s">
        <v>331</v>
      </c>
      <c r="D20" s="42">
        <v>1840.72</v>
      </c>
      <c r="E20" s="42">
        <v>50</v>
      </c>
      <c r="F20" s="49">
        <f>VLOOKUP(P20,'list rate unit'!$B$3:$K$40,10,FALSE)</f>
        <v>460000</v>
      </c>
      <c r="G20" s="44">
        <f t="shared" si="0"/>
        <v>96600000</v>
      </c>
      <c r="H20" s="42">
        <v>2164</v>
      </c>
      <c r="I20" s="44">
        <f t="shared" si="1"/>
        <v>0</v>
      </c>
      <c r="J20" s="42">
        <f t="shared" si="7"/>
        <v>1.1756269285931591</v>
      </c>
      <c r="K20" s="42">
        <f t="shared" si="8"/>
        <v>36.814399999999999</v>
      </c>
      <c r="L20" s="42">
        <f t="shared" si="9"/>
        <v>43.28</v>
      </c>
      <c r="M20" s="45">
        <f t="shared" si="10"/>
        <v>96600000</v>
      </c>
      <c r="N20" s="18"/>
      <c r="O20" s="41" t="s">
        <v>358</v>
      </c>
      <c r="P20" s="41" t="s">
        <v>130</v>
      </c>
      <c r="Q20" s="41" t="str">
        <f t="shared" si="3"/>
        <v>DT Hino 283</v>
      </c>
    </row>
    <row r="21" spans="2:17" x14ac:dyDescent="0.3">
      <c r="B21" s="41">
        <v>14</v>
      </c>
      <c r="C21" s="41" t="s">
        <v>307</v>
      </c>
      <c r="D21" s="42">
        <v>2895.7799999999997</v>
      </c>
      <c r="E21" s="42">
        <v>79</v>
      </c>
      <c r="F21" s="49">
        <f>VLOOKUP(P21,'list rate unit'!$B$3:$K$40,10,FALSE)</f>
        <v>460000</v>
      </c>
      <c r="G21" s="44">
        <f t="shared" si="0"/>
        <v>96600000</v>
      </c>
      <c r="H21" s="42">
        <v>3471</v>
      </c>
      <c r="I21" s="44">
        <f t="shared" si="1"/>
        <v>0</v>
      </c>
      <c r="J21" s="42">
        <f t="shared" si="7"/>
        <v>1.1986407807222925</v>
      </c>
      <c r="K21" s="42">
        <f t="shared" si="8"/>
        <v>36.655443037974678</v>
      </c>
      <c r="L21" s="42">
        <f t="shared" si="9"/>
        <v>43.936708860759495</v>
      </c>
      <c r="M21" s="45">
        <f t="shared" si="10"/>
        <v>96600000</v>
      </c>
      <c r="N21" s="18"/>
      <c r="O21" s="41" t="s">
        <v>358</v>
      </c>
      <c r="P21" s="41" t="s">
        <v>130</v>
      </c>
      <c r="Q21" s="41" t="str">
        <f t="shared" si="3"/>
        <v>DT Hino 285</v>
      </c>
    </row>
    <row r="22" spans="2:17" x14ac:dyDescent="0.3">
      <c r="B22" s="41">
        <v>15</v>
      </c>
      <c r="C22" s="41" t="s">
        <v>308</v>
      </c>
      <c r="D22" s="42">
        <v>2232.7200000000003</v>
      </c>
      <c r="E22" s="42">
        <v>61</v>
      </c>
      <c r="F22" s="49">
        <f>VLOOKUP(P22,'list rate unit'!$B$3:$K$40,10,FALSE)</f>
        <v>460000</v>
      </c>
      <c r="G22" s="44">
        <f t="shared" si="0"/>
        <v>96600000</v>
      </c>
      <c r="H22" s="42">
        <v>2599</v>
      </c>
      <c r="I22" s="44">
        <f t="shared" si="1"/>
        <v>0</v>
      </c>
      <c r="J22" s="42">
        <f t="shared" si="7"/>
        <v>1.1640510229675014</v>
      </c>
      <c r="K22" s="42">
        <f t="shared" si="8"/>
        <v>36.601967213114762</v>
      </c>
      <c r="L22" s="42">
        <f t="shared" si="9"/>
        <v>42.606557377049178</v>
      </c>
      <c r="M22" s="45">
        <f t="shared" si="10"/>
        <v>96600000</v>
      </c>
      <c r="N22" s="18"/>
      <c r="O22" s="41" t="s">
        <v>358</v>
      </c>
      <c r="P22" s="41" t="s">
        <v>130</v>
      </c>
      <c r="Q22" s="41" t="str">
        <f t="shared" si="3"/>
        <v>DT Hino 286</v>
      </c>
    </row>
    <row r="23" spans="2:17" x14ac:dyDescent="0.3">
      <c r="B23" s="41">
        <v>16</v>
      </c>
      <c r="C23" s="41" t="s">
        <v>309</v>
      </c>
      <c r="D23" s="42">
        <v>2370.06</v>
      </c>
      <c r="E23" s="42">
        <v>66</v>
      </c>
      <c r="F23" s="49">
        <f>VLOOKUP(P23,'list rate unit'!$B$3:$K$40,10,FALSE)</f>
        <v>460000</v>
      </c>
      <c r="G23" s="44">
        <f t="shared" si="0"/>
        <v>96600000</v>
      </c>
      <c r="H23" s="42">
        <v>2956</v>
      </c>
      <c r="I23" s="44">
        <f t="shared" si="1"/>
        <v>0</v>
      </c>
      <c r="J23" s="42">
        <f t="shared" ref="J23:J32" si="11">IFERROR(H23/D23,0)</f>
        <v>1.2472258086293175</v>
      </c>
      <c r="K23" s="42">
        <f t="shared" ref="K23:K32" si="12">IFERROR(D23/E23,0)</f>
        <v>35.909999999999997</v>
      </c>
      <c r="L23" s="42">
        <f t="shared" ref="L23:L32" si="13">H23/E23</f>
        <v>44.787878787878789</v>
      </c>
      <c r="M23" s="45">
        <f t="shared" ref="M23:M32" si="14">G23+I23</f>
        <v>96600000</v>
      </c>
      <c r="N23" s="18"/>
      <c r="O23" s="41" t="s">
        <v>358</v>
      </c>
      <c r="P23" s="41" t="s">
        <v>130</v>
      </c>
      <c r="Q23" s="41" t="str">
        <f t="shared" ref="Q23:Q32" si="15">C23</f>
        <v>DT Hino 287</v>
      </c>
    </row>
    <row r="24" spans="2:17" x14ac:dyDescent="0.3">
      <c r="B24" s="41">
        <v>17</v>
      </c>
      <c r="C24" s="41" t="s">
        <v>310</v>
      </c>
      <c r="D24" s="42">
        <v>1998.66</v>
      </c>
      <c r="E24" s="42">
        <v>54</v>
      </c>
      <c r="F24" s="49">
        <f>VLOOKUP(P24,'list rate unit'!$B$3:$K$40,10,FALSE)</f>
        <v>460000</v>
      </c>
      <c r="G24" s="44">
        <f t="shared" si="0"/>
        <v>96600000</v>
      </c>
      <c r="H24" s="42">
        <v>2579</v>
      </c>
      <c r="I24" s="44">
        <f t="shared" si="1"/>
        <v>0</v>
      </c>
      <c r="J24" s="42">
        <f t="shared" si="11"/>
        <v>1.2903645442446439</v>
      </c>
      <c r="K24" s="42">
        <f t="shared" si="12"/>
        <v>37.012222222222221</v>
      </c>
      <c r="L24" s="42">
        <f t="shared" si="13"/>
        <v>47.75925925925926</v>
      </c>
      <c r="M24" s="45">
        <f t="shared" si="14"/>
        <v>96600000</v>
      </c>
      <c r="N24" s="18"/>
      <c r="O24" s="41" t="s">
        <v>358</v>
      </c>
      <c r="P24" s="41" t="s">
        <v>130</v>
      </c>
      <c r="Q24" s="41" t="str">
        <f t="shared" si="15"/>
        <v>DT Hino 288</v>
      </c>
    </row>
    <row r="25" spans="2:17" x14ac:dyDescent="0.3">
      <c r="B25" s="41">
        <v>18</v>
      </c>
      <c r="C25" s="41" t="s">
        <v>311</v>
      </c>
      <c r="D25" s="42">
        <v>2283.3399999999997</v>
      </c>
      <c r="E25" s="42">
        <v>62</v>
      </c>
      <c r="F25" s="49">
        <f>VLOOKUP(P25,'list rate unit'!$B$3:$K$40,10,FALSE)</f>
        <v>460000</v>
      </c>
      <c r="G25" s="44">
        <f t="shared" si="0"/>
        <v>96600000</v>
      </c>
      <c r="H25" s="42">
        <v>2636</v>
      </c>
      <c r="I25" s="44">
        <f t="shared" si="1"/>
        <v>0</v>
      </c>
      <c r="J25" s="42">
        <f t="shared" si="11"/>
        <v>1.1544491840899735</v>
      </c>
      <c r="K25" s="42">
        <f t="shared" si="12"/>
        <v>36.828064516129025</v>
      </c>
      <c r="L25" s="42">
        <f t="shared" si="13"/>
        <v>42.516129032258064</v>
      </c>
      <c r="M25" s="45">
        <f t="shared" si="14"/>
        <v>96600000</v>
      </c>
      <c r="N25" s="18"/>
      <c r="O25" s="41" t="s">
        <v>358</v>
      </c>
      <c r="P25" s="41" t="s">
        <v>130</v>
      </c>
      <c r="Q25" s="41" t="str">
        <f t="shared" si="15"/>
        <v>DT Hino 289</v>
      </c>
    </row>
    <row r="26" spans="2:17" x14ac:dyDescent="0.3">
      <c r="B26" s="41">
        <v>19</v>
      </c>
      <c r="C26" s="41" t="s">
        <v>312</v>
      </c>
      <c r="D26" s="42">
        <v>2540.2199999999998</v>
      </c>
      <c r="E26" s="42">
        <v>69</v>
      </c>
      <c r="F26" s="49">
        <f>VLOOKUP(P26,'list rate unit'!$B$3:$K$40,10,FALSE)</f>
        <v>460000</v>
      </c>
      <c r="G26" s="44">
        <f t="shared" si="0"/>
        <v>96600000</v>
      </c>
      <c r="H26" s="42">
        <v>3051</v>
      </c>
      <c r="I26" s="44">
        <f t="shared" si="1"/>
        <v>0</v>
      </c>
      <c r="J26" s="42">
        <f t="shared" si="11"/>
        <v>1.2010770720646244</v>
      </c>
      <c r="K26" s="42">
        <f t="shared" si="12"/>
        <v>36.814782608695651</v>
      </c>
      <c r="L26" s="42">
        <f t="shared" si="13"/>
        <v>44.217391304347828</v>
      </c>
      <c r="M26" s="45">
        <f t="shared" si="14"/>
        <v>96600000</v>
      </c>
      <c r="N26" s="18"/>
      <c r="O26" s="41" t="s">
        <v>358</v>
      </c>
      <c r="P26" s="41" t="s">
        <v>130</v>
      </c>
      <c r="Q26" s="41" t="str">
        <f t="shared" si="15"/>
        <v>DT Hino 290</v>
      </c>
    </row>
    <row r="27" spans="2:17" x14ac:dyDescent="0.3">
      <c r="B27" s="41">
        <v>20</v>
      </c>
      <c r="C27" s="41" t="s">
        <v>350</v>
      </c>
      <c r="D27" s="42">
        <v>2374.6499999999996</v>
      </c>
      <c r="E27" s="42">
        <v>65</v>
      </c>
      <c r="F27" s="49">
        <f>VLOOKUP(P27,'list rate unit'!$B$3:$K$40,10,FALSE)</f>
        <v>460000</v>
      </c>
      <c r="G27" s="44">
        <f t="shared" si="0"/>
        <v>96600000</v>
      </c>
      <c r="H27" s="42">
        <v>3046</v>
      </c>
      <c r="I27" s="44">
        <f t="shared" si="1"/>
        <v>0</v>
      </c>
      <c r="J27" s="42">
        <f t="shared" si="11"/>
        <v>1.2827153475248987</v>
      </c>
      <c r="K27" s="42">
        <f t="shared" si="12"/>
        <v>36.533076923076919</v>
      </c>
      <c r="L27" s="42">
        <f t="shared" si="13"/>
        <v>46.861538461538458</v>
      </c>
      <c r="M27" s="45">
        <f t="shared" si="14"/>
        <v>96600000</v>
      </c>
      <c r="N27" s="18"/>
      <c r="O27" s="41" t="s">
        <v>358</v>
      </c>
      <c r="P27" s="41" t="s">
        <v>130</v>
      </c>
      <c r="Q27" s="41" t="str">
        <f t="shared" si="15"/>
        <v>DT Hino 292</v>
      </c>
    </row>
    <row r="28" spans="2:17" x14ac:dyDescent="0.3">
      <c r="B28" s="41">
        <v>21</v>
      </c>
      <c r="C28" s="41" t="s">
        <v>313</v>
      </c>
      <c r="D28" s="42">
        <v>2705.4</v>
      </c>
      <c r="E28" s="42">
        <v>73</v>
      </c>
      <c r="F28" s="49">
        <f>VLOOKUP(P28,'list rate unit'!$B$3:$K$40,10,FALSE)</f>
        <v>460000</v>
      </c>
      <c r="G28" s="44">
        <f t="shared" si="0"/>
        <v>96600000</v>
      </c>
      <c r="H28" s="42">
        <v>3258</v>
      </c>
      <c r="I28" s="44">
        <f t="shared" si="1"/>
        <v>0</v>
      </c>
      <c r="J28" s="42">
        <f t="shared" si="11"/>
        <v>1.2042581503659349</v>
      </c>
      <c r="K28" s="42">
        <f t="shared" si="12"/>
        <v>37.060273972602744</v>
      </c>
      <c r="L28" s="42">
        <f t="shared" si="13"/>
        <v>44.630136986301373</v>
      </c>
      <c r="M28" s="45">
        <f t="shared" si="14"/>
        <v>96600000</v>
      </c>
      <c r="N28" s="18"/>
      <c r="O28" s="41" t="s">
        <v>358</v>
      </c>
      <c r="P28" s="41" t="s">
        <v>130</v>
      </c>
      <c r="Q28" s="41" t="str">
        <f t="shared" si="15"/>
        <v>DT Hino 293</v>
      </c>
    </row>
    <row r="29" spans="2:17" x14ac:dyDescent="0.3">
      <c r="B29" s="41">
        <v>22</v>
      </c>
      <c r="C29" s="41" t="s">
        <v>314</v>
      </c>
      <c r="D29" s="42">
        <v>1059.8</v>
      </c>
      <c r="E29" s="42">
        <v>29</v>
      </c>
      <c r="F29" s="49">
        <f>VLOOKUP(P29,'list rate unit'!$B$3:$K$40,10,FALSE)</f>
        <v>460000</v>
      </c>
      <c r="G29" s="44">
        <f t="shared" si="0"/>
        <v>96600000</v>
      </c>
      <c r="H29" s="42">
        <v>1369</v>
      </c>
      <c r="I29" s="44">
        <f t="shared" si="1"/>
        <v>0</v>
      </c>
      <c r="J29" s="42">
        <f t="shared" si="11"/>
        <v>1.2917531609737687</v>
      </c>
      <c r="K29" s="42">
        <f t="shared" si="12"/>
        <v>36.544827586206893</v>
      </c>
      <c r="L29" s="42">
        <f t="shared" si="13"/>
        <v>47.206896551724135</v>
      </c>
      <c r="M29" s="45">
        <f t="shared" si="14"/>
        <v>96600000</v>
      </c>
      <c r="N29" s="18"/>
      <c r="O29" s="41" t="s">
        <v>358</v>
      </c>
      <c r="P29" s="41" t="s">
        <v>130</v>
      </c>
      <c r="Q29" s="41" t="str">
        <f t="shared" si="15"/>
        <v>DT Hino 295</v>
      </c>
    </row>
    <row r="30" spans="2:17" x14ac:dyDescent="0.3">
      <c r="B30" s="41">
        <v>23</v>
      </c>
      <c r="C30" s="41" t="s">
        <v>315</v>
      </c>
      <c r="D30" s="42">
        <v>2156.4</v>
      </c>
      <c r="E30" s="42">
        <v>59</v>
      </c>
      <c r="F30" s="49">
        <f>VLOOKUP(P30,'list rate unit'!$B$3:$K$40,10,FALSE)</f>
        <v>460000</v>
      </c>
      <c r="G30" s="44">
        <f t="shared" si="0"/>
        <v>96600000</v>
      </c>
      <c r="H30" s="42">
        <v>2802</v>
      </c>
      <c r="I30" s="44">
        <f t="shared" si="1"/>
        <v>0</v>
      </c>
      <c r="J30" s="42">
        <f t="shared" si="11"/>
        <v>1.2993878686700056</v>
      </c>
      <c r="K30" s="42">
        <f t="shared" si="12"/>
        <v>36.54915254237288</v>
      </c>
      <c r="L30" s="42">
        <f t="shared" si="13"/>
        <v>47.491525423728817</v>
      </c>
      <c r="M30" s="45">
        <f t="shared" si="14"/>
        <v>96600000</v>
      </c>
      <c r="N30" s="18"/>
      <c r="O30" s="41" t="s">
        <v>358</v>
      </c>
      <c r="P30" s="41" t="s">
        <v>130</v>
      </c>
      <c r="Q30" s="41" t="str">
        <f t="shared" si="15"/>
        <v>DT Hino 296</v>
      </c>
    </row>
    <row r="31" spans="2:17" x14ac:dyDescent="0.3">
      <c r="B31" s="41">
        <v>24</v>
      </c>
      <c r="C31" s="41" t="s">
        <v>316</v>
      </c>
      <c r="D31" s="42">
        <v>3040.94</v>
      </c>
      <c r="E31" s="42">
        <v>83</v>
      </c>
      <c r="F31" s="49">
        <f>VLOOKUP(P31,'list rate unit'!$B$3:$K$40,10,FALSE)</f>
        <v>460000</v>
      </c>
      <c r="G31" s="44">
        <f t="shared" si="0"/>
        <v>96600000</v>
      </c>
      <c r="H31" s="42">
        <v>3708</v>
      </c>
      <c r="I31" s="44">
        <f t="shared" si="1"/>
        <v>0</v>
      </c>
      <c r="J31" s="42">
        <f t="shared" si="11"/>
        <v>1.2193598032187416</v>
      </c>
      <c r="K31" s="42">
        <f t="shared" si="12"/>
        <v>36.637831325301207</v>
      </c>
      <c r="L31" s="42">
        <f t="shared" si="13"/>
        <v>44.674698795180724</v>
      </c>
      <c r="M31" s="45">
        <f t="shared" si="14"/>
        <v>96600000</v>
      </c>
      <c r="N31" s="18"/>
      <c r="O31" s="41" t="s">
        <v>358</v>
      </c>
      <c r="P31" s="41" t="s">
        <v>130</v>
      </c>
      <c r="Q31" s="41" t="str">
        <f t="shared" si="15"/>
        <v>DT Hino 297</v>
      </c>
    </row>
    <row r="32" spans="2:17" x14ac:dyDescent="0.3">
      <c r="B32" s="41">
        <v>25</v>
      </c>
      <c r="C32" s="41" t="s">
        <v>317</v>
      </c>
      <c r="D32" s="42">
        <v>1837.01</v>
      </c>
      <c r="E32" s="42">
        <v>50</v>
      </c>
      <c r="F32" s="49">
        <f>VLOOKUP(P32,'list rate unit'!$B$3:$K$40,10,FALSE)</f>
        <v>460000</v>
      </c>
      <c r="G32" s="44">
        <f t="shared" si="0"/>
        <v>96600000</v>
      </c>
      <c r="H32" s="42">
        <v>2342</v>
      </c>
      <c r="I32" s="44">
        <f t="shared" si="1"/>
        <v>0</v>
      </c>
      <c r="J32" s="42">
        <f t="shared" si="11"/>
        <v>1.2748977958748182</v>
      </c>
      <c r="K32" s="42">
        <f t="shared" si="12"/>
        <v>36.740200000000002</v>
      </c>
      <c r="L32" s="42">
        <f t="shared" si="13"/>
        <v>46.84</v>
      </c>
      <c r="M32" s="45">
        <f t="shared" si="14"/>
        <v>96600000</v>
      </c>
      <c r="N32" s="18"/>
      <c r="O32" s="41" t="s">
        <v>358</v>
      </c>
      <c r="P32" s="41" t="s">
        <v>130</v>
      </c>
      <c r="Q32" s="41" t="str">
        <f t="shared" si="15"/>
        <v>DT Hino 299</v>
      </c>
    </row>
    <row r="33" spans="2:17" x14ac:dyDescent="0.3">
      <c r="B33" s="41">
        <v>26</v>
      </c>
      <c r="C33" s="41" t="s">
        <v>318</v>
      </c>
      <c r="D33" s="42">
        <v>2541.6100000000006</v>
      </c>
      <c r="E33" s="42">
        <v>68</v>
      </c>
      <c r="F33" s="49">
        <f>VLOOKUP(P33,'list rate unit'!$B$3:$K$40,10,FALSE)</f>
        <v>460000</v>
      </c>
      <c r="G33" s="44">
        <f t="shared" si="0"/>
        <v>96600000</v>
      </c>
      <c r="H33" s="42">
        <v>3123</v>
      </c>
      <c r="I33" s="44">
        <f t="shared" si="1"/>
        <v>0</v>
      </c>
      <c r="J33" s="42">
        <f t="shared" ref="J33:J36" si="16">IFERROR(H33/D33,0)</f>
        <v>1.2287487065285387</v>
      </c>
      <c r="K33" s="42">
        <f t="shared" ref="K33:K36" si="17">IFERROR(D33/E33,0)</f>
        <v>37.376617647058829</v>
      </c>
      <c r="L33" s="42">
        <f t="shared" ref="L33:L36" si="18">H33/E33</f>
        <v>45.926470588235297</v>
      </c>
      <c r="M33" s="45">
        <f t="shared" ref="M33:M36" si="19">G33+I33</f>
        <v>96600000</v>
      </c>
      <c r="N33" s="18"/>
      <c r="O33" s="41" t="s">
        <v>358</v>
      </c>
      <c r="P33" s="41" t="s">
        <v>130</v>
      </c>
      <c r="Q33" s="41" t="str">
        <f t="shared" ref="Q33:Q36" si="20">C33</f>
        <v>DT Hino 301</v>
      </c>
    </row>
    <row r="34" spans="2:17" x14ac:dyDescent="0.3">
      <c r="B34" s="41">
        <v>27</v>
      </c>
      <c r="C34" s="41" t="s">
        <v>351</v>
      </c>
      <c r="D34" s="42">
        <v>1889.53</v>
      </c>
      <c r="E34" s="42">
        <v>53</v>
      </c>
      <c r="F34" s="49">
        <f>VLOOKUP(P34,'list rate unit'!$B$3:$K$40,10,FALSE)</f>
        <v>460000</v>
      </c>
      <c r="G34" s="44">
        <f t="shared" si="0"/>
        <v>96600000</v>
      </c>
      <c r="H34" s="42">
        <v>2638</v>
      </c>
      <c r="I34" s="44">
        <f t="shared" si="1"/>
        <v>0</v>
      </c>
      <c r="J34" s="42">
        <f t="shared" si="16"/>
        <v>1.3961143776494684</v>
      </c>
      <c r="K34" s="42">
        <f t="shared" si="17"/>
        <v>35.651509433962261</v>
      </c>
      <c r="L34" s="42">
        <f t="shared" si="18"/>
        <v>49.773584905660378</v>
      </c>
      <c r="M34" s="45">
        <f t="shared" si="19"/>
        <v>96600000</v>
      </c>
      <c r="N34" s="18"/>
      <c r="O34" s="41" t="s">
        <v>358</v>
      </c>
      <c r="P34" s="41" t="s">
        <v>130</v>
      </c>
      <c r="Q34" s="41" t="str">
        <f t="shared" si="20"/>
        <v>DT Hino 302</v>
      </c>
    </row>
    <row r="35" spans="2:17" x14ac:dyDescent="0.3">
      <c r="B35" s="41">
        <v>28</v>
      </c>
      <c r="C35" s="41" t="s">
        <v>352</v>
      </c>
      <c r="D35" s="42">
        <v>2910.34</v>
      </c>
      <c r="E35" s="42">
        <v>79</v>
      </c>
      <c r="F35" s="49">
        <f>VLOOKUP(P35,'list rate unit'!$B$3:$K$40,10,FALSE)</f>
        <v>460000</v>
      </c>
      <c r="G35" s="44">
        <f t="shared" si="0"/>
        <v>96600000</v>
      </c>
      <c r="H35" s="42">
        <v>3404</v>
      </c>
      <c r="I35" s="44">
        <f t="shared" si="1"/>
        <v>0</v>
      </c>
      <c r="J35" s="42">
        <f t="shared" si="16"/>
        <v>1.169622793213164</v>
      </c>
      <c r="K35" s="42">
        <f t="shared" si="17"/>
        <v>36.839746835443037</v>
      </c>
      <c r="L35" s="42">
        <f t="shared" si="18"/>
        <v>43.088607594936711</v>
      </c>
      <c r="M35" s="45">
        <f t="shared" si="19"/>
        <v>96600000</v>
      </c>
      <c r="N35" s="18"/>
      <c r="O35" s="41" t="s">
        <v>358</v>
      </c>
      <c r="P35" s="41" t="s">
        <v>130</v>
      </c>
      <c r="Q35" s="41" t="str">
        <f t="shared" si="20"/>
        <v>DT Hino 304</v>
      </c>
    </row>
    <row r="36" spans="2:17" x14ac:dyDescent="0.3">
      <c r="B36" s="41">
        <v>29</v>
      </c>
      <c r="C36" s="41" t="s">
        <v>319</v>
      </c>
      <c r="D36" s="42">
        <v>1572.22</v>
      </c>
      <c r="E36" s="42">
        <v>42</v>
      </c>
      <c r="F36" s="49">
        <f>VLOOKUP(P36,'list rate unit'!$B$3:$K$40,10,FALSE)</f>
        <v>460000</v>
      </c>
      <c r="G36" s="44">
        <f t="shared" si="0"/>
        <v>96600000</v>
      </c>
      <c r="H36" s="42">
        <v>2110</v>
      </c>
      <c r="I36" s="44">
        <f t="shared" si="1"/>
        <v>0</v>
      </c>
      <c r="J36" s="42">
        <f t="shared" si="16"/>
        <v>1.3420513668570555</v>
      </c>
      <c r="K36" s="42">
        <f t="shared" si="17"/>
        <v>37.433809523809522</v>
      </c>
      <c r="L36" s="42">
        <f t="shared" si="18"/>
        <v>50.238095238095241</v>
      </c>
      <c r="M36" s="45">
        <f t="shared" si="19"/>
        <v>96600000</v>
      </c>
      <c r="N36" s="18"/>
      <c r="O36" s="41" t="s">
        <v>358</v>
      </c>
      <c r="P36" s="41" t="s">
        <v>130</v>
      </c>
      <c r="Q36" s="41" t="str">
        <f t="shared" si="20"/>
        <v>DT Hino 308</v>
      </c>
    </row>
    <row r="37" spans="2:17" x14ac:dyDescent="0.3">
      <c r="D37" s="18"/>
      <c r="E37" s="18"/>
      <c r="H37" s="18"/>
      <c r="I37" s="30"/>
      <c r="J37" s="18"/>
      <c r="K37" s="18"/>
      <c r="L37" s="18"/>
      <c r="M37" s="33"/>
      <c r="N37" s="18"/>
    </row>
    <row r="38" spans="2:17" ht="15.75" customHeight="1" x14ac:dyDescent="0.3">
      <c r="B38" s="186" t="s">
        <v>21</v>
      </c>
      <c r="C38" s="186"/>
      <c r="D38" s="46">
        <f>SUM(D8:D37)</f>
        <v>65676.390000000014</v>
      </c>
      <c r="E38" s="46">
        <f>SUM(E8:E37)</f>
        <v>1786</v>
      </c>
      <c r="F38" s="50"/>
      <c r="G38" s="51">
        <f>SUM(G8:G37)</f>
        <v>2801400000</v>
      </c>
      <c r="H38" s="46">
        <f>SUM(H8:H37)</f>
        <v>80953</v>
      </c>
      <c r="I38" s="47">
        <f>SUM(I8:I37)</f>
        <v>0</v>
      </c>
      <c r="J38" s="46">
        <f>IFERROR(H38/D38,0)</f>
        <v>1.2326042889994409</v>
      </c>
      <c r="K38" s="46">
        <f>IFERROR(D38/E38,0)</f>
        <v>36.772894736842112</v>
      </c>
      <c r="L38" s="46">
        <f>IFERROR(H38/E38,0)</f>
        <v>45.326427771556553</v>
      </c>
      <c r="M38" s="48">
        <f>SUM(M8:M37)</f>
        <v>2801400000</v>
      </c>
      <c r="N38" s="17"/>
    </row>
    <row r="40" spans="2:17" x14ac:dyDescent="0.3">
      <c r="B40" s="28"/>
      <c r="C40" s="15" t="s">
        <v>58</v>
      </c>
      <c r="L40" s="18"/>
      <c r="M40" s="18"/>
      <c r="N40" s="18"/>
    </row>
    <row r="41" spans="2:17" x14ac:dyDescent="0.3">
      <c r="B41" s="35" t="s">
        <v>34</v>
      </c>
      <c r="C41" s="29">
        <f>'REPORT unit OB'!C22</f>
        <v>14848</v>
      </c>
      <c r="D41" s="30"/>
    </row>
    <row r="42" spans="2:17" x14ac:dyDescent="0.3">
      <c r="B42" s="35" t="s">
        <v>35</v>
      </c>
      <c r="C42" s="29">
        <f>SUMMARY!$J$13</f>
        <v>0</v>
      </c>
      <c r="D42" s="30"/>
    </row>
    <row r="43" spans="2:17" x14ac:dyDescent="0.3">
      <c r="B43" s="35" t="s">
        <v>50</v>
      </c>
      <c r="C43" s="34">
        <v>210</v>
      </c>
      <c r="D43" s="29" t="s">
        <v>51</v>
      </c>
    </row>
    <row r="44" spans="2:17" x14ac:dyDescent="0.3">
      <c r="D44" s="18"/>
    </row>
    <row r="47" spans="2:17" x14ac:dyDescent="0.3">
      <c r="D47" s="18"/>
    </row>
    <row r="49" spans="5:5" x14ac:dyDescent="0.3">
      <c r="E49" s="18"/>
    </row>
    <row r="50" spans="5:5" x14ac:dyDescent="0.3">
      <c r="E50" s="18"/>
    </row>
    <row r="51" spans="5:5" x14ac:dyDescent="0.3">
      <c r="E51" s="18"/>
    </row>
    <row r="52" spans="5:5" x14ac:dyDescent="0.3">
      <c r="E52" s="18"/>
    </row>
    <row r="53" spans="5:5" x14ac:dyDescent="0.3">
      <c r="E53" s="18"/>
    </row>
    <row r="54" spans="5:5" x14ac:dyDescent="0.3">
      <c r="E54" s="18"/>
    </row>
    <row r="55" spans="5:5" x14ac:dyDescent="0.3">
      <c r="E55" s="18"/>
    </row>
    <row r="56" spans="5:5" x14ac:dyDescent="0.3">
      <c r="E56" s="18"/>
    </row>
    <row r="57" spans="5:5" x14ac:dyDescent="0.3">
      <c r="E57" s="18"/>
    </row>
    <row r="58" spans="5:5" x14ac:dyDescent="0.3">
      <c r="E58" s="18"/>
    </row>
    <row r="59" spans="5:5" x14ac:dyDescent="0.3">
      <c r="E59" s="18"/>
    </row>
    <row r="60" spans="5:5" x14ac:dyDescent="0.3">
      <c r="E60" s="18"/>
    </row>
    <row r="61" spans="5:5" x14ac:dyDescent="0.3">
      <c r="E61" s="18"/>
    </row>
    <row r="62" spans="5:5" x14ac:dyDescent="0.3">
      <c r="E62" s="18"/>
    </row>
    <row r="63" spans="5:5" x14ac:dyDescent="0.3">
      <c r="E63" s="18"/>
    </row>
    <row r="64" spans="5:5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</sheetData>
  <autoFilter ref="B7:Q32" xr:uid="{00000000-0009-0000-0000-000004000000}">
    <filterColumn colId="14" showButton="0"/>
  </autoFilter>
  <mergeCells count="14">
    <mergeCell ref="B2:C3"/>
    <mergeCell ref="B38:C38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36">
    <cfRule type="duplicateValues" dxfId="1" priority="49"/>
  </conditionalFormatting>
  <conditionalFormatting sqref="J8:J36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19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F10" sqref="F10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190" t="s">
        <v>81</v>
      </c>
      <c r="C2" s="190"/>
    </row>
    <row r="3" spans="2:12" x14ac:dyDescent="0.3">
      <c r="B3" s="190"/>
      <c r="C3" s="190"/>
    </row>
    <row r="5" spans="2:12" ht="15" customHeight="1" x14ac:dyDescent="0.3">
      <c r="B5" s="187" t="s">
        <v>1</v>
      </c>
      <c r="C5" s="187" t="s">
        <v>86</v>
      </c>
      <c r="D5" s="187" t="s">
        <v>89</v>
      </c>
      <c r="E5" s="189" t="s">
        <v>37</v>
      </c>
      <c r="F5" s="189"/>
      <c r="G5" s="187" t="s">
        <v>88</v>
      </c>
      <c r="H5" s="191" t="s">
        <v>80</v>
      </c>
      <c r="I5" s="31"/>
      <c r="J5" s="187" t="s">
        <v>47</v>
      </c>
      <c r="K5" s="187" t="s">
        <v>87</v>
      </c>
      <c r="L5" s="187"/>
    </row>
    <row r="6" spans="2:12" ht="15" customHeight="1" x14ac:dyDescent="0.3">
      <c r="B6" s="187"/>
      <c r="C6" s="187"/>
      <c r="D6" s="187"/>
      <c r="E6" s="39" t="s">
        <v>27</v>
      </c>
      <c r="F6" s="187" t="s">
        <v>28</v>
      </c>
      <c r="G6" s="187"/>
      <c r="H6" s="191"/>
      <c r="I6" s="31"/>
      <c r="J6" s="187"/>
      <c r="K6" s="187"/>
      <c r="L6" s="187"/>
    </row>
    <row r="7" spans="2:12" x14ac:dyDescent="0.3">
      <c r="B7" s="187"/>
      <c r="C7" s="187"/>
      <c r="D7" s="39" t="s">
        <v>45</v>
      </c>
      <c r="E7" s="39" t="s">
        <v>32</v>
      </c>
      <c r="F7" s="187"/>
      <c r="G7" s="39" t="s">
        <v>53</v>
      </c>
      <c r="H7" s="191"/>
      <c r="I7" s="31"/>
      <c r="J7" s="187"/>
      <c r="K7" s="187"/>
      <c r="L7" s="187"/>
    </row>
    <row r="8" spans="2:12" x14ac:dyDescent="0.3">
      <c r="B8" s="41">
        <v>1</v>
      </c>
      <c r="C8" s="41" t="s">
        <v>353</v>
      </c>
      <c r="D8" s="44">
        <f>IFERROR(VLOOKUP(K8,'list rate unit'!$B$6:$K$27,10,FALSE),0)</f>
        <v>8000000</v>
      </c>
      <c r="E8" s="42">
        <v>49</v>
      </c>
      <c r="F8" s="44">
        <f t="shared" ref="F8:F13" si="0">E8*$C$18</f>
        <v>0</v>
      </c>
      <c r="G8" s="42"/>
      <c r="H8" s="45">
        <f>D8+F8</f>
        <v>8000000</v>
      </c>
      <c r="I8" s="18"/>
      <c r="J8" s="41"/>
      <c r="K8" s="41" t="str">
        <f>VLOOKUP(L8,'list rate unit'!O:P,2,FALSE)</f>
        <v>LV</v>
      </c>
      <c r="L8" s="41" t="str">
        <f t="shared" ref="L8" si="1">C8</f>
        <v>LV HILUX MERAH - 06</v>
      </c>
    </row>
    <row r="9" spans="2:12" x14ac:dyDescent="0.3">
      <c r="B9" s="41">
        <v>2</v>
      </c>
      <c r="C9" s="41" t="s">
        <v>320</v>
      </c>
      <c r="D9" s="44">
        <f>IFERROR(VLOOKUP(K9,'list rate unit'!$B$6:$K$27,10,FALSE),0)</f>
        <v>8000000</v>
      </c>
      <c r="E9" s="42">
        <v>487</v>
      </c>
      <c r="F9" s="44">
        <f t="shared" si="0"/>
        <v>0</v>
      </c>
      <c r="G9" s="42"/>
      <c r="H9" s="45">
        <f t="shared" ref="H9" si="2">D9+F9</f>
        <v>8000000</v>
      </c>
      <c r="I9" s="18"/>
      <c r="J9" s="41"/>
      <c r="K9" s="41" t="str">
        <f>VLOOKUP(L9,'list rate unit'!O:P,2,FALSE)</f>
        <v>LV</v>
      </c>
      <c r="L9" s="41" t="str">
        <f t="shared" ref="L9:L10" si="3">C9</f>
        <v>LV TRITON PUTIH - 28</v>
      </c>
    </row>
    <row r="10" spans="2:12" x14ac:dyDescent="0.3">
      <c r="B10" s="41">
        <v>3</v>
      </c>
      <c r="C10" s="41" t="s">
        <v>264</v>
      </c>
      <c r="D10" s="44">
        <f>IFERROR(VLOOKUP(K10,'list rate unit'!$B$6:$K$27,10,FALSE),0)</f>
        <v>8000000</v>
      </c>
      <c r="E10" s="42">
        <v>112</v>
      </c>
      <c r="F10" s="44">
        <f t="shared" si="0"/>
        <v>0</v>
      </c>
      <c r="G10" s="42"/>
      <c r="H10" s="45">
        <f t="shared" ref="H10" si="4">D10+F10</f>
        <v>8000000</v>
      </c>
      <c r="I10" s="18"/>
      <c r="J10" s="41"/>
      <c r="K10" s="41" t="str">
        <f>VLOOKUP(L10,'list rate unit'!O:P,2,FALSE)</f>
        <v>LV</v>
      </c>
      <c r="L10" s="41" t="str">
        <f t="shared" si="3"/>
        <v>LV TRITON PUTIH - 31</v>
      </c>
    </row>
    <row r="11" spans="2:12" x14ac:dyDescent="0.3">
      <c r="B11" s="41">
        <v>4</v>
      </c>
      <c r="C11" s="41" t="s">
        <v>324</v>
      </c>
      <c r="D11" s="44">
        <f>IFERROR(VLOOKUP(K11,'list rate unit'!$B$6:$K$27,10,FALSE),0)</f>
        <v>210000</v>
      </c>
      <c r="E11" s="42">
        <v>857</v>
      </c>
      <c r="F11" s="44">
        <f t="shared" si="0"/>
        <v>0</v>
      </c>
      <c r="G11" s="42"/>
      <c r="H11" s="45">
        <f t="shared" ref="H11" si="5">D11+F11</f>
        <v>210000</v>
      </c>
      <c r="I11" s="18"/>
      <c r="J11" s="41"/>
      <c r="K11" s="41" t="str">
        <f>VLOOKUP(L11,'list rate unit'!O:P,2,FALSE)</f>
        <v>FM 260 Ti</v>
      </c>
      <c r="L11" s="41" t="str">
        <f t="shared" ref="L11" si="6">C11</f>
        <v>FUEL TRUCK - 02</v>
      </c>
    </row>
    <row r="12" spans="2:12" x14ac:dyDescent="0.3">
      <c r="B12" s="41">
        <v>5</v>
      </c>
      <c r="C12" s="41" t="s">
        <v>321</v>
      </c>
      <c r="D12" s="44">
        <f>IFERROR(VLOOKUP(K12,'list rate unit'!$B$6:$K$27,10,FALSE),0)</f>
        <v>12000000</v>
      </c>
      <c r="E12" s="42">
        <v>128</v>
      </c>
      <c r="F12" s="44">
        <f t="shared" si="0"/>
        <v>0</v>
      </c>
      <c r="G12" s="42"/>
      <c r="H12" s="45">
        <f t="shared" ref="H12" si="7">D12+F12</f>
        <v>12000000</v>
      </c>
      <c r="I12" s="18"/>
      <c r="J12" s="41"/>
      <c r="K12" s="41" t="str">
        <f>VLOOKUP(L12,'list rate unit'!O:P,2,FALSE)</f>
        <v>LT</v>
      </c>
      <c r="L12" s="41" t="str">
        <f t="shared" ref="L12" si="8">C12</f>
        <v>TRUCK TYRE (LT-06)</v>
      </c>
    </row>
    <row r="13" spans="2:12" x14ac:dyDescent="0.3">
      <c r="B13" s="41">
        <v>6</v>
      </c>
      <c r="C13" s="41" t="s">
        <v>322</v>
      </c>
      <c r="D13" s="44">
        <f>IFERROR(VLOOKUP(K13,'list rate unit'!$B$6:$K$27,10,FALSE),0)</f>
        <v>12000000</v>
      </c>
      <c r="E13" s="42">
        <v>148</v>
      </c>
      <c r="F13" s="44">
        <f t="shared" si="0"/>
        <v>0</v>
      </c>
      <c r="G13" s="42"/>
      <c r="H13" s="45">
        <f t="shared" ref="H13" si="9">D13+F13</f>
        <v>12000000</v>
      </c>
      <c r="I13" s="18"/>
      <c r="J13" s="41"/>
      <c r="K13" s="41" t="str">
        <f>VLOOKUP(L13,'list rate unit'!O:P,2,FALSE)</f>
        <v>LT</v>
      </c>
      <c r="L13" s="41" t="str">
        <f t="shared" ref="L13" si="10">C13</f>
        <v>WELDER CAR (LT-07)</v>
      </c>
    </row>
    <row r="14" spans="2:12" x14ac:dyDescent="0.3">
      <c r="D14" s="30"/>
      <c r="E14" s="18"/>
      <c r="F14" s="30"/>
      <c r="G14" s="18"/>
      <c r="H14" s="18"/>
      <c r="I14" s="18"/>
    </row>
    <row r="15" spans="2:12" ht="15.75" customHeight="1" x14ac:dyDescent="0.3">
      <c r="B15" s="186" t="s">
        <v>21</v>
      </c>
      <c r="C15" s="186"/>
      <c r="D15" s="51">
        <f>SUM(D8:D14)</f>
        <v>48210000</v>
      </c>
      <c r="E15" s="46">
        <f>SUM(E8:E14)</f>
        <v>1781</v>
      </c>
      <c r="F15" s="47">
        <f>SUM(F8:F14)</f>
        <v>0</v>
      </c>
      <c r="G15" s="46">
        <f>IFERROR(E15/#REF!,0)</f>
        <v>0</v>
      </c>
      <c r="H15" s="48">
        <f>SUM(H8:H14)</f>
        <v>48210000</v>
      </c>
      <c r="I15" s="17"/>
    </row>
    <row r="17" spans="2:10" x14ac:dyDescent="0.3">
      <c r="B17" s="35" t="s">
        <v>34</v>
      </c>
      <c r="C17" s="29">
        <f>'REPORT unit DT HAUL'!C41</f>
        <v>14848</v>
      </c>
    </row>
    <row r="18" spans="2:10" x14ac:dyDescent="0.3">
      <c r="B18" s="35" t="s">
        <v>35</v>
      </c>
      <c r="C18" s="29">
        <f>SUMMARY!$J$13</f>
        <v>0</v>
      </c>
    </row>
    <row r="19" spans="2:10" x14ac:dyDescent="0.3">
      <c r="J19" s="27"/>
    </row>
  </sheetData>
  <mergeCells count="11">
    <mergeCell ref="B15:C15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K14:K1048576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193" t="s">
        <v>1</v>
      </c>
      <c r="D2" s="193" t="s">
        <v>2</v>
      </c>
      <c r="E2" s="193" t="s">
        <v>3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2" t="s">
        <v>4</v>
      </c>
      <c r="AK2" s="192" t="s">
        <v>57</v>
      </c>
      <c r="AL2" s="3"/>
    </row>
    <row r="3" spans="2:38" s="4" customFormat="1" x14ac:dyDescent="0.3">
      <c r="B3" s="4" t="s">
        <v>5</v>
      </c>
      <c r="C3" s="193"/>
      <c r="D3" s="193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92"/>
      <c r="AK3" s="192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193" t="s">
        <v>21</v>
      </c>
      <c r="C29" s="193"/>
      <c r="D29" s="193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194" t="s">
        <v>12</v>
      </c>
      <c r="AA32" s="194"/>
      <c r="AB32" s="194"/>
      <c r="AG32" s="194" t="s">
        <v>13</v>
      </c>
      <c r="AH32" s="194"/>
      <c r="AI32" s="194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194" t="s">
        <v>19</v>
      </c>
      <c r="AA36" s="194"/>
      <c r="AB36" s="194"/>
      <c r="AG36" s="194" t="s">
        <v>20</v>
      </c>
      <c r="AH36" s="194"/>
      <c r="AI36" s="194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2023-07-26T01:08:42Z</cp:lastPrinted>
  <dcterms:created xsi:type="dcterms:W3CDTF">2019-02-05T01:55:23Z</dcterms:created>
  <dcterms:modified xsi:type="dcterms:W3CDTF">2023-07-26T01:23:30Z</dcterms:modified>
</cp:coreProperties>
</file>