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APP\cost production report APP\"/>
    </mc:Choice>
  </mc:AlternateContent>
  <xr:revisionPtr revIDLastSave="0" documentId="13_ncr:1_{B5FE17E1-3BEC-4F8C-9315-0D1F67FD97AB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HAUL'!$B$7:$Q$39</definedName>
    <definedName name="_xlnm._FilterDatabase" localSheetId="3" hidden="1">'REPORT unit OB'!$B$7:$O$58</definedName>
    <definedName name="_xlnm._FilterDatabase" localSheetId="6" hidden="1">'REPORT unit ORE GETTING'!$B$7:$O$29</definedName>
    <definedName name="_xlnm._FilterDatabase" localSheetId="4" hidden="1">'REPORT unit QUARRY'!$B$7:$O$43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3" l="1"/>
  <c r="I33" i="13"/>
  <c r="N33" i="13"/>
  <c r="M33" i="13" s="1"/>
  <c r="E33" i="13" s="1"/>
  <c r="F33" i="13" s="1"/>
  <c r="H34" i="13"/>
  <c r="I34" i="13"/>
  <c r="N34" i="13"/>
  <c r="M34" i="13" s="1"/>
  <c r="E34" i="13" s="1"/>
  <c r="F34" i="13" s="1"/>
  <c r="H35" i="13"/>
  <c r="I35" i="13"/>
  <c r="N35" i="13"/>
  <c r="M35" i="13" s="1"/>
  <c r="E35" i="13" s="1"/>
  <c r="F35" i="13" s="1"/>
  <c r="H36" i="13"/>
  <c r="I36" i="13"/>
  <c r="N36" i="13"/>
  <c r="M36" i="13" s="1"/>
  <c r="E36" i="13" s="1"/>
  <c r="F36" i="13" s="1"/>
  <c r="B36" i="13"/>
  <c r="B35" i="13"/>
  <c r="B34" i="13"/>
  <c r="B33" i="13"/>
  <c r="J35" i="13" l="1"/>
  <c r="J34" i="13"/>
  <c r="J36" i="13"/>
  <c r="J33" i="13"/>
  <c r="G26" i="12" l="1"/>
  <c r="G24" i="12"/>
  <c r="G5" i="12"/>
  <c r="G3" i="12"/>
  <c r="I24" i="13" l="1"/>
  <c r="N24" i="13"/>
  <c r="M24" i="13" s="1"/>
  <c r="E24" i="13" s="1"/>
  <c r="F24" i="13" s="1"/>
  <c r="I25" i="13"/>
  <c r="N25" i="13"/>
  <c r="M25" i="13" s="1"/>
  <c r="E25" i="13" s="1"/>
  <c r="F25" i="13" s="1"/>
  <c r="I26" i="13"/>
  <c r="N26" i="13"/>
  <c r="M26" i="13" s="1"/>
  <c r="E26" i="13" s="1"/>
  <c r="F26" i="13" s="1"/>
  <c r="I27" i="13"/>
  <c r="N27" i="13"/>
  <c r="M27" i="13" s="1"/>
  <c r="E27" i="13" s="1"/>
  <c r="F27" i="13" s="1"/>
  <c r="I28" i="13"/>
  <c r="N28" i="13"/>
  <c r="M28" i="13" s="1"/>
  <c r="E28" i="13" s="1"/>
  <c r="F28" i="13" s="1"/>
  <c r="I29" i="13"/>
  <c r="N29" i="13"/>
  <c r="M29" i="13" s="1"/>
  <c r="E29" i="13" s="1"/>
  <c r="F29" i="13" s="1"/>
  <c r="I30" i="13"/>
  <c r="N30" i="13"/>
  <c r="M30" i="13" s="1"/>
  <c r="E30" i="13" s="1"/>
  <c r="F30" i="13" s="1"/>
  <c r="I31" i="13"/>
  <c r="N31" i="13"/>
  <c r="M31" i="13" s="1"/>
  <c r="E31" i="13" s="1"/>
  <c r="F31" i="13" s="1"/>
  <c r="I32" i="13"/>
  <c r="N32" i="13"/>
  <c r="M32" i="13" s="1"/>
  <c r="E32" i="13" s="1"/>
  <c r="F32" i="13" s="1"/>
  <c r="I37" i="13"/>
  <c r="N37" i="13"/>
  <c r="M37" i="13" s="1"/>
  <c r="E37" i="13" s="1"/>
  <c r="F37" i="13" s="1"/>
  <c r="B24" i="13"/>
  <c r="B25" i="13"/>
  <c r="B26" i="13"/>
  <c r="B27" i="13"/>
  <c r="B28" i="13"/>
  <c r="B29" i="13"/>
  <c r="B30" i="13"/>
  <c r="B31" i="13"/>
  <c r="B32" i="13"/>
  <c r="B37" i="13"/>
  <c r="I53" i="4"/>
  <c r="N53" i="4"/>
  <c r="M53" i="4" s="1"/>
  <c r="E53" i="4" s="1"/>
  <c r="F53" i="4" s="1"/>
  <c r="I54" i="4"/>
  <c r="N54" i="4"/>
  <c r="M54" i="4" s="1"/>
  <c r="E54" i="4" s="1"/>
  <c r="F54" i="4" s="1"/>
  <c r="I55" i="4"/>
  <c r="N55" i="4"/>
  <c r="M55" i="4" s="1"/>
  <c r="E55" i="4" s="1"/>
  <c r="F55" i="4" s="1"/>
  <c r="I56" i="4"/>
  <c r="N56" i="4"/>
  <c r="M56" i="4" s="1"/>
  <c r="E56" i="4" s="1"/>
  <c r="F56" i="4" s="1"/>
  <c r="B53" i="4"/>
  <c r="B54" i="4"/>
  <c r="B55" i="4"/>
  <c r="B56" i="4"/>
  <c r="E18" i="16" l="1"/>
  <c r="G10" i="12" s="1"/>
  <c r="I18" i="15"/>
  <c r="N18" i="15"/>
  <c r="M18" i="15" s="1"/>
  <c r="E18" i="15" s="1"/>
  <c r="F18" i="15" s="1"/>
  <c r="I19" i="15"/>
  <c r="N19" i="15"/>
  <c r="M19" i="15" s="1"/>
  <c r="E19" i="15" s="1"/>
  <c r="F19" i="15" s="1"/>
  <c r="I20" i="15"/>
  <c r="N20" i="15"/>
  <c r="M20" i="15" s="1"/>
  <c r="E20" i="15" s="1"/>
  <c r="F20" i="15" s="1"/>
  <c r="I21" i="15"/>
  <c r="N21" i="15"/>
  <c r="M21" i="15" s="1"/>
  <c r="E21" i="15" s="1"/>
  <c r="F21" i="15" s="1"/>
  <c r="I22" i="15"/>
  <c r="N22" i="15"/>
  <c r="M22" i="15" s="1"/>
  <c r="E22" i="15" s="1"/>
  <c r="F22" i="15" s="1"/>
  <c r="I23" i="15"/>
  <c r="N23" i="15"/>
  <c r="M23" i="15" s="1"/>
  <c r="E23" i="15" s="1"/>
  <c r="F23" i="15" s="1"/>
  <c r="I24" i="15"/>
  <c r="N24" i="15"/>
  <c r="M24" i="15" s="1"/>
  <c r="E24" i="15" s="1"/>
  <c r="F24" i="15" s="1"/>
  <c r="I25" i="15"/>
  <c r="N25" i="15"/>
  <c r="M25" i="15" s="1"/>
  <c r="E25" i="15" s="1"/>
  <c r="F25" i="15" s="1"/>
  <c r="B18" i="15"/>
  <c r="B19" i="15"/>
  <c r="B20" i="15"/>
  <c r="B21" i="15"/>
  <c r="B22" i="15"/>
  <c r="B23" i="15"/>
  <c r="B24" i="15"/>
  <c r="B25" i="15"/>
  <c r="I17" i="13"/>
  <c r="N17" i="13"/>
  <c r="M17" i="13" s="1"/>
  <c r="E17" i="13" s="1"/>
  <c r="F17" i="13" s="1"/>
  <c r="I18" i="13"/>
  <c r="N18" i="13"/>
  <c r="M18" i="13" s="1"/>
  <c r="E18" i="13" s="1"/>
  <c r="F18" i="13" s="1"/>
  <c r="I19" i="13"/>
  <c r="N19" i="13"/>
  <c r="M19" i="13" s="1"/>
  <c r="E19" i="13" s="1"/>
  <c r="F19" i="13" s="1"/>
  <c r="I20" i="13"/>
  <c r="N20" i="13"/>
  <c r="M20" i="13" s="1"/>
  <c r="E20" i="13" s="1"/>
  <c r="F20" i="13" s="1"/>
  <c r="I21" i="13"/>
  <c r="N21" i="13"/>
  <c r="M21" i="13" s="1"/>
  <c r="E21" i="13" s="1"/>
  <c r="F21" i="13" s="1"/>
  <c r="I22" i="13"/>
  <c r="N22" i="13"/>
  <c r="M22" i="13" s="1"/>
  <c r="E22" i="13" s="1"/>
  <c r="F22" i="13" s="1"/>
  <c r="I23" i="13"/>
  <c r="N23" i="13"/>
  <c r="M23" i="13" s="1"/>
  <c r="E23" i="13" s="1"/>
  <c r="F23" i="13" s="1"/>
  <c r="I38" i="13"/>
  <c r="N38" i="13"/>
  <c r="M38" i="13" s="1"/>
  <c r="E38" i="13" s="1"/>
  <c r="F38" i="13" s="1"/>
  <c r="B17" i="13"/>
  <c r="B18" i="13"/>
  <c r="B19" i="13"/>
  <c r="B20" i="13"/>
  <c r="B21" i="13"/>
  <c r="B22" i="13"/>
  <c r="B23" i="13"/>
  <c r="B38" i="13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29" i="15"/>
  <c r="B28" i="15"/>
  <c r="B27" i="15"/>
  <c r="B26" i="15"/>
  <c r="B17" i="15"/>
  <c r="B16" i="15"/>
  <c r="B15" i="15"/>
  <c r="B14" i="15"/>
  <c r="B13" i="15"/>
  <c r="B12" i="15"/>
  <c r="B11" i="15"/>
  <c r="B10" i="15"/>
  <c r="B9" i="15"/>
  <c r="B8" i="15"/>
  <c r="B9" i="14"/>
  <c r="B8" i="14"/>
  <c r="B43" i="13"/>
  <c r="B42" i="13"/>
  <c r="B41" i="13"/>
  <c r="B40" i="13"/>
  <c r="B39" i="13"/>
  <c r="B16" i="13"/>
  <c r="B15" i="13"/>
  <c r="B14" i="13"/>
  <c r="B13" i="13"/>
  <c r="B12" i="13"/>
  <c r="B11" i="13"/>
  <c r="B10" i="13"/>
  <c r="B9" i="13"/>
  <c r="B8" i="13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8" i="4"/>
  <c r="I39" i="13" l="1"/>
  <c r="N39" i="13"/>
  <c r="M39" i="13" s="1"/>
  <c r="E39" i="13" s="1"/>
  <c r="F39" i="13" s="1"/>
  <c r="I40" i="13"/>
  <c r="N40" i="13"/>
  <c r="M40" i="13" s="1"/>
  <c r="E40" i="13" s="1"/>
  <c r="F40" i="13" s="1"/>
  <c r="I41" i="13"/>
  <c r="N41" i="13"/>
  <c r="M41" i="13" s="1"/>
  <c r="E41" i="13" s="1"/>
  <c r="F41" i="13" s="1"/>
  <c r="I42" i="13"/>
  <c r="N42" i="13"/>
  <c r="M42" i="13" s="1"/>
  <c r="E42" i="13" s="1"/>
  <c r="F42" i="13" s="1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N34" i="4"/>
  <c r="M34" i="4" s="1"/>
  <c r="E34" i="4" s="1"/>
  <c r="F34" i="4" s="1"/>
  <c r="N35" i="4"/>
  <c r="M35" i="4" s="1"/>
  <c r="E35" i="4" s="1"/>
  <c r="F35" i="4" s="1"/>
  <c r="N36" i="4"/>
  <c r="M36" i="4" s="1"/>
  <c r="E36" i="4" s="1"/>
  <c r="F36" i="4" s="1"/>
  <c r="N37" i="4"/>
  <c r="M37" i="4" s="1"/>
  <c r="E37" i="4" s="1"/>
  <c r="F37" i="4" s="1"/>
  <c r="N38" i="4"/>
  <c r="M38" i="4" s="1"/>
  <c r="E38" i="4" s="1"/>
  <c r="F38" i="4" s="1"/>
  <c r="N39" i="4"/>
  <c r="M39" i="4" s="1"/>
  <c r="E39" i="4" s="1"/>
  <c r="F39" i="4" s="1"/>
  <c r="N40" i="4"/>
  <c r="M40" i="4" s="1"/>
  <c r="E40" i="4" s="1"/>
  <c r="F40" i="4" s="1"/>
  <c r="N41" i="4"/>
  <c r="M41" i="4" s="1"/>
  <c r="E41" i="4" s="1"/>
  <c r="F41" i="4" s="1"/>
  <c r="N42" i="4"/>
  <c r="M42" i="4" s="1"/>
  <c r="E42" i="4" s="1"/>
  <c r="F42" i="4" s="1"/>
  <c r="N43" i="4"/>
  <c r="M43" i="4" s="1"/>
  <c r="E43" i="4" s="1"/>
  <c r="F43" i="4" s="1"/>
  <c r="N44" i="4"/>
  <c r="M44" i="4" s="1"/>
  <c r="E44" i="4" s="1"/>
  <c r="F44" i="4" s="1"/>
  <c r="N45" i="4"/>
  <c r="M45" i="4" s="1"/>
  <c r="E45" i="4" s="1"/>
  <c r="F45" i="4" s="1"/>
  <c r="N46" i="4"/>
  <c r="M46" i="4" s="1"/>
  <c r="E46" i="4" s="1"/>
  <c r="F46" i="4" s="1"/>
  <c r="N47" i="4"/>
  <c r="M47" i="4" s="1"/>
  <c r="E47" i="4" s="1"/>
  <c r="F47" i="4" s="1"/>
  <c r="N48" i="4"/>
  <c r="M48" i="4" s="1"/>
  <c r="E48" i="4" s="1"/>
  <c r="F48" i="4" s="1"/>
  <c r="N49" i="4"/>
  <c r="M49" i="4" s="1"/>
  <c r="E49" i="4" s="1"/>
  <c r="F49" i="4" s="1"/>
  <c r="N50" i="4"/>
  <c r="M50" i="4" s="1"/>
  <c r="E50" i="4" s="1"/>
  <c r="F50" i="4" s="1"/>
  <c r="N51" i="4"/>
  <c r="M51" i="4" s="1"/>
  <c r="E51" i="4" s="1"/>
  <c r="F51" i="4" s="1"/>
  <c r="N52" i="4"/>
  <c r="M52" i="4" s="1"/>
  <c r="E52" i="4" s="1"/>
  <c r="F52" i="4" s="1"/>
  <c r="I30" i="4" l="1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20" i="4" l="1"/>
  <c r="N20" i="4"/>
  <c r="M20" i="4" s="1"/>
  <c r="E20" i="4" s="1"/>
  <c r="F20" i="4" s="1"/>
  <c r="N15" i="7" l="1"/>
  <c r="I29" i="15" l="1"/>
  <c r="I28" i="15"/>
  <c r="I27" i="15"/>
  <c r="I26" i="15"/>
  <c r="I17" i="15"/>
  <c r="I16" i="15"/>
  <c r="I15" i="15"/>
  <c r="I14" i="15"/>
  <c r="I13" i="15"/>
  <c r="I12" i="15"/>
  <c r="I11" i="15"/>
  <c r="I10" i="15"/>
  <c r="I9" i="15"/>
  <c r="I10" i="13" l="1"/>
  <c r="N10" i="13"/>
  <c r="M10" i="13" s="1"/>
  <c r="E10" i="13" s="1"/>
  <c r="F10" i="13" s="1"/>
  <c r="I11" i="13"/>
  <c r="N11" i="13"/>
  <c r="M11" i="13" s="1"/>
  <c r="E11" i="13" s="1"/>
  <c r="F11" i="13" s="1"/>
  <c r="I12" i="13"/>
  <c r="N12" i="13"/>
  <c r="M12" i="13" s="1"/>
  <c r="E12" i="13" s="1"/>
  <c r="F12" i="13" s="1"/>
  <c r="I13" i="13"/>
  <c r="N13" i="13"/>
  <c r="M13" i="13" s="1"/>
  <c r="E13" i="13" s="1"/>
  <c r="F13" i="13" s="1"/>
  <c r="I14" i="13"/>
  <c r="N14" i="13"/>
  <c r="M14" i="13" s="1"/>
  <c r="E14" i="13" s="1"/>
  <c r="F14" i="13" s="1"/>
  <c r="I15" i="13"/>
  <c r="N15" i="13"/>
  <c r="M15" i="13" s="1"/>
  <c r="E15" i="13" s="1"/>
  <c r="F15" i="13" s="1"/>
  <c r="I16" i="13"/>
  <c r="N16" i="13"/>
  <c r="M16" i="13" s="1"/>
  <c r="E16" i="13" s="1"/>
  <c r="F16" i="13" s="1"/>
  <c r="I43" i="13"/>
  <c r="N43" i="13"/>
  <c r="M43" i="13" s="1"/>
  <c r="E43" i="13" s="1"/>
  <c r="F43" i="13" s="1"/>
  <c r="I19" i="4"/>
  <c r="N19" i="4"/>
  <c r="M19" i="4" s="1"/>
  <c r="E19" i="4" s="1"/>
  <c r="F19" i="4" s="1"/>
  <c r="I21" i="4"/>
  <c r="N21" i="4"/>
  <c r="M21" i="4" s="1"/>
  <c r="E21" i="4" s="1"/>
  <c r="F21" i="4" s="1"/>
  <c r="I22" i="4"/>
  <c r="N22" i="4"/>
  <c r="M22" i="4" s="1"/>
  <c r="E22" i="4" s="1"/>
  <c r="F22" i="4" s="1"/>
  <c r="I23" i="4"/>
  <c r="N23" i="4"/>
  <c r="M23" i="4" s="1"/>
  <c r="E23" i="4" s="1"/>
  <c r="F23" i="4" s="1"/>
  <c r="I24" i="4"/>
  <c r="N24" i="4"/>
  <c r="M24" i="4" s="1"/>
  <c r="E24" i="4" s="1"/>
  <c r="F24" i="4" s="1"/>
  <c r="I25" i="4"/>
  <c r="N25" i="4"/>
  <c r="M25" i="4" s="1"/>
  <c r="E25" i="4" s="1"/>
  <c r="F25" i="4" s="1"/>
  <c r="I26" i="4"/>
  <c r="N26" i="4"/>
  <c r="M26" i="4" s="1"/>
  <c r="E26" i="4" s="1"/>
  <c r="F26" i="4" s="1"/>
  <c r="I27" i="4"/>
  <c r="N27" i="4"/>
  <c r="M27" i="4" s="1"/>
  <c r="E27" i="4" s="1"/>
  <c r="F27" i="4" s="1"/>
  <c r="I28" i="4"/>
  <c r="N28" i="4"/>
  <c r="M28" i="4" s="1"/>
  <c r="E28" i="4" s="1"/>
  <c r="F28" i="4" s="1"/>
  <c r="I29" i="4"/>
  <c r="N29" i="4"/>
  <c r="M29" i="4" s="1"/>
  <c r="E29" i="4" l="1"/>
  <c r="F29" i="4" s="1"/>
  <c r="G31" i="15"/>
  <c r="D31" i="15" l="1"/>
  <c r="I9" i="14"/>
  <c r="N9" i="14"/>
  <c r="M9" i="14" l="1"/>
  <c r="E9" i="14" s="1"/>
  <c r="F9" i="14" s="1"/>
  <c r="L25" i="6"/>
  <c r="K25" i="6" s="1"/>
  <c r="D25" i="6" s="1"/>
  <c r="L26" i="6"/>
  <c r="K26" i="6" s="1"/>
  <c r="D26" i="6" s="1"/>
  <c r="L27" i="6"/>
  <c r="K27" i="6" s="1"/>
  <c r="D27" i="6" s="1"/>
  <c r="D41" i="7"/>
  <c r="E11" i="16" s="1"/>
  <c r="G4" i="12" s="1"/>
  <c r="E41" i="7"/>
  <c r="D31" i="16" l="1"/>
  <c r="G18" i="12" s="1"/>
  <c r="N29" i="15"/>
  <c r="G58" i="4"/>
  <c r="G45" i="13"/>
  <c r="D45" i="13"/>
  <c r="M29" i="15" l="1"/>
  <c r="E29" i="15" s="1"/>
  <c r="F29" i="15" s="1"/>
  <c r="C61" i="4"/>
  <c r="D13" i="16"/>
  <c r="H53" i="4" l="1"/>
  <c r="J53" i="4" s="1"/>
  <c r="H54" i="4"/>
  <c r="J54" i="4" s="1"/>
  <c r="H55" i="4"/>
  <c r="J55" i="4" s="1"/>
  <c r="H56" i="4"/>
  <c r="J56" i="4" s="1"/>
  <c r="H49" i="4"/>
  <c r="J49" i="4" s="1"/>
  <c r="H35" i="4"/>
  <c r="J35" i="4" s="1"/>
  <c r="H43" i="4"/>
  <c r="J43" i="4" s="1"/>
  <c r="H50" i="4"/>
  <c r="J50" i="4" s="1"/>
  <c r="H36" i="4"/>
  <c r="J36" i="4" s="1"/>
  <c r="H44" i="4"/>
  <c r="J44" i="4" s="1"/>
  <c r="H51" i="4"/>
  <c r="J51" i="4" s="1"/>
  <c r="H37" i="4"/>
  <c r="J37" i="4" s="1"/>
  <c r="H45" i="4"/>
  <c r="J45" i="4" s="1"/>
  <c r="H52" i="4"/>
  <c r="J52" i="4" s="1"/>
  <c r="H38" i="4"/>
  <c r="J38" i="4" s="1"/>
  <c r="H46" i="4"/>
  <c r="J46" i="4" s="1"/>
  <c r="H39" i="4"/>
  <c r="J39" i="4" s="1"/>
  <c r="H47" i="4"/>
  <c r="J47" i="4" s="1"/>
  <c r="H40" i="4"/>
  <c r="J40" i="4" s="1"/>
  <c r="H48" i="4"/>
  <c r="J48" i="4" s="1"/>
  <c r="H41" i="4"/>
  <c r="J41" i="4" s="1"/>
  <c r="H34" i="4"/>
  <c r="J34" i="4" s="1"/>
  <c r="H42" i="4"/>
  <c r="J42" i="4" s="1"/>
  <c r="H20" i="4"/>
  <c r="J20" i="4" s="1"/>
  <c r="H30" i="4"/>
  <c r="J30" i="4" s="1"/>
  <c r="H31" i="4"/>
  <c r="J31" i="4" s="1"/>
  <c r="H32" i="4"/>
  <c r="J32" i="4" s="1"/>
  <c r="H33" i="4"/>
  <c r="J33" i="4" s="1"/>
  <c r="H22" i="4"/>
  <c r="J22" i="4" s="1"/>
  <c r="H27" i="4"/>
  <c r="J27" i="4" s="1"/>
  <c r="H23" i="4"/>
  <c r="J23" i="4" s="1"/>
  <c r="H28" i="4"/>
  <c r="J28" i="4" s="1"/>
  <c r="H24" i="4"/>
  <c r="J24" i="4" s="1"/>
  <c r="H29" i="4"/>
  <c r="J29" i="4" s="1"/>
  <c r="H25" i="4"/>
  <c r="J25" i="4" s="1"/>
  <c r="H19" i="4"/>
  <c r="J19" i="4" s="1"/>
  <c r="H21" i="4"/>
  <c r="J21" i="4" s="1"/>
  <c r="H26" i="4"/>
  <c r="J26" i="4" s="1"/>
  <c r="F18" i="16" l="1"/>
  <c r="F12" i="16"/>
  <c r="G9" i="12" s="1"/>
  <c r="J10" i="16"/>
  <c r="G25" i="12" s="1"/>
  <c r="F10" i="16"/>
  <c r="G7" i="12" s="1"/>
  <c r="P7" i="12" l="1"/>
  <c r="P9" i="12"/>
  <c r="N9" i="7"/>
  <c r="N10" i="7"/>
  <c r="N11" i="7"/>
  <c r="N12" i="7"/>
  <c r="N13" i="7"/>
  <c r="N14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8" i="7"/>
  <c r="K28" i="5"/>
  <c r="N41" i="7" l="1"/>
  <c r="N8" i="14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E29" i="6"/>
  <c r="M8" i="14" l="1"/>
  <c r="E8" i="14" s="1"/>
  <c r="F8" i="14" s="1"/>
  <c r="K24" i="6"/>
  <c r="D24" i="6" s="1"/>
  <c r="D58" i="4"/>
  <c r="G29" i="6" l="1"/>
  <c r="C34" i="15" l="1"/>
  <c r="C33" i="15"/>
  <c r="N28" i="15"/>
  <c r="N27" i="15"/>
  <c r="H27" i="15"/>
  <c r="N26" i="15"/>
  <c r="N17" i="15"/>
  <c r="N16" i="15"/>
  <c r="N15" i="15"/>
  <c r="N14" i="15"/>
  <c r="N13" i="15"/>
  <c r="N12" i="15"/>
  <c r="N11" i="15"/>
  <c r="N10" i="15"/>
  <c r="N9" i="15"/>
  <c r="N8" i="15"/>
  <c r="I8" i="15"/>
  <c r="C14" i="14"/>
  <c r="H9" i="14" s="1"/>
  <c r="J9" i="14" s="1"/>
  <c r="C13" i="14"/>
  <c r="G11" i="14"/>
  <c r="D11" i="14"/>
  <c r="N9" i="13"/>
  <c r="M9" i="13" s="1"/>
  <c r="E9" i="13" s="1"/>
  <c r="F9" i="13" s="1"/>
  <c r="I9" i="13"/>
  <c r="N8" i="13"/>
  <c r="M8" i="13" s="1"/>
  <c r="E8" i="13" s="1"/>
  <c r="I8" i="13"/>
  <c r="H18" i="15" l="1"/>
  <c r="J18" i="15" s="1"/>
  <c r="H24" i="15"/>
  <c r="J24" i="15" s="1"/>
  <c r="H19" i="15"/>
  <c r="J19" i="15" s="1"/>
  <c r="H25" i="15"/>
  <c r="J25" i="15" s="1"/>
  <c r="H20" i="15"/>
  <c r="J20" i="15" s="1"/>
  <c r="H23" i="15"/>
  <c r="J23" i="15" s="1"/>
  <c r="H21" i="15"/>
  <c r="J21" i="15" s="1"/>
  <c r="H22" i="15"/>
  <c r="J22" i="15" s="1"/>
  <c r="M9" i="15"/>
  <c r="E9" i="15" s="1"/>
  <c r="F9" i="15" s="1"/>
  <c r="M12" i="15"/>
  <c r="E12" i="15" s="1"/>
  <c r="F12" i="15" s="1"/>
  <c r="M14" i="15"/>
  <c r="E14" i="15" s="1"/>
  <c r="F14" i="15" s="1"/>
  <c r="M8" i="15"/>
  <c r="E8" i="15" s="1"/>
  <c r="M13" i="15"/>
  <c r="E13" i="15" s="1"/>
  <c r="F13" i="15" s="1"/>
  <c r="M26" i="15"/>
  <c r="E26" i="15" s="1"/>
  <c r="F26" i="15" s="1"/>
  <c r="M10" i="15"/>
  <c r="E10" i="15" s="1"/>
  <c r="F10" i="15" s="1"/>
  <c r="M16" i="15"/>
  <c r="E16" i="15" s="1"/>
  <c r="F16" i="15" s="1"/>
  <c r="M27" i="15"/>
  <c r="E27" i="15" s="1"/>
  <c r="F27" i="15" s="1"/>
  <c r="J27" i="15" s="1"/>
  <c r="M11" i="15"/>
  <c r="E11" i="15" s="1"/>
  <c r="F11" i="15" s="1"/>
  <c r="M15" i="15"/>
  <c r="E15" i="15" s="1"/>
  <c r="F15" i="15" s="1"/>
  <c r="M17" i="15"/>
  <c r="E17" i="15" s="1"/>
  <c r="F17" i="15" s="1"/>
  <c r="M28" i="15"/>
  <c r="E28" i="15" s="1"/>
  <c r="F28" i="15" s="1"/>
  <c r="H29" i="15"/>
  <c r="J29" i="15" s="1"/>
  <c r="H8" i="14"/>
  <c r="J8" i="14" s="1"/>
  <c r="F8" i="13"/>
  <c r="F45" i="13" s="1"/>
  <c r="E45" i="13"/>
  <c r="E11" i="14"/>
  <c r="H8" i="15"/>
  <c r="H12" i="15"/>
  <c r="H16" i="15"/>
  <c r="H28" i="15"/>
  <c r="H10" i="15"/>
  <c r="H14" i="15"/>
  <c r="H13" i="15"/>
  <c r="H26" i="15"/>
  <c r="H9" i="15"/>
  <c r="H17" i="15"/>
  <c r="H11" i="15"/>
  <c r="H15" i="15"/>
  <c r="F11" i="14"/>
  <c r="I31" i="15"/>
  <c r="I11" i="14"/>
  <c r="I45" i="13"/>
  <c r="E31" i="15" l="1"/>
  <c r="F8" i="15"/>
  <c r="F31" i="15" s="1"/>
  <c r="J15" i="15"/>
  <c r="J26" i="15"/>
  <c r="J11" i="15"/>
  <c r="J10" i="15"/>
  <c r="J17" i="15"/>
  <c r="J9" i="15"/>
  <c r="J16" i="15"/>
  <c r="J14" i="15"/>
  <c r="J12" i="15"/>
  <c r="J13" i="15"/>
  <c r="J28" i="15"/>
  <c r="J8" i="15"/>
  <c r="H31" i="15"/>
  <c r="J11" i="14"/>
  <c r="H11" i="14"/>
  <c r="J31" i="15" l="1"/>
  <c r="E20" i="11"/>
  <c r="D24" i="16"/>
  <c r="G13" i="12" s="1"/>
  <c r="E21" i="11"/>
  <c r="D25" i="16"/>
  <c r="G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C48" i="13"/>
  <c r="C47" i="13"/>
  <c r="H28" i="13" l="1"/>
  <c r="J28" i="13" s="1"/>
  <c r="H24" i="13"/>
  <c r="J24" i="13" s="1"/>
  <c r="H29" i="13"/>
  <c r="J29" i="13" s="1"/>
  <c r="H25" i="13"/>
  <c r="J25" i="13" s="1"/>
  <c r="H30" i="13"/>
  <c r="J30" i="13" s="1"/>
  <c r="H32" i="13"/>
  <c r="J32" i="13" s="1"/>
  <c r="H31" i="13"/>
  <c r="J31" i="13" s="1"/>
  <c r="H26" i="13"/>
  <c r="J26" i="13" s="1"/>
  <c r="H37" i="13"/>
  <c r="J37" i="13" s="1"/>
  <c r="H27" i="13"/>
  <c r="J27" i="13" s="1"/>
  <c r="H17" i="13"/>
  <c r="J17" i="13" s="1"/>
  <c r="H23" i="13"/>
  <c r="J23" i="13" s="1"/>
  <c r="H21" i="13"/>
  <c r="J21" i="13" s="1"/>
  <c r="H18" i="13"/>
  <c r="J18" i="13" s="1"/>
  <c r="H38" i="13"/>
  <c r="J38" i="13" s="1"/>
  <c r="H19" i="13"/>
  <c r="J19" i="13" s="1"/>
  <c r="H20" i="13"/>
  <c r="J20" i="13" s="1"/>
  <c r="H22" i="13"/>
  <c r="J22" i="13" s="1"/>
  <c r="H39" i="13"/>
  <c r="J39" i="13" s="1"/>
  <c r="H42" i="13"/>
  <c r="J42" i="13" s="1"/>
  <c r="H40" i="13"/>
  <c r="J40" i="13" s="1"/>
  <c r="H41" i="13"/>
  <c r="J41" i="13" s="1"/>
  <c r="H16" i="13"/>
  <c r="J16" i="13" s="1"/>
  <c r="H13" i="13"/>
  <c r="J13" i="13" s="1"/>
  <c r="H43" i="13"/>
  <c r="J43" i="13" s="1"/>
  <c r="H10" i="13"/>
  <c r="J10" i="13" s="1"/>
  <c r="H14" i="13"/>
  <c r="J14" i="13" s="1"/>
  <c r="H11" i="13"/>
  <c r="J11" i="13" s="1"/>
  <c r="H15" i="13"/>
  <c r="J15" i="13" s="1"/>
  <c r="H12" i="13"/>
  <c r="J12" i="13" s="1"/>
  <c r="H9" i="13"/>
  <c r="J9" i="13" s="1"/>
  <c r="H8" i="13"/>
  <c r="I18" i="4"/>
  <c r="N18" i="4"/>
  <c r="M18" i="4" s="1"/>
  <c r="E18" i="4" s="1"/>
  <c r="F18" i="4" s="1"/>
  <c r="H45" i="13" l="1"/>
  <c r="J8" i="13"/>
  <c r="J45" i="13" s="1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G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C32" i="6" l="1"/>
  <c r="L10" i="6"/>
  <c r="K10" i="6" s="1"/>
  <c r="D10" i="6" s="1"/>
  <c r="C45" i="7"/>
  <c r="F25" i="6" l="1"/>
  <c r="H25" i="6" s="1"/>
  <c r="F27" i="6"/>
  <c r="H27" i="6" s="1"/>
  <c r="F26" i="6"/>
  <c r="H26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13" i="6"/>
  <c r="H13" i="6" s="1"/>
  <c r="F14" i="6"/>
  <c r="H14" i="6" s="1"/>
  <c r="F11" i="6"/>
  <c r="H11" i="6" s="1"/>
  <c r="F12" i="6"/>
  <c r="H12" i="6" s="1"/>
  <c r="H18" i="4"/>
  <c r="J18" i="4" s="1"/>
  <c r="H13" i="4"/>
  <c r="J13" i="4" s="1"/>
  <c r="H15" i="4"/>
  <c r="J15" i="4" s="1"/>
  <c r="H10" i="4"/>
  <c r="J10" i="4" s="1"/>
  <c r="H17" i="4"/>
  <c r="J17" i="4" s="1"/>
  <c r="H12" i="4"/>
  <c r="J12" i="4" s="1"/>
  <c r="H14" i="4"/>
  <c r="J14" i="4" s="1"/>
  <c r="H9" i="4"/>
  <c r="J9" i="4" s="1"/>
  <c r="H16" i="4"/>
  <c r="J16" i="4" s="1"/>
  <c r="H11" i="4"/>
  <c r="J11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21" i="7"/>
  <c r="M21" i="7" s="1"/>
  <c r="I13" i="7"/>
  <c r="M13" i="7" s="1"/>
  <c r="I29" i="7"/>
  <c r="M29" i="7" s="1"/>
  <c r="I37" i="7"/>
  <c r="M37" i="7" s="1"/>
  <c r="P5" i="12" l="1"/>
  <c r="A12" i="12"/>
  <c r="A13" i="12"/>
  <c r="A14" i="12"/>
  <c r="A15" i="12"/>
  <c r="A16" i="12"/>
  <c r="A11" i="12"/>
  <c r="I10" i="11"/>
  <c r="P14" i="12" l="1"/>
  <c r="A30" i="12" l="1"/>
  <c r="P26" i="12"/>
  <c r="P25" i="12"/>
  <c r="P24" i="12"/>
  <c r="P13" i="12"/>
  <c r="P12" i="12"/>
  <c r="P10" i="12"/>
  <c r="P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2" i="11" l="1"/>
  <c r="I20" i="11"/>
  <c r="J20" i="11" s="1"/>
  <c r="I21" i="11"/>
  <c r="J21" i="11" s="1"/>
  <c r="I19" i="11"/>
  <c r="J19" i="11" s="1"/>
  <c r="P4" i="12"/>
  <c r="P6" i="12" s="1"/>
  <c r="J24" i="16"/>
  <c r="K24" i="16" s="1"/>
  <c r="E13" i="16"/>
  <c r="G6" i="12" s="1"/>
  <c r="J25" i="16"/>
  <c r="K25" i="16" s="1"/>
  <c r="F11" i="16"/>
  <c r="G8" i="12" s="1"/>
  <c r="J23" i="16"/>
  <c r="K23" i="16" s="1"/>
  <c r="P8" i="12" l="1"/>
  <c r="F13" i="16"/>
  <c r="P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41" i="7" l="1"/>
  <c r="AK29" i="2" l="1"/>
  <c r="K41" i="7" l="1"/>
  <c r="D36" i="1" l="1"/>
  <c r="D35" i="1" l="1"/>
  <c r="D34" i="1"/>
  <c r="D32" i="1"/>
  <c r="D33" i="1"/>
  <c r="L8" i="6"/>
  <c r="K8" i="6" s="1"/>
  <c r="D8" i="6" s="1"/>
  <c r="D29" i="6" s="1"/>
  <c r="N8" i="4"/>
  <c r="M8" i="4" s="1"/>
  <c r="E8" i="4" s="1"/>
  <c r="AK4" i="2"/>
  <c r="F8" i="4" l="1"/>
  <c r="E58" i="4"/>
  <c r="AK30" i="2"/>
  <c r="H8" i="4"/>
  <c r="AK5" i="1"/>
  <c r="AK4" i="1"/>
  <c r="F8" i="6"/>
  <c r="F29" i="6" s="1"/>
  <c r="AK29" i="1" l="1"/>
  <c r="H8" i="6"/>
  <c r="H41" i="7"/>
  <c r="J8" i="4"/>
  <c r="J58" i="4" s="1"/>
  <c r="D22" i="16" s="1"/>
  <c r="G11" i="12" s="1"/>
  <c r="I8" i="4"/>
  <c r="E39" i="2"/>
  <c r="E41" i="2" s="1"/>
  <c r="H44" i="7" l="1"/>
  <c r="G36" i="15"/>
  <c r="J18" i="16"/>
  <c r="J22" i="16"/>
  <c r="K22" i="16" s="1"/>
  <c r="I15" i="11"/>
  <c r="H29" i="6"/>
  <c r="H58" i="4"/>
  <c r="E18" i="11"/>
  <c r="M41" i="7"/>
  <c r="L41" i="7"/>
  <c r="I41" i="7"/>
  <c r="D38" i="1"/>
  <c r="D40" i="1" s="1"/>
  <c r="J41" i="7"/>
  <c r="G27" i="12" l="1"/>
  <c r="G22" i="12" s="1"/>
  <c r="J19" i="16"/>
  <c r="G28" i="12" s="1"/>
  <c r="E14" i="16"/>
  <c r="F14" i="16" s="1"/>
  <c r="G23" i="12" s="1"/>
  <c r="P27" i="12"/>
  <c r="P22" i="12" s="1"/>
  <c r="E22" i="11"/>
  <c r="D26" i="16"/>
  <c r="G15" i="12" s="1"/>
  <c r="E23" i="11"/>
  <c r="I23" i="11" s="1"/>
  <c r="J23" i="11" s="1"/>
  <c r="D27" i="16"/>
  <c r="G16" i="12" s="1"/>
  <c r="I18" i="11"/>
  <c r="P11" i="12"/>
  <c r="F58" i="4"/>
  <c r="I58" i="4"/>
  <c r="P28" i="12" l="1"/>
  <c r="P23" i="12"/>
  <c r="P16" i="12"/>
  <c r="J26" i="16"/>
  <c r="K26" i="16" s="1"/>
  <c r="P15" i="12"/>
  <c r="I22" i="11"/>
  <c r="J22" i="11" s="1"/>
  <c r="J27" i="16"/>
  <c r="D30" i="16"/>
  <c r="G17" i="12" s="1"/>
  <c r="E26" i="11"/>
  <c r="J18" i="11"/>
  <c r="C60" i="4"/>
  <c r="C44" i="7" s="1"/>
  <c r="C31" i="6" s="1"/>
  <c r="G20" i="12" l="1"/>
  <c r="G19" i="12"/>
  <c r="G21" i="12" s="1"/>
  <c r="J24" i="11"/>
  <c r="I24" i="11"/>
  <c r="J30" i="16"/>
  <c r="D33" i="16"/>
  <c r="B35" i="16"/>
  <c r="K27" i="16"/>
  <c r="K28" i="16" s="1"/>
  <c r="J28" i="16"/>
  <c r="B31" i="11"/>
  <c r="I26" i="11"/>
  <c r="E30" i="11"/>
  <c r="G29" i="12" l="1"/>
  <c r="P29" i="12" s="1"/>
  <c r="I27" i="16"/>
  <c r="J31" i="16"/>
  <c r="I24" i="16"/>
  <c r="I26" i="16"/>
  <c r="I25" i="16"/>
  <c r="I22" i="16"/>
  <c r="I23" i="16"/>
  <c r="I27" i="11"/>
  <c r="P17" i="12"/>
  <c r="P20" i="12" s="1"/>
  <c r="H18" i="11"/>
  <c r="H19" i="11"/>
  <c r="H23" i="11"/>
  <c r="H21" i="11"/>
  <c r="H20" i="11"/>
  <c r="H22" i="11"/>
  <c r="G30" i="12" l="1"/>
  <c r="P30" i="12" s="1"/>
  <c r="I28" i="16"/>
  <c r="P19" i="12"/>
  <c r="P21" i="12" s="1"/>
  <c r="H24" i="11"/>
</calcChain>
</file>

<file path=xl/sharedStrings.xml><?xml version="1.0" encoding="utf-8"?>
<sst xmlns="http://schemas.openxmlformats.org/spreadsheetml/2006/main" count="1148" uniqueCount="396">
  <si>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</si>
  <si>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</si>
  <si>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</si>
  <si>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</si>
  <si>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</si>
  <si>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</si>
  <si>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</si>
  <si>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</si>
  <si>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</si>
  <si>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</si>
  <si>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</si>
  <si>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</si>
  <si>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</si>
  <si>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</si>
  <si>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</si>
  <si>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</si>
  <si>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</si>
  <si>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</si>
  <si>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</si>
  <si>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</si>
  <si>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</si>
  <si>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</si>
  <si>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</si>
  <si>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</si>
  <si>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</si>
  <si>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</si>
  <si>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</si>
  <si>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</si>
  <si>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</si>
  <si>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</si>
  <si>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</si>
  <si>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</si>
  <si>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</si>
  <si>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</si>
  <si>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</si>
  <si>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</si>
  <si>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</si>
  <si>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</si>
  <si>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</si>
  <si>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</si>
  <si>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</si>
  <si>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</si>
  <si>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</si>
  <si>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</si>
  <si>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</si>
  <si>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</si>
  <si>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</si>
  <si>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</si>
  <si>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</si>
  <si>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</si>
  <si>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</si>
  <si>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</si>
  <si>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</si>
  <si>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</si>
  <si>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</si>
  <si>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</si>
  <si>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</si>
  <si>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</si>
  <si>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</si>
  <si>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</si>
  <si>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</si>
  <si>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</si>
  <si>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</si>
  <si>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</si>
  <si>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</si>
  <si>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</si>
  <si>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</si>
  <si>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</si>
  <si>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</si>
  <si>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</si>
  <si>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</si>
  <si>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</si>
  <si>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</si>
  <si>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</si>
  <si>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</si>
  <si>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</si>
  <si>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</si>
  <si>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</si>
  <si>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</si>
  <si>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</si>
  <si>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</si>
  <si>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</si>
  <si>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</si>
  <si>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</si>
  <si>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</si>
  <si>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</si>
  <si>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</si>
  <si>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</si>
  <si>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</si>
  <si>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</si>
  <si>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</si>
  <si>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</si>
  <si>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</si>
  <si>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</si>
  <si>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</si>
  <si>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</si>
  <si>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</si>
  <si>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</si>
  <si>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</si>
  <si>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</si>
  <si>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</si>
  <si>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</si>
  <si>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</si>
  <si>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</si>
  <si>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</si>
  <si>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</si>
  <si>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</si>
  <si>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</si>
  <si>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</si>
  <si>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</si>
  <si>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</si>
  <si>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</si>
  <si>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</si>
  <si>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</si>
  <si>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</si>
  <si>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</si>
  <si>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</si>
  <si>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</si>
  <si>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</si>
  <si>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</si>
  <si>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</si>
  <si>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</si>
  <si>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</si>
  <si>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</si>
  <si>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</si>
  <si>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</si>
  <si>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</si>
  <si>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</si>
  <si>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</si>
  <si>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</si>
  <si>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</si>
  <si>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</si>
  <si>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</si>
  <si>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</si>
  <si>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</si>
  <si>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</si>
  <si>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</si>
  <si>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</si>
  <si>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</si>
  <si>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</si>
  <si>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</si>
  <si>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</si>
  <si>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</si>
  <si>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</si>
  <si>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</si>
  <si>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</si>
  <si>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</si>
  <si>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</si>
  <si>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</si>
  <si>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</si>
  <si>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</si>
  <si>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</si>
  <si>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</si>
  <si>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</si>
  <si>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</si>
  <si>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</si>
  <si>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</si>
  <si>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</si>
  <si>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</si>
  <si>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</si>
  <si>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</si>
  <si>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</si>
  <si>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</si>
  <si>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</si>
  <si>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</si>
  <si>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</si>
  <si>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</si>
  <si>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</si>
  <si>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</si>
  <si>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</si>
  <si>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</si>
  <si>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</si>
  <si>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</si>
  <si>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</si>
  <si>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</si>
  <si>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</si>
  <si>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</si>
  <si>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</si>
  <si>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</si>
  <si>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</si>
  <si>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</si>
  <si>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</si>
  <si>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</si>
  <si>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</si>
  <si>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</si>
  <si>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</si>
  <si>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</si>
  <si>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</si>
  <si>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</si>
  <si>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</si>
  <si>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</si>
  <si>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</si>
  <si>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</si>
  <si>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</si>
  <si>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</si>
  <si>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</si>
  <si>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</si>
  <si>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</si>
  <si>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</si>
  <si>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</si>
  <si>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</si>
  <si>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</si>
  <si>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</si>
  <si>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</si>
  <si>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</si>
  <si>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</si>
  <si>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</si>
  <si>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</si>
  <si>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</si>
  <si>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</si>
  <si>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</si>
  <si>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</si>
  <si>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</si>
  <si>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</si>
  <si>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</si>
  <si>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</si>
  <si>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</si>
  <si>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</si>
  <si>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</si>
  <si>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</si>
  <si>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</si>
  <si>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</si>
  <si>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</si>
  <si>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</si>
  <si>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</si>
  <si>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</si>
  <si>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</si>
  <si>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</si>
  <si>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</si>
  <si>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</si>
  <si>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</si>
  <si>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</si>
  <si>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</si>
  <si>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</si>
  <si>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</si>
  <si>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</si>
  <si>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</si>
  <si>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</si>
  <si>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</si>
  <si>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</si>
  <si>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</si>
  <si>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</si>
  <si>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</si>
  <si>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</si>
  <si>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</si>
  <si>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</si>
  <si>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</si>
  <si>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</si>
  <si>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</si>
  <si>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</si>
  <si>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</si>
  <si>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</si>
  <si>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</si>
  <si>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</si>
  <si>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</si>
  <si>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</si>
  <si>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</si>
  <si>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</si>
  <si>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</si>
  <si>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</si>
  <si>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</si>
  <si>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</si>
  <si>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</si>
  <si>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</si>
  <si>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</si>
  <si>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</si>
  <si>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</si>
  <si>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</si>
  <si>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</si>
  <si>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</si>
  <si>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</si>
  <si>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</si>
  <si>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</si>
  <si>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</si>
  <si>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</si>
  <si>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</si>
  <si>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</si>
  <si>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</si>
  <si>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</si>
  <si>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</si>
  <si>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</si>
  <si>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</si>
  <si>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</si>
  <si>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</si>
  <si>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</si>
  <si>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</si>
  <si>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</si>
  <si>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</si>
  <si>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</si>
  <si>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</si>
  <si>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</si>
  <si>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</si>
  <si>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</si>
  <si>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</si>
  <si>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</si>
  <si>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</si>
  <si>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</si>
  <si>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</si>
  <si>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</si>
  <si>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</si>
  <si>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</si>
  <si>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</si>
  <si>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</si>
  <si>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</si>
  <si>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</si>
  <si>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</si>
  <si>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</si>
  <si>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</si>
  <si>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</si>
  <si>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</si>
  <si>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</si>
  <si>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</si>
  <si>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</si>
  <si>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</si>
  <si>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</si>
  <si>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</si>
  <si>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</si>
  <si>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</si>
  <si>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</si>
  <si>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</si>
  <si>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</si>
  <si>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</si>
  <si>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</si>
  <si>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</si>
  <si>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</si>
  <si>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</si>
  <si>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</si>
  <si>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</si>
  <si>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>NOTE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</si>
  <si>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</si>
  <si>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</si>
  <si>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</si>
  <si>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</si>
  <si>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</si>
  <si>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</si>
  <si>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>LV HILUX SILVER - 20</t>
  </si>
  <si>
    <t>KOMATSU PC 200 - 04</t>
  </si>
  <si>
    <t>LV HLUX SILVER - 07</t>
  </si>
  <si>
    <t>LV TRITON PUTIH - 28</t>
  </si>
  <si>
    <t>WELDER CAMP</t>
  </si>
  <si>
    <t>KOMATSU PC 400 - 02</t>
  </si>
  <si>
    <t>KOMATSU PC 300 - 02</t>
  </si>
  <si>
    <t>LOADER - 02</t>
  </si>
  <si>
    <t>FUEL RATIO MENINGKAT DIKARENAKAN PRODUKSI ORE YANG MENURUN</t>
  </si>
  <si>
    <t>KARENA KURANG NYA KEGIATAN SEHINGGA KONSUMSI FUEL MENJADI KURANG</t>
  </si>
  <si>
    <t>GRADER GD535 - 02</t>
  </si>
  <si>
    <t>HONGYAN/12</t>
  </si>
  <si>
    <t>KOMATSU DOZER D85SS - 10</t>
  </si>
  <si>
    <t>KOMATSU PC 200 - 20</t>
  </si>
  <si>
    <t>KOMATSU PC 200 - 24</t>
  </si>
  <si>
    <t>LV LC-HIJAU - 22</t>
  </si>
  <si>
    <t>KOBELCO SK 200 - 17</t>
  </si>
  <si>
    <t>KONDISI MEDAN YANG CUKUP BAIK, SEHINGGA KURANG NYA PENGGUNAAN QUARRY UNTUK MAINTENANCE JALAN</t>
  </si>
  <si>
    <t>ADANYA PENGURANGAN UNIT, DAN PENGALIHAN STOCKPILE DARI KM 7 KE PIT, SEHINGGA PERLU PENYESUAIAN METODE KERJA</t>
  </si>
  <si>
    <t>GRADER GD535 - 10</t>
  </si>
  <si>
    <t>SAKAI - 06</t>
  </si>
  <si>
    <t>GENSET CAMP</t>
  </si>
  <si>
    <t>SUMMARY KBM        BLOK C &amp; D</t>
  </si>
  <si>
    <t>last year (2023)</t>
  </si>
  <si>
    <t>TOTAL 2024</t>
  </si>
  <si>
    <t>WATER TRUCK - 02</t>
  </si>
  <si>
    <t>pengurangan unit produksi untuk menjaga kualitas material ore yang terkirim ke pabrik (1.63) atau tidak di bawah 1.60</t>
  </si>
  <si>
    <r>
      <rPr>
        <b/>
        <sz val="26"/>
        <color theme="5"/>
        <rFont val="Century Gothic"/>
        <family val="2"/>
      </rPr>
      <t>MINING COST</t>
    </r>
    <r>
      <rPr>
        <b/>
        <sz val="26"/>
        <color theme="9" tint="-0.249977111117893"/>
        <rFont val="Century Gothic"/>
        <family val="2"/>
      </rPr>
      <t xml:space="preserve"> </t>
    </r>
    <r>
      <rPr>
        <b/>
        <sz val="26"/>
        <color theme="0"/>
        <rFont val="Century Gothic"/>
        <family val="2"/>
      </rPr>
      <t>(APRIL)</t>
    </r>
  </si>
  <si>
    <t>April 2024</t>
  </si>
  <si>
    <t>HONGYANG 501</t>
  </si>
  <si>
    <t>HONGYANG 502</t>
  </si>
  <si>
    <t>HONGYANG 503</t>
  </si>
  <si>
    <t>HONGYANG 504</t>
  </si>
  <si>
    <t>HONGYANG 505</t>
  </si>
  <si>
    <t>HONGYANG 506</t>
  </si>
  <si>
    <t>HONGYANG 507</t>
  </si>
  <si>
    <t>HONGYANG 508</t>
  </si>
  <si>
    <t>HONGYANG 509</t>
  </si>
  <si>
    <t>HONGYANG 510</t>
  </si>
  <si>
    <t>HONGYANG 511</t>
  </si>
  <si>
    <t>HONGYANG 513</t>
  </si>
  <si>
    <t>HONGYANG 514</t>
  </si>
  <si>
    <t>HONGYANG 517</t>
  </si>
  <si>
    <t>HONGYANG 518</t>
  </si>
  <si>
    <t>HONGYANG 519</t>
  </si>
  <si>
    <t>HONGYANG 520</t>
  </si>
  <si>
    <t>HONGYANG 521</t>
  </si>
  <si>
    <t>HONGYANG 522</t>
  </si>
  <si>
    <t>HONGYANG 523</t>
  </si>
  <si>
    <t>HONGYANG 524</t>
  </si>
  <si>
    <t>HONGYANG 525</t>
  </si>
  <si>
    <t>HONGYANG 526</t>
  </si>
  <si>
    <t>HONGYANG 527</t>
  </si>
  <si>
    <t>HONGYANG 528</t>
  </si>
  <si>
    <t>HONGYANG 529</t>
  </si>
  <si>
    <t>HONGYANG 530</t>
  </si>
  <si>
    <t>HONGYANG 531</t>
  </si>
  <si>
    <t>HONGYANG 532</t>
  </si>
  <si>
    <t>HONGYANG 533</t>
  </si>
  <si>
    <t>HONGYANG 534</t>
  </si>
  <si>
    <t>HONGYANG 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</si>
</sst>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b/>
      <sz val="26"/>
      <color theme="9" tint="-0.249977111117893"/>
      <name val="Century Gothic"/>
      <family val="2"/>
    </font>
    <font>
      <b/>
      <sz val="26"/>
      <color theme="5"/>
      <name val="Century Gothic"/>
      <family val="2"/>
    </font>
    <font>
      <b/>
      <sz val="2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i/>
      <sz val="11"/>
      <color theme="0"/>
      <name val="Century Gothic"/>
      <family val="2"/>
    </font>
    <font>
      <b/>
      <u val="singleAccounting"/>
      <sz val="11"/>
      <color theme="0"/>
      <name val="Century Gothic"/>
      <family val="2"/>
    </font>
    <font>
      <b/>
      <i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1"/>
      <color theme="9"/>
      <name val="Century Gothic"/>
      <family val="2"/>
    </font>
    <font>
      <b/>
      <sz val="14"/>
      <color rgb="FFFFFF00"/>
      <name val="Century Gothic"/>
      <family val="2"/>
    </font>
    <font>
      <b/>
      <sz val="14"/>
      <color theme="0"/>
      <name val="Century Gothic"/>
      <family val="2"/>
    </font>
    <font>
      <b/>
      <sz val="14"/>
      <color rgb="FF00B0F0"/>
      <name val="Century Gothic"/>
      <family val="2"/>
    </font>
    <font>
      <b/>
      <sz val="11"/>
      <color rgb="FF00B0F0"/>
      <name val="Century Gothic"/>
      <family val="2"/>
    </font>
    <font>
      <b/>
      <i/>
      <sz val="16"/>
      <color theme="0"/>
      <name val="Century Gothic"/>
      <family val="2"/>
    </font>
    <font>
      <b/>
      <sz val="28"/>
      <color rgb="FFFF0000"/>
      <name val="Century Gothic"/>
      <family val="2"/>
    </font>
    <font>
      <b/>
      <i/>
      <sz val="20"/>
      <color rgb="FFFFFF00"/>
      <name val="Century Gothic"/>
      <family val="2"/>
    </font>
    <font>
      <sz val="11"/>
      <color theme="0"/>
      <name val="Century Gothic"/>
      <family val="2"/>
    </font>
    <font>
      <b/>
      <i/>
      <sz val="10"/>
      <color theme="0"/>
      <name val="Century Gothic"/>
      <family val="2"/>
    </font>
    <font>
      <i/>
      <sz val="10"/>
      <color rgb="FF00B0F0"/>
      <name val="Century Gothic"/>
      <family val="2"/>
    </font>
    <font>
      <sz val="10"/>
      <color rgb="FF00B0F0"/>
      <name val="Century Gothic"/>
      <family val="2"/>
    </font>
    <font>
      <b/>
      <u val="singleAccounting"/>
      <sz val="11"/>
      <color rgb="FFFFFF00"/>
      <name val="Century Gothic"/>
      <family val="2"/>
    </font>
    <font>
      <sz val="11"/>
      <color rgb="FFFFFF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9" fontId="47" fillId="16" borderId="0" xfId="3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/>
    </xf>
    <xf numFmtId="0" fontId="58" fillId="5" borderId="0" xfId="0" applyFont="1" applyFill="1" applyAlignment="1">
      <alignment vertical="center"/>
    </xf>
    <xf numFmtId="0" fontId="59" fillId="5" borderId="0" xfId="0" applyFont="1" applyFill="1" applyAlignment="1">
      <alignment vertical="center"/>
    </xf>
    <xf numFmtId="0" fontId="58" fillId="5" borderId="3" xfId="0" applyFont="1" applyFill="1" applyBorder="1" applyAlignment="1">
      <alignment horizontal="center" vertical="center"/>
    </xf>
    <xf numFmtId="0" fontId="58" fillId="5" borderId="0" xfId="0" applyFont="1" applyFill="1" applyAlignment="1">
      <alignment horizontal="center" vertical="center"/>
    </xf>
    <xf numFmtId="0" fontId="59" fillId="5" borderId="0" xfId="0" applyFont="1" applyFill="1" applyAlignment="1">
      <alignment horizontal="right" vertical="center"/>
    </xf>
    <xf numFmtId="0" fontId="58" fillId="5" borderId="0" xfId="0" applyFont="1" applyFill="1" applyAlignment="1">
      <alignment horizontal="right" vertical="center"/>
    </xf>
    <xf numFmtId="9" fontId="59" fillId="5" borderId="0" xfId="0" applyNumberFormat="1" applyFont="1" applyFill="1" applyAlignment="1">
      <alignment vertical="center"/>
    </xf>
    <xf numFmtId="9" fontId="59" fillId="5" borderId="0" xfId="0" applyNumberFormat="1" applyFont="1" applyFill="1" applyAlignment="1">
      <alignment horizontal="right" vertical="center"/>
    </xf>
    <xf numFmtId="0" fontId="60" fillId="5" borderId="0" xfId="0" applyFont="1" applyFill="1" applyAlignment="1">
      <alignment horizontal="left" vertical="center"/>
    </xf>
    <xf numFmtId="43" fontId="59" fillId="5" borderId="0" xfId="1" applyFont="1" applyFill="1" applyBorder="1" applyAlignment="1">
      <alignment vertical="center"/>
    </xf>
    <xf numFmtId="43" fontId="57" fillId="0" borderId="0" xfId="0" applyNumberFormat="1" applyFont="1" applyAlignment="1">
      <alignment vertical="center"/>
    </xf>
    <xf numFmtId="0" fontId="58" fillId="5" borderId="3" xfId="0" applyFont="1" applyFill="1" applyBorder="1" applyAlignment="1">
      <alignment horizontal="right" vertical="center"/>
    </xf>
    <xf numFmtId="171" fontId="59" fillId="5" borderId="0" xfId="1" applyNumberFormat="1" applyFont="1" applyFill="1" applyBorder="1" applyAlignment="1">
      <alignment vertical="center"/>
    </xf>
    <xf numFmtId="10" fontId="57" fillId="0" borderId="0" xfId="0" applyNumberFormat="1" applyFont="1" applyAlignment="1">
      <alignment vertical="center"/>
    </xf>
    <xf numFmtId="0" fontId="59" fillId="5" borderId="0" xfId="0" applyFont="1" applyFill="1" applyAlignment="1">
      <alignment horizontal="center" vertical="center"/>
    </xf>
    <xf numFmtId="4" fontId="61" fillId="5" borderId="0" xfId="0" applyNumberFormat="1" applyFont="1" applyFill="1" applyAlignment="1">
      <alignment horizontal="right" vertical="center"/>
    </xf>
    <xf numFmtId="169" fontId="58" fillId="5" borderId="0" xfId="2" applyNumberFormat="1" applyFont="1" applyFill="1" applyBorder="1" applyAlignment="1">
      <alignment horizontal="center" vertical="center"/>
    </xf>
    <xf numFmtId="169" fontId="62" fillId="5" borderId="0" xfId="0" applyNumberFormat="1" applyFont="1" applyFill="1" applyAlignment="1">
      <alignment horizontal="right" vertical="center"/>
    </xf>
    <xf numFmtId="0" fontId="63" fillId="5" borderId="0" xfId="0" applyFont="1" applyFill="1" applyAlignment="1">
      <alignment vertical="center"/>
    </xf>
    <xf numFmtId="4" fontId="63" fillId="5" borderId="0" xfId="0" applyNumberFormat="1" applyFont="1" applyFill="1" applyAlignment="1">
      <alignment horizontal="right" vertical="center"/>
    </xf>
    <xf numFmtId="169" fontId="64" fillId="5" borderId="0" xfId="2" applyNumberFormat="1" applyFont="1" applyFill="1" applyBorder="1" applyAlignment="1">
      <alignment horizontal="center" vertical="center"/>
    </xf>
    <xf numFmtId="166" fontId="65" fillId="5" borderId="0" xfId="1" applyNumberFormat="1" applyFont="1" applyFill="1" applyBorder="1" applyAlignment="1">
      <alignment horizontal="left" vertical="center"/>
    </xf>
    <xf numFmtId="0" fontId="66" fillId="5" borderId="0" xfId="0" applyFont="1" applyFill="1" applyAlignment="1">
      <alignment vertical="center"/>
    </xf>
    <xf numFmtId="0" fontId="64" fillId="5" borderId="0" xfId="0" applyFont="1" applyFill="1" applyAlignment="1">
      <alignment horizontal="right" vertical="center"/>
    </xf>
    <xf numFmtId="0" fontId="64" fillId="5" borderId="0" xfId="0" applyFont="1" applyFill="1" applyAlignment="1">
      <alignment vertical="center"/>
    </xf>
    <xf numFmtId="0" fontId="67" fillId="5" borderId="0" xfId="0" applyFont="1" applyFill="1" applyAlignment="1">
      <alignment vertical="center"/>
    </xf>
    <xf numFmtId="0" fontId="68" fillId="5" borderId="0" xfId="0" applyFont="1" applyFill="1" applyAlignment="1">
      <alignment horizontal="right" vertical="center"/>
    </xf>
    <xf numFmtId="169" fontId="67" fillId="5" borderId="0" xfId="2" applyNumberFormat="1" applyFont="1" applyFill="1" applyBorder="1" applyAlignment="1">
      <alignment horizontal="right" vertical="center"/>
    </xf>
    <xf numFmtId="43" fontId="72" fillId="5" borderId="4" xfId="1" applyFont="1" applyFill="1" applyBorder="1" applyAlignment="1">
      <alignment vertical="center"/>
    </xf>
    <xf numFmtId="43" fontId="58" fillId="5" borderId="5" xfId="1" applyFont="1" applyFill="1" applyBorder="1" applyAlignment="1">
      <alignment vertical="center"/>
    </xf>
    <xf numFmtId="10" fontId="58" fillId="5" borderId="4" xfId="3" applyNumberFormat="1" applyFont="1" applyFill="1" applyBorder="1" applyAlignment="1">
      <alignment vertical="center"/>
    </xf>
    <xf numFmtId="43" fontId="72" fillId="5" borderId="3" xfId="1" applyFont="1" applyFill="1" applyBorder="1" applyAlignment="1">
      <alignment vertical="center"/>
    </xf>
    <xf numFmtId="43" fontId="58" fillId="5" borderId="0" xfId="1" applyFont="1" applyFill="1" applyBorder="1" applyAlignment="1">
      <alignment vertical="center"/>
    </xf>
    <xf numFmtId="10" fontId="58" fillId="5" borderId="3" xfId="3" applyNumberFormat="1" applyFont="1" applyFill="1" applyBorder="1" applyAlignment="1">
      <alignment vertical="center"/>
    </xf>
    <xf numFmtId="9" fontId="58" fillId="5" borderId="0" xfId="0" applyNumberFormat="1" applyFont="1" applyFill="1" applyAlignment="1">
      <alignment vertical="center"/>
    </xf>
    <xf numFmtId="9" fontId="58" fillId="5" borderId="0" xfId="0" applyNumberFormat="1" applyFont="1" applyFill="1" applyAlignment="1">
      <alignment horizontal="right" vertical="center"/>
    </xf>
    <xf numFmtId="165" fontId="58" fillId="5" borderId="0" xfId="2" applyFont="1" applyFill="1" applyBorder="1" applyAlignment="1">
      <alignment horizontal="right" vertical="center"/>
    </xf>
    <xf numFmtId="0" fontId="73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171" fontId="72" fillId="5" borderId="0" xfId="1" applyNumberFormat="1" applyFont="1" applyFill="1" applyBorder="1" applyAlignment="1">
      <alignment vertical="center"/>
    </xf>
    <xf numFmtId="10" fontId="58" fillId="5" borderId="0" xfId="3" applyNumberFormat="1" applyFont="1" applyFill="1" applyBorder="1" applyAlignment="1">
      <alignment vertical="center"/>
    </xf>
    <xf numFmtId="0" fontId="58" fillId="5" borderId="3" xfId="0" applyFont="1" applyFill="1" applyBorder="1" applyAlignment="1">
      <alignment horizontal="left" vertical="center"/>
    </xf>
    <xf numFmtId="4" fontId="58" fillId="5" borderId="3" xfId="0" applyNumberFormat="1" applyFont="1" applyFill="1" applyBorder="1" applyAlignment="1">
      <alignment vertical="center"/>
    </xf>
    <xf numFmtId="43" fontId="72" fillId="5" borderId="3" xfId="0" applyNumberFormat="1" applyFont="1" applyFill="1" applyBorder="1" applyAlignment="1">
      <alignment vertical="center"/>
    </xf>
    <xf numFmtId="43" fontId="76" fillId="5" borderId="0" xfId="1" applyFont="1" applyFill="1" applyBorder="1" applyAlignment="1">
      <alignment vertical="center"/>
    </xf>
    <xf numFmtId="43" fontId="63" fillId="5" borderId="0" xfId="1" applyFont="1" applyFill="1" applyBorder="1" applyAlignment="1">
      <alignment horizontal="center" vertical="center"/>
    </xf>
    <xf numFmtId="0" fontId="61" fillId="5" borderId="0" xfId="1" applyNumberFormat="1" applyFont="1" applyFill="1" applyBorder="1" applyAlignment="1">
      <alignment horizontal="left" vertical="center"/>
    </xf>
    <xf numFmtId="43" fontId="63" fillId="5" borderId="0" xfId="1" applyFont="1" applyFill="1" applyBorder="1" applyAlignment="1">
      <alignment vertical="center"/>
    </xf>
    <xf numFmtId="10" fontId="58" fillId="5" borderId="0" xfId="3" applyNumberFormat="1" applyFont="1" applyFill="1" applyBorder="1" applyAlignment="1">
      <alignment horizontal="right" vertical="center"/>
    </xf>
    <xf numFmtId="165" fontId="58" fillId="5" borderId="0" xfId="2" applyFont="1" applyFill="1" applyBorder="1" applyAlignment="1">
      <alignment horizontal="left" vertical="center"/>
    </xf>
    <xf numFmtId="4" fontId="63" fillId="5" borderId="0" xfId="1" applyNumberFormat="1" applyFont="1" applyFill="1" applyBorder="1" applyAlignment="1">
      <alignment horizontal="right" vertical="center"/>
    </xf>
    <xf numFmtId="0" fontId="58" fillId="5" borderId="0" xfId="0" applyFont="1" applyFill="1" applyAlignment="1">
      <alignment horizontal="left" vertical="center"/>
    </xf>
    <xf numFmtId="10" fontId="60" fillId="5" borderId="0" xfId="0" applyNumberFormat="1" applyFont="1" applyFill="1" applyAlignment="1">
      <alignment horizontal="right" vertical="center"/>
    </xf>
    <xf numFmtId="165" fontId="60" fillId="5" borderId="0" xfId="2" applyFont="1" applyFill="1" applyBorder="1" applyAlignment="1">
      <alignment horizontal="right" vertical="center"/>
    </xf>
    <xf numFmtId="169" fontId="60" fillId="5" borderId="0" xfId="0" applyNumberFormat="1" applyFont="1" applyFill="1" applyAlignment="1">
      <alignment horizontal="right" vertical="center"/>
    </xf>
    <xf numFmtId="165" fontId="64" fillId="5" borderId="0" xfId="2" applyFont="1" applyFill="1" applyBorder="1" applyAlignment="1">
      <alignment horizontal="left" vertical="center"/>
    </xf>
    <xf numFmtId="166" fontId="63" fillId="5" borderId="0" xfId="1" applyNumberFormat="1" applyFont="1" applyFill="1" applyBorder="1" applyAlignment="1">
      <alignment horizontal="left" vertical="center"/>
    </xf>
    <xf numFmtId="0" fontId="68" fillId="5" borderId="0" xfId="0" applyFont="1" applyFill="1" applyAlignment="1">
      <alignment vertical="center"/>
    </xf>
    <xf numFmtId="0" fontId="70" fillId="5" borderId="0" xfId="0" applyFont="1" applyFill="1" applyAlignment="1">
      <alignment horizontal="center" vertical="center"/>
    </xf>
    <xf numFmtId="165" fontId="64" fillId="5" borderId="0" xfId="2" applyFont="1" applyFill="1" applyBorder="1" applyAlignment="1">
      <alignment horizontal="center" vertical="center"/>
    </xf>
    <xf numFmtId="165" fontId="63" fillId="5" borderId="0" xfId="2" applyFont="1" applyFill="1" applyAlignment="1">
      <alignment horizontal="center" vertical="center"/>
    </xf>
    <xf numFmtId="169" fontId="64" fillId="5" borderId="0" xfId="2" applyNumberFormat="1" applyFont="1" applyFill="1" applyBorder="1" applyAlignment="1">
      <alignment horizontal="center" vertical="center"/>
    </xf>
    <xf numFmtId="165" fontId="65" fillId="5" borderId="0" xfId="2" applyFont="1" applyFill="1" applyAlignment="1">
      <alignment horizontal="center" vertical="center"/>
    </xf>
    <xf numFmtId="165" fontId="68" fillId="5" borderId="0" xfId="2" applyFont="1" applyFill="1" applyBorder="1" applyAlignment="1">
      <alignment horizontal="center" vertical="center"/>
    </xf>
    <xf numFmtId="0" fontId="69" fillId="5" borderId="0" xfId="0" applyFont="1" applyFill="1" applyAlignment="1">
      <alignment horizontal="center" vertical="center"/>
    </xf>
    <xf numFmtId="4" fontId="69" fillId="5" borderId="0" xfId="1" applyNumberFormat="1" applyFont="1" applyFill="1" applyBorder="1" applyAlignment="1">
      <alignment horizontal="right" vertical="center"/>
    </xf>
    <xf numFmtId="169" fontId="68" fillId="5" borderId="0" xfId="2" applyNumberFormat="1" applyFont="1" applyFill="1" applyBorder="1" applyAlignment="1">
      <alignment horizontal="center" vertical="center"/>
    </xf>
    <xf numFmtId="165" fontId="63" fillId="5" borderId="0" xfId="2" applyFont="1" applyFill="1" applyBorder="1" applyAlignment="1">
      <alignment horizontal="center" vertical="center"/>
    </xf>
    <xf numFmtId="165" fontId="77" fillId="5" borderId="0" xfId="2" applyFont="1" applyFill="1" applyBorder="1" applyAlignment="1">
      <alignment horizontal="center" vertical="center"/>
    </xf>
    <xf numFmtId="0" fontId="54" fillId="6" borderId="0" xfId="0" applyFont="1" applyFill="1" applyAlignment="1">
      <alignment horizontal="center" vertical="center"/>
    </xf>
    <xf numFmtId="0" fontId="66" fillId="17" borderId="0" xfId="0" applyFont="1" applyFill="1" applyAlignment="1">
      <alignment horizontal="center" vertical="center" wrapText="1"/>
    </xf>
    <xf numFmtId="172" fontId="66" fillId="17" borderId="0" xfId="0" quotePrefix="1" applyNumberFormat="1" applyFont="1" applyFill="1" applyAlignment="1">
      <alignment horizontal="center" vertical="center"/>
    </xf>
    <xf numFmtId="0" fontId="71" fillId="5" borderId="0" xfId="0" applyFont="1" applyFill="1" applyAlignment="1">
      <alignment horizontal="left" vertical="center"/>
    </xf>
    <xf numFmtId="0" fontId="58" fillId="5" borderId="0" xfId="0" applyFont="1" applyFill="1" applyAlignment="1">
      <alignment horizontal="center" vertical="center"/>
    </xf>
    <xf numFmtId="0" fontId="74" fillId="5" borderId="0" xfId="0" applyFont="1" applyFill="1" applyAlignment="1">
      <alignment horizontal="center" vertical="center" wrapText="1"/>
    </xf>
    <xf numFmtId="0" fontId="75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172" fontId="18" fillId="17" borderId="0" xfId="0" quotePrefix="1" applyNumberFormat="1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left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96004.7</c:v>
                </c:pt>
                <c:pt idx="1">
                  <c:v>64356.6</c:v>
                </c:pt>
                <c:pt idx="2">
                  <c:v>103019.79999999999</c:v>
                </c:pt>
                <c:pt idx="3">
                  <c:v>91039.4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  <c:pt idx="2">
                  <c:v>139849.34000000003</c:v>
                </c:pt>
                <c:pt idx="3">
                  <c:v>37314.719999999994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0.68959704004961986</c:v>
                </c:pt>
                <c:pt idx="1">
                  <c:v>0.47456192324241148</c:v>
                </c:pt>
                <c:pt idx="2">
                  <c:v>0.73664845325691186</c:v>
                </c:pt>
                <c:pt idx="3">
                  <c:v>2.4397717576334488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17398537254.579407</c:v>
                </c:pt>
                <c:pt idx="1">
                  <c:v>17219726921.127953</c:v>
                </c:pt>
                <c:pt idx="2">
                  <c:v>16329821676.152575</c:v>
                </c:pt>
                <c:pt idx="3">
                  <c:v>10578740047.359104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21704728819.199997</c:v>
                </c:pt>
                <c:pt idx="1">
                  <c:v>21142554585.599995</c:v>
                </c:pt>
                <c:pt idx="2">
                  <c:v>21803071503.360004</c:v>
                </c:pt>
                <c:pt idx="3">
                  <c:v>5817514106.8799992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0.19839877293520178</c:v>
                </c:pt>
                <c:pt idx="1">
                  <c:v>0.18554180142185112</c:v>
                </c:pt>
                <c:pt idx="2">
                  <c:v>0.25103113689114692</c:v>
                </c:pt>
                <c:pt idx="3">
                  <c:v>-0.81842963386170564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266151</c:v>
                </c:pt>
                <c:pt idx="1">
                  <c:v>291807</c:v>
                </c:pt>
                <c:pt idx="2">
                  <c:v>321542</c:v>
                </c:pt>
                <c:pt idx="3">
                  <c:v>162394.11627906977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  <c:pt idx="2">
                  <c:v>139849.34000000003</c:v>
                </c:pt>
                <c:pt idx="3">
                  <c:v>37314.719999999994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1.9117495477434583</c:v>
                </c:pt>
                <c:pt idx="1">
                  <c:v>2.1517682900525879</c:v>
                </c:pt>
                <c:pt idx="2">
                  <c:v>2.299202842144267</c:v>
                </c:pt>
                <c:pt idx="3">
                  <c:v>4.3520121892665893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8.4168128841803806</c:v>
                </c:pt>
                <c:pt idx="1">
                  <c:v>8.5518110850705629</c:v>
                </c:pt>
                <c:pt idx="2">
                  <c:v>7.8641730626429576</c:v>
                </c:pt>
                <c:pt idx="3">
                  <c:v>19.093511155547912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0.61237556448822628</c:v>
                </c:pt>
                <c:pt idx="1">
                  <c:v>0.45742556258606226</c:v>
                </c:pt>
                <c:pt idx="2">
                  <c:v>1.0399677465379984</c:v>
                </c:pt>
                <c:pt idx="3">
                  <c:v>1.0081963215624414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0.70046751531385376</c:v>
                </c:pt>
                <c:pt idx="1">
                  <c:v>0.74603212069480607</c:v>
                </c:pt>
                <c:pt idx="2">
                  <c:v>0.92166554901620257</c:v>
                </c:pt>
                <c:pt idx="3">
                  <c:v>0.24727914688551178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0.6431191400185946</c:v>
                </c:pt>
                <c:pt idx="1">
                  <c:v>1.1796993076545836</c:v>
                </c:pt>
                <c:pt idx="2">
                  <c:v>1.2959495104939236</c:v>
                </c:pt>
                <c:pt idx="3">
                  <c:v>1.2568262162567225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0%</c:formatCode>
                <c:ptCount val="12"/>
                <c:pt idx="0">
                  <c:v>1.3757567517908926</c:v>
                </c:pt>
                <c:pt idx="1">
                  <c:v>1.2106440598255119</c:v>
                </c:pt>
                <c:pt idx="2" formatCode="0.00%">
                  <c:v>1.20377816778011</c:v>
                </c:pt>
                <c:pt idx="3">
                  <c:v>0.38925901985818295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0%</c:formatCode>
                <c:ptCount val="12"/>
                <c:pt idx="0">
                  <c:v>1.9640550371196965</c:v>
                </c:pt>
                <c:pt idx="1">
                  <c:v>1.6227773928795399</c:v>
                </c:pt>
                <c:pt idx="2" formatCode="0.00%">
                  <c:v>1.3060900117890248</c:v>
                </c:pt>
                <c:pt idx="3">
                  <c:v>1.5741684034457086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5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31</xdr:row>
      <xdr:rowOff>0</xdr:rowOff>
    </xdr:from>
    <xdr:to>
      <xdr:col>8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1021080</xdr:colOff>
      <xdr:row>31</xdr:row>
      <xdr:rowOff>0</xdr:rowOff>
    </xdr:from>
    <xdr:to>
      <xdr:col>12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640080</xdr:colOff>
      <xdr:row>31</xdr:row>
      <xdr:rowOff>0</xdr:rowOff>
    </xdr:from>
    <xdr:to>
      <xdr:col>15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9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abSelected="1" zoomScale="85" zoomScaleNormal="85" workbookViewId="0">
      <selection activeCell="N16" sqref="N16"/>
    </sheetView>
  </sheetViews>
  <sheetFormatPr defaultRowHeight="13.8" x14ac:dyDescent="0.3"/>
  <cols>
    <col min="1" max="1" width="8.88671875" style="162"/>
    <col min="2" max="2" width="5.77734375" style="162" customWidth="1"/>
    <col min="3" max="3" width="31.5546875" style="162" bestFit="1" customWidth="1"/>
    <col min="4" max="5" width="14.77734375" style="162" customWidth="1"/>
    <col min="6" max="6" width="13.77734375" style="162" customWidth="1"/>
    <col min="7" max="7" width="3.6640625" style="162" customWidth="1"/>
    <col min="8" max="8" width="28.109375" style="162" customWidth="1"/>
    <col min="9" max="9" width="10.44140625" style="162" customWidth="1"/>
    <col min="10" max="10" width="17.6640625" style="162" customWidth="1"/>
    <col min="11" max="11" width="9.109375" style="162" customWidth="1"/>
    <col min="12" max="12" width="5.77734375" style="162" customWidth="1"/>
    <col min="13" max="13" width="8.88671875" style="162"/>
    <col min="14" max="14" width="13.5546875" style="162" customWidth="1"/>
    <col min="15" max="16384" width="8.88671875" style="162"/>
  </cols>
  <sheetData>
    <row r="2" spans="2:14" ht="19.95" customHeight="1" x14ac:dyDescent="0.3">
      <c r="B2" s="232" t="s">
        <v>362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</row>
    <row r="3" spans="2:14" ht="19.95" customHeight="1" x14ac:dyDescent="0.3"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2:14" x14ac:dyDescent="0.3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</row>
    <row r="5" spans="2:14" ht="15" customHeight="1" x14ac:dyDescent="0.3">
      <c r="B5" s="163"/>
      <c r="C5" s="233" t="s">
        <v>357</v>
      </c>
      <c r="D5" s="234" t="s">
        <v>363</v>
      </c>
      <c r="E5" s="234"/>
      <c r="F5" s="234"/>
      <c r="G5" s="163"/>
      <c r="H5" s="235" t="s">
        <v>322</v>
      </c>
      <c r="I5" s="235"/>
      <c r="J5" s="235"/>
      <c r="K5" s="163"/>
      <c r="L5" s="163"/>
    </row>
    <row r="6" spans="2:14" ht="14.4" customHeight="1" x14ac:dyDescent="0.3">
      <c r="B6" s="163"/>
      <c r="C6" s="233"/>
      <c r="D6" s="234"/>
      <c r="E6" s="234"/>
      <c r="F6" s="234"/>
      <c r="G6" s="163"/>
      <c r="H6" s="235"/>
      <c r="I6" s="235"/>
      <c r="J6" s="235"/>
      <c r="K6" s="163"/>
      <c r="L6" s="163"/>
    </row>
    <row r="7" spans="2:14" ht="14.4" customHeight="1" x14ac:dyDescent="0.3">
      <c r="B7" s="163"/>
      <c r="C7" s="233"/>
      <c r="D7" s="234"/>
      <c r="E7" s="234"/>
      <c r="F7" s="234"/>
      <c r="G7" s="163"/>
      <c r="H7" s="235"/>
      <c r="I7" s="235"/>
      <c r="J7" s="235"/>
      <c r="K7" s="163"/>
      <c r="L7" s="163"/>
    </row>
    <row r="8" spans="2:14" ht="15" x14ac:dyDescent="0.3">
      <c r="B8" s="163"/>
      <c r="C8" s="163"/>
      <c r="D8" s="163"/>
      <c r="E8" s="163"/>
      <c r="F8" s="163"/>
      <c r="G8" s="163"/>
      <c r="H8" s="164"/>
      <c r="I8" s="164"/>
      <c r="J8" s="164"/>
      <c r="K8" s="163"/>
      <c r="L8" s="163"/>
    </row>
    <row r="9" spans="2:14" x14ac:dyDescent="0.3">
      <c r="B9" s="163"/>
      <c r="C9" s="163"/>
      <c r="D9" s="165" t="s">
        <v>311</v>
      </c>
      <c r="E9" s="166" t="s">
        <v>312</v>
      </c>
      <c r="F9" s="165" t="s">
        <v>313</v>
      </c>
      <c r="G9" s="163"/>
      <c r="H9" s="163" t="s">
        <v>73</v>
      </c>
      <c r="I9" s="163"/>
      <c r="J9" s="168">
        <v>30</v>
      </c>
      <c r="K9" s="168" t="s">
        <v>314</v>
      </c>
      <c r="L9" s="163"/>
    </row>
    <row r="10" spans="2:14" x14ac:dyDescent="0.3">
      <c r="B10" s="163"/>
      <c r="C10" s="163" t="s">
        <v>315</v>
      </c>
      <c r="D10" s="191">
        <v>90299.278080000004</v>
      </c>
      <c r="E10" s="192">
        <v>91039.4</v>
      </c>
      <c r="F10" s="193">
        <f>E10/D10</f>
        <v>1.0081963215624414</v>
      </c>
      <c r="G10" s="163"/>
      <c r="H10" s="163" t="s">
        <v>75</v>
      </c>
      <c r="I10" s="163"/>
      <c r="J10" s="168">
        <f>9*J9</f>
        <v>270</v>
      </c>
      <c r="K10" s="168" t="s">
        <v>316</v>
      </c>
      <c r="L10" s="163"/>
    </row>
    <row r="11" spans="2:14" x14ac:dyDescent="0.3">
      <c r="B11" s="163"/>
      <c r="C11" s="163" t="s">
        <v>76</v>
      </c>
      <c r="D11" s="194">
        <v>150901.20000000001</v>
      </c>
      <c r="E11" s="195">
        <f>'REPORT unit DT HAUL'!D41</f>
        <v>37314.719999999994</v>
      </c>
      <c r="F11" s="196">
        <f t="shared" ref="F11:F12" si="0">E11/D11</f>
        <v>0.24727914688551178</v>
      </c>
      <c r="G11" s="163"/>
      <c r="H11" s="163" t="s">
        <v>317</v>
      </c>
      <c r="I11" s="197"/>
      <c r="J11" s="198">
        <v>0.92</v>
      </c>
      <c r="K11" s="168" t="s">
        <v>318</v>
      </c>
      <c r="L11" s="163"/>
    </row>
    <row r="12" spans="2:14" ht="15" x14ac:dyDescent="0.3">
      <c r="B12" s="163"/>
      <c r="C12" s="163" t="s">
        <v>183</v>
      </c>
      <c r="D12" s="194">
        <v>18059.855616000001</v>
      </c>
      <c r="E12" s="195">
        <v>22698.100000000002</v>
      </c>
      <c r="F12" s="196">
        <f t="shared" si="0"/>
        <v>1.2568262162567225</v>
      </c>
      <c r="G12" s="163"/>
      <c r="H12" s="164"/>
      <c r="I12" s="169"/>
      <c r="J12" s="170"/>
      <c r="K12" s="168"/>
      <c r="L12" s="163"/>
    </row>
    <row r="13" spans="2:14" x14ac:dyDescent="0.3">
      <c r="B13" s="163"/>
      <c r="C13" s="163" t="s">
        <v>78</v>
      </c>
      <c r="D13" s="194">
        <f>D10/D11</f>
        <v>0.59839999999999993</v>
      </c>
      <c r="E13" s="195">
        <f>E10/E11</f>
        <v>2.4397717576334488</v>
      </c>
      <c r="F13" s="196">
        <f>D13/E13</f>
        <v>0.24526884456619877</v>
      </c>
      <c r="G13" s="163"/>
      <c r="H13" s="163" t="s">
        <v>87</v>
      </c>
      <c r="I13" s="168"/>
      <c r="J13" s="199">
        <v>11500</v>
      </c>
      <c r="K13" s="199"/>
      <c r="L13" s="163"/>
    </row>
    <row r="14" spans="2:14" x14ac:dyDescent="0.3">
      <c r="B14" s="163"/>
      <c r="C14" s="163" t="s">
        <v>319</v>
      </c>
      <c r="D14" s="194">
        <v>1.6940599992047776</v>
      </c>
      <c r="E14" s="195">
        <f>J18/E11</f>
        <v>4.3520121892665893</v>
      </c>
      <c r="F14" s="196">
        <f>D14/E14</f>
        <v>0.38925901985818295</v>
      </c>
      <c r="G14" s="163"/>
      <c r="H14" s="200" t="s">
        <v>320</v>
      </c>
      <c r="I14" s="168"/>
      <c r="J14" s="195"/>
      <c r="K14" s="163"/>
      <c r="L14" s="163"/>
    </row>
    <row r="15" spans="2:14" ht="30.6" customHeight="1" x14ac:dyDescent="0.3">
      <c r="B15" s="163"/>
      <c r="C15" s="237" t="s">
        <v>361</v>
      </c>
      <c r="D15" s="238"/>
      <c r="E15" s="238"/>
      <c r="F15" s="238"/>
      <c r="G15" s="163"/>
      <c r="H15" s="171"/>
      <c r="I15" s="168"/>
      <c r="J15" s="172"/>
      <c r="K15" s="163"/>
      <c r="L15" s="163"/>
    </row>
    <row r="16" spans="2:14" ht="28.8" customHeight="1" x14ac:dyDescent="0.3">
      <c r="B16" s="163"/>
      <c r="C16" s="238"/>
      <c r="D16" s="238"/>
      <c r="E16" s="238"/>
      <c r="F16" s="238"/>
      <c r="G16" s="163"/>
      <c r="H16" s="171"/>
      <c r="I16" s="168"/>
      <c r="J16" s="172"/>
      <c r="K16" s="163"/>
      <c r="L16" s="163"/>
      <c r="N16" s="173"/>
    </row>
    <row r="17" spans="2:14" ht="15" x14ac:dyDescent="0.3">
      <c r="B17" s="163"/>
      <c r="C17" s="163" t="s">
        <v>332</v>
      </c>
      <c r="D17" s="201"/>
      <c r="E17" s="202"/>
      <c r="F17" s="203"/>
      <c r="G17" s="163"/>
      <c r="H17" s="236" t="s">
        <v>141</v>
      </c>
      <c r="I17" s="204" t="s">
        <v>311</v>
      </c>
      <c r="J17" s="205">
        <v>255635.68675200001</v>
      </c>
      <c r="K17" s="174" t="s">
        <v>142</v>
      </c>
      <c r="L17" s="167"/>
      <c r="N17" s="173"/>
    </row>
    <row r="18" spans="2:14" x14ac:dyDescent="0.3">
      <c r="B18" s="163"/>
      <c r="C18" s="163" t="s">
        <v>333</v>
      </c>
      <c r="D18" s="206">
        <v>63</v>
      </c>
      <c r="E18" s="195">
        <f>E10/SUM('REPORT unit OB'!D27:D39)</f>
        <v>74.56134316134316</v>
      </c>
      <c r="F18" s="196">
        <f t="shared" ref="F18" si="1">E18/D18</f>
        <v>1.1835133835133835</v>
      </c>
      <c r="G18" s="163"/>
      <c r="H18" s="236"/>
      <c r="I18" s="204" t="s">
        <v>312</v>
      </c>
      <c r="J18" s="205">
        <f>'REPORT unit OB'!G58+'REPORT unit QUARRY'!G45+'REPORT unit DEVELOP'!G11+'REPORT unit ORE GETTING'!G31+'REPORT unit DT HAUL'!H41+'REPORT unit LV &amp; support'!E29</f>
        <v>162394.11627906977</v>
      </c>
      <c r="K18" s="174" t="s">
        <v>142</v>
      </c>
      <c r="L18" s="163"/>
    </row>
    <row r="19" spans="2:14" ht="15" x14ac:dyDescent="0.3">
      <c r="B19" s="163"/>
      <c r="C19" s="164"/>
      <c r="D19" s="164"/>
      <c r="E19" s="175"/>
      <c r="F19" s="163"/>
      <c r="G19" s="163"/>
      <c r="H19" s="236"/>
      <c r="I19" s="204" t="s">
        <v>313</v>
      </c>
      <c r="J19" s="196">
        <f>J17/J18</f>
        <v>1.5741684034457086</v>
      </c>
      <c r="K19" s="174"/>
      <c r="L19" s="163"/>
      <c r="N19" s="176"/>
    </row>
    <row r="20" spans="2:14" ht="7.95" customHeight="1" x14ac:dyDescent="0.3">
      <c r="B20" s="163"/>
      <c r="C20" s="164"/>
      <c r="D20" s="164"/>
      <c r="E20" s="175"/>
      <c r="F20" s="163"/>
      <c r="G20" s="163"/>
      <c r="H20" s="177"/>
      <c r="I20" s="167"/>
      <c r="J20" s="178"/>
      <c r="K20" s="168"/>
      <c r="L20" s="163"/>
    </row>
    <row r="21" spans="2:14" ht="17.399999999999999" x14ac:dyDescent="0.3">
      <c r="B21" s="163"/>
      <c r="C21" s="207" t="s">
        <v>171</v>
      </c>
      <c r="D21" s="207"/>
      <c r="E21" s="208"/>
      <c r="F21" s="163"/>
      <c r="G21" s="163"/>
      <c r="H21" s="209" t="s">
        <v>321</v>
      </c>
      <c r="I21" s="168"/>
      <c r="J21" s="178"/>
      <c r="K21" s="163"/>
      <c r="L21" s="163"/>
    </row>
    <row r="22" spans="2:14" x14ac:dyDescent="0.3">
      <c r="B22" s="163"/>
      <c r="C22" s="210" t="s">
        <v>172</v>
      </c>
      <c r="D22" s="231">
        <f>'REPORT unit OB'!J58</f>
        <v>4200363392.4252195</v>
      </c>
      <c r="E22" s="231"/>
      <c r="F22" s="231"/>
      <c r="G22" s="163"/>
      <c r="H22" s="163" t="s">
        <v>181</v>
      </c>
      <c r="I22" s="211">
        <f>J22/$J$30</f>
        <v>0.39705705723185869</v>
      </c>
      <c r="J22" s="212">
        <f>D22/E11</f>
        <v>112565.85584523267</v>
      </c>
      <c r="K22" s="179">
        <f>J22/$J$32</f>
        <v>7.5812133516455189</v>
      </c>
      <c r="L22" s="179"/>
    </row>
    <row r="23" spans="2:14" x14ac:dyDescent="0.3">
      <c r="B23" s="163"/>
      <c r="C23" s="210" t="s">
        <v>173</v>
      </c>
      <c r="D23" s="231">
        <f>'REPORT unit QUARRY'!J45</f>
        <v>1531554207.0121827</v>
      </c>
      <c r="E23" s="231"/>
      <c r="F23" s="231"/>
      <c r="G23" s="163"/>
      <c r="H23" s="163" t="s">
        <v>182</v>
      </c>
      <c r="I23" s="211">
        <f t="shared" ref="I23:I27" si="2">J23/$J$30</f>
        <v>0.14477661802404554</v>
      </c>
      <c r="J23" s="212">
        <f>D23/E11</f>
        <v>41044.236885930884</v>
      </c>
      <c r="K23" s="179">
        <f t="shared" ref="K23:K27" si="3">J23/$J$32</f>
        <v>2.7642939713046122</v>
      </c>
      <c r="L23" s="179"/>
    </row>
    <row r="24" spans="2:14" x14ac:dyDescent="0.3">
      <c r="B24" s="163"/>
      <c r="C24" s="210" t="s">
        <v>174</v>
      </c>
      <c r="D24" s="231">
        <f>'REPORT unit DEVELOP'!J11</f>
        <v>0</v>
      </c>
      <c r="E24" s="231"/>
      <c r="F24" s="231"/>
      <c r="G24" s="163"/>
      <c r="H24" s="163" t="s">
        <v>177</v>
      </c>
      <c r="I24" s="211">
        <f t="shared" si="2"/>
        <v>0</v>
      </c>
      <c r="J24" s="212">
        <f>D24/E11</f>
        <v>0</v>
      </c>
      <c r="K24" s="179">
        <f t="shared" si="3"/>
        <v>0</v>
      </c>
      <c r="L24" s="179"/>
    </row>
    <row r="25" spans="2:14" x14ac:dyDescent="0.3">
      <c r="B25" s="163"/>
      <c r="C25" s="210" t="s">
        <v>175</v>
      </c>
      <c r="D25" s="231">
        <f>'REPORT unit ORE GETTING'!J31</f>
        <v>877810447.92170036</v>
      </c>
      <c r="E25" s="231"/>
      <c r="F25" s="231"/>
      <c r="G25" s="163"/>
      <c r="H25" s="163" t="s">
        <v>178</v>
      </c>
      <c r="I25" s="211">
        <f t="shared" si="2"/>
        <v>8.2978733194303086E-2</v>
      </c>
      <c r="J25" s="212">
        <f>D25/E11</f>
        <v>23524.508502856261</v>
      </c>
      <c r="K25" s="179">
        <f t="shared" si="3"/>
        <v>1.5843553679186597</v>
      </c>
      <c r="L25" s="179"/>
    </row>
    <row r="26" spans="2:14" x14ac:dyDescent="0.3">
      <c r="B26" s="163"/>
      <c r="C26" s="210" t="s">
        <v>176</v>
      </c>
      <c r="D26" s="231">
        <f>'REPORT unit DT HAUL'!M41</f>
        <v>3762316000</v>
      </c>
      <c r="E26" s="231"/>
      <c r="F26" s="231"/>
      <c r="G26" s="163"/>
      <c r="H26" s="163" t="s">
        <v>179</v>
      </c>
      <c r="I26" s="211">
        <f t="shared" si="2"/>
        <v>0.35564878077699158</v>
      </c>
      <c r="J26" s="212">
        <f>D26/E11</f>
        <v>100826.59068592772</v>
      </c>
      <c r="K26" s="179">
        <f t="shared" si="3"/>
        <v>6.7905839632225025</v>
      </c>
      <c r="L26" s="179"/>
    </row>
    <row r="27" spans="2:14" x14ac:dyDescent="0.3">
      <c r="B27" s="163"/>
      <c r="C27" s="210" t="s">
        <v>83</v>
      </c>
      <c r="D27" s="231">
        <f>'REPORT unit LV &amp; support'!H29</f>
        <v>206696000</v>
      </c>
      <c r="E27" s="231"/>
      <c r="F27" s="231"/>
      <c r="G27" s="163"/>
      <c r="H27" s="163" t="s">
        <v>180</v>
      </c>
      <c r="I27" s="211">
        <f t="shared" si="2"/>
        <v>1.9538810772800865E-2</v>
      </c>
      <c r="J27" s="212">
        <f>D27/E11</f>
        <v>5539.2617176277899</v>
      </c>
      <c r="K27" s="179">
        <f t="shared" si="3"/>
        <v>0.37306450145661302</v>
      </c>
      <c r="L27" s="179"/>
    </row>
    <row r="28" spans="2:14" ht="15" x14ac:dyDescent="0.3">
      <c r="B28" s="163"/>
      <c r="C28" s="210"/>
      <c r="D28" s="210"/>
      <c r="E28" s="213"/>
      <c r="F28" s="163"/>
      <c r="G28" s="163"/>
      <c r="H28" s="214"/>
      <c r="I28" s="215">
        <f>SUM(I22:I27)</f>
        <v>0.99999999999999967</v>
      </c>
      <c r="J28" s="216">
        <f t="shared" ref="J28:K28" si="4">SUM(J22:J27)</f>
        <v>283500.45363757532</v>
      </c>
      <c r="K28" s="217">
        <f t="shared" si="4"/>
        <v>19.093511155547905</v>
      </c>
      <c r="L28" s="180"/>
    </row>
    <row r="29" spans="2:14" x14ac:dyDescent="0.3">
      <c r="B29" s="163"/>
      <c r="C29" s="181"/>
      <c r="D29" s="181"/>
      <c r="E29" s="182"/>
      <c r="F29" s="163"/>
      <c r="G29" s="163"/>
      <c r="H29" s="187"/>
      <c r="I29" s="211"/>
      <c r="J29" s="218"/>
      <c r="K29" s="183"/>
      <c r="L29" s="183"/>
    </row>
    <row r="30" spans="2:14" ht="17.399999999999999" x14ac:dyDescent="0.3">
      <c r="B30" s="163"/>
      <c r="C30" s="219" t="s">
        <v>46</v>
      </c>
      <c r="D30" s="230">
        <f>SUM(D22:F27)</f>
        <v>10578740047.359104</v>
      </c>
      <c r="E30" s="230"/>
      <c r="F30" s="230"/>
      <c r="G30" s="185"/>
      <c r="H30" s="187" t="s">
        <v>95</v>
      </c>
      <c r="I30" s="186"/>
      <c r="J30" s="222">
        <f>D30/E11</f>
        <v>283500.45363757538</v>
      </c>
      <c r="K30" s="222"/>
      <c r="L30" s="183"/>
    </row>
    <row r="31" spans="2:14" ht="17.399999999999999" x14ac:dyDescent="0.3">
      <c r="B31" s="163"/>
      <c r="C31" s="219" t="s">
        <v>49</v>
      </c>
      <c r="D31" s="223">
        <f>E11*(J33*J32)</f>
        <v>5817514106.8799992</v>
      </c>
      <c r="E31" s="223"/>
      <c r="F31" s="223"/>
      <c r="G31" s="185"/>
      <c r="H31" s="187" t="s">
        <v>85</v>
      </c>
      <c r="I31" s="186"/>
      <c r="J31" s="224">
        <f>J30/J32</f>
        <v>19.093511155547912</v>
      </c>
      <c r="K31" s="224"/>
      <c r="L31" s="187"/>
    </row>
    <row r="32" spans="2:14" ht="17.399999999999999" x14ac:dyDescent="0.3">
      <c r="B32" s="163"/>
      <c r="C32" s="184"/>
      <c r="D32" s="225"/>
      <c r="E32" s="225"/>
      <c r="F32" s="225"/>
      <c r="G32" s="185"/>
      <c r="H32" s="220" t="s">
        <v>80</v>
      </c>
      <c r="I32" s="189"/>
      <c r="J32" s="226">
        <v>14848</v>
      </c>
      <c r="K32" s="226"/>
      <c r="L32" s="163"/>
    </row>
    <row r="33" spans="2:12" ht="17.399999999999999" customHeight="1" x14ac:dyDescent="0.3">
      <c r="B33" s="163"/>
      <c r="C33" s="227" t="s">
        <v>81</v>
      </c>
      <c r="D33" s="228">
        <f>D31-D30</f>
        <v>-4761225940.479105</v>
      </c>
      <c r="E33" s="228"/>
      <c r="F33" s="228"/>
      <c r="G33" s="163"/>
      <c r="H33" s="220" t="s">
        <v>86</v>
      </c>
      <c r="I33" s="189"/>
      <c r="J33" s="229">
        <v>10.5</v>
      </c>
      <c r="K33" s="229"/>
      <c r="L33" s="163"/>
    </row>
    <row r="34" spans="2:12" ht="17.399999999999999" customHeight="1" x14ac:dyDescent="0.3">
      <c r="B34" s="163"/>
      <c r="C34" s="227"/>
      <c r="D34" s="228"/>
      <c r="E34" s="228"/>
      <c r="F34" s="228"/>
      <c r="G34" s="163"/>
      <c r="H34" s="188"/>
      <c r="I34" s="189"/>
      <c r="J34" s="190"/>
      <c r="K34" s="163"/>
      <c r="L34" s="163"/>
    </row>
    <row r="35" spans="2:12" ht="14.4" customHeight="1" x14ac:dyDescent="0.3">
      <c r="B35" s="221" t="str">
        <f>IF(D31&lt;D30,("….RUGI …..!!!!!"),("OKE….."))</f>
        <v>….RUGI …..!!!!!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</row>
    <row r="36" spans="2:12" ht="14.4" customHeight="1" x14ac:dyDescent="0.3"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</row>
    <row r="37" spans="2:12" ht="14.4" customHeight="1" x14ac:dyDescent="0.3"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</row>
    <row r="39" spans="2:12" x14ac:dyDescent="0.3">
      <c r="H39" s="173"/>
    </row>
  </sheetData>
  <mergeCells count="22">
    <mergeCell ref="D22:F22"/>
    <mergeCell ref="B2:L3"/>
    <mergeCell ref="C5:C7"/>
    <mergeCell ref="D5:F7"/>
    <mergeCell ref="H5:J7"/>
    <mergeCell ref="H17:H19"/>
    <mergeCell ref="C15:F16"/>
    <mergeCell ref="D23:F23"/>
    <mergeCell ref="D24:F24"/>
    <mergeCell ref="D25:F25"/>
    <mergeCell ref="D26:F26"/>
    <mergeCell ref="D27:F27"/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53" t="s">
        <v>1</v>
      </c>
      <c r="D2" s="253" t="s">
        <v>2</v>
      </c>
      <c r="E2" s="253" t="s">
        <v>3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2" t="s">
        <v>4</v>
      </c>
      <c r="AK2" s="252" t="s">
        <v>57</v>
      </c>
      <c r="AL2" s="3"/>
    </row>
    <row r="3" spans="2:38" s="4" customFormat="1" x14ac:dyDescent="0.3">
      <c r="B3" s="4" t="s">
        <v>5</v>
      </c>
      <c r="C3" s="253"/>
      <c r="D3" s="253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52"/>
      <c r="AK3" s="252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53" t="s">
        <v>21</v>
      </c>
      <c r="C29" s="253"/>
      <c r="D29" s="253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54" t="s">
        <v>12</v>
      </c>
      <c r="AA32" s="254"/>
      <c r="AB32" s="254"/>
      <c r="AG32" s="254" t="s">
        <v>13</v>
      </c>
      <c r="AH32" s="254"/>
      <c r="AI32" s="254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54" t="s">
        <v>19</v>
      </c>
      <c r="AA36" s="254"/>
      <c r="AB36" s="254"/>
      <c r="AG36" s="254" t="s">
        <v>20</v>
      </c>
      <c r="AH36" s="254"/>
      <c r="AI36" s="254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53" t="s">
        <v>1</v>
      </c>
      <c r="E2" s="253" t="s">
        <v>2</v>
      </c>
      <c r="F2" s="253" t="s">
        <v>22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2" t="s">
        <v>23</v>
      </c>
      <c r="AL2" s="252" t="s">
        <v>24</v>
      </c>
      <c r="AN2" s="3"/>
    </row>
    <row r="3" spans="1:40" s="4" customFormat="1" x14ac:dyDescent="0.3">
      <c r="C3" s="4" t="s">
        <v>5</v>
      </c>
      <c r="D3" s="253"/>
      <c r="E3" s="253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52"/>
      <c r="AL3" s="252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54" t="s">
        <v>12</v>
      </c>
      <c r="AB33" s="254"/>
      <c r="AC33" s="254"/>
      <c r="AH33" s="254" t="s">
        <v>13</v>
      </c>
      <c r="AI33" s="254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54" t="s">
        <v>9</v>
      </c>
      <c r="U35" s="254"/>
      <c r="V35" s="254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54" t="s">
        <v>19</v>
      </c>
      <c r="AB37" s="254"/>
      <c r="AC37" s="254"/>
      <c r="AH37" s="254" t="s">
        <v>20</v>
      </c>
      <c r="AI37" s="254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37"/>
  <sheetViews>
    <sheetView topLeftCell="C88" workbookViewId="0">
      <selection activeCell="O137" sqref="O137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298</v>
      </c>
      <c r="P2" s="64" t="s">
        <v>299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237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245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272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238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246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294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260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247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261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262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273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K21" s="53">
        <v>766205.76574775728</v>
      </c>
      <c r="O21" s="64" t="s">
        <v>263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264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265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266</v>
      </c>
      <c r="P24" s="64" t="s">
        <v>111</v>
      </c>
    </row>
    <row r="25" spans="1:16" x14ac:dyDescent="0.3">
      <c r="A25" s="64">
        <v>20</v>
      </c>
      <c r="B25" s="64" t="s">
        <v>346</v>
      </c>
      <c r="C25" s="65">
        <v>28</v>
      </c>
      <c r="D25" s="66">
        <v>32.42</v>
      </c>
      <c r="E25" s="66">
        <v>34.21</v>
      </c>
      <c r="F25" s="66">
        <v>53.52</v>
      </c>
      <c r="G25" s="65" t="s">
        <v>131</v>
      </c>
      <c r="H25" s="53">
        <v>470090</v>
      </c>
      <c r="I25" s="53">
        <v>496045</v>
      </c>
      <c r="J25" s="53">
        <v>776040</v>
      </c>
      <c r="K25" s="68">
        <v>500000</v>
      </c>
      <c r="O25" s="64" t="s">
        <v>347</v>
      </c>
      <c r="P25" s="64" t="s">
        <v>118</v>
      </c>
    </row>
    <row r="26" spans="1:16" x14ac:dyDescent="0.3">
      <c r="A26" s="64">
        <v>21</v>
      </c>
      <c r="B26" s="64" t="s">
        <v>38</v>
      </c>
      <c r="C26" s="64">
        <v>10</v>
      </c>
      <c r="D26" s="57"/>
      <c r="E26" s="57"/>
      <c r="F26" s="57"/>
      <c r="H26" s="53">
        <v>8000000</v>
      </c>
      <c r="I26" s="53"/>
      <c r="J26" s="53"/>
      <c r="K26" s="53">
        <v>8000000</v>
      </c>
      <c r="O26" s="64" t="s">
        <v>267</v>
      </c>
      <c r="P26" s="64" t="s">
        <v>111</v>
      </c>
    </row>
    <row r="27" spans="1:16" x14ac:dyDescent="0.3">
      <c r="A27" s="64">
        <v>22</v>
      </c>
      <c r="B27" s="64" t="s">
        <v>133</v>
      </c>
      <c r="C27" s="64">
        <v>4</v>
      </c>
      <c r="D27" s="57"/>
      <c r="E27" s="57"/>
      <c r="F27" s="57"/>
      <c r="H27" s="53">
        <v>3000000</v>
      </c>
      <c r="I27" s="53"/>
      <c r="J27" s="53"/>
      <c r="K27" s="53">
        <v>3000000</v>
      </c>
      <c r="O27" s="64" t="s">
        <v>193</v>
      </c>
      <c r="P27" s="64" t="s">
        <v>111</v>
      </c>
    </row>
    <row r="28" spans="1:16" x14ac:dyDescent="0.3">
      <c r="A28" s="64">
        <v>23</v>
      </c>
      <c r="B28" s="64" t="s">
        <v>152</v>
      </c>
      <c r="C28" s="65">
        <v>10</v>
      </c>
      <c r="D28" s="65"/>
      <c r="E28" s="65"/>
      <c r="F28" s="65"/>
      <c r="G28" s="65"/>
      <c r="H28" s="53">
        <v>12000000</v>
      </c>
      <c r="K28" s="53">
        <f>Table2[[#This Row],[Column4]]</f>
        <v>12000000</v>
      </c>
      <c r="O28" s="64" t="s">
        <v>194</v>
      </c>
      <c r="P28" s="64" t="s">
        <v>111</v>
      </c>
    </row>
    <row r="29" spans="1:16" x14ac:dyDescent="0.3">
      <c r="A29" s="255" t="s">
        <v>134</v>
      </c>
      <c r="B29" s="255"/>
      <c r="C29" s="255"/>
      <c r="O29" s="64" t="s">
        <v>295</v>
      </c>
      <c r="P29" s="64" t="s">
        <v>111</v>
      </c>
    </row>
    <row r="30" spans="1:16" x14ac:dyDescent="0.3">
      <c r="J30" s="154" t="s">
        <v>304</v>
      </c>
      <c r="O30" s="64" t="s">
        <v>195</v>
      </c>
      <c r="P30" s="64" t="s">
        <v>109</v>
      </c>
    </row>
    <row r="31" spans="1:16" ht="14.4" thickBot="1" x14ac:dyDescent="0.35">
      <c r="A31" s="58" t="s">
        <v>1</v>
      </c>
      <c r="B31" s="59" t="s">
        <v>88</v>
      </c>
      <c r="C31" s="59" t="s">
        <v>135</v>
      </c>
      <c r="O31" s="64" t="s">
        <v>196</v>
      </c>
      <c r="P31" s="64" t="s">
        <v>114</v>
      </c>
    </row>
    <row r="32" spans="1:16" ht="14.4" thickTop="1" x14ac:dyDescent="0.3">
      <c r="A32" s="64">
        <v>1</v>
      </c>
      <c r="B32" s="64" t="s">
        <v>136</v>
      </c>
      <c r="C32" s="60">
        <v>24</v>
      </c>
      <c r="O32" s="64" t="s">
        <v>248</v>
      </c>
      <c r="P32" s="64" t="s">
        <v>114</v>
      </c>
    </row>
    <row r="33" spans="1:16" x14ac:dyDescent="0.3">
      <c r="A33" s="64">
        <v>2</v>
      </c>
      <c r="B33" s="64" t="s">
        <v>137</v>
      </c>
      <c r="C33" s="60">
        <v>16</v>
      </c>
      <c r="O33" s="64" t="s">
        <v>197</v>
      </c>
      <c r="P33" s="64" t="s">
        <v>114</v>
      </c>
    </row>
    <row r="34" spans="1:16" x14ac:dyDescent="0.3">
      <c r="A34" s="64">
        <v>3</v>
      </c>
      <c r="B34" s="61" t="s">
        <v>138</v>
      </c>
      <c r="C34" s="60">
        <v>8</v>
      </c>
      <c r="O34" s="64" t="s">
        <v>198</v>
      </c>
      <c r="P34" s="64" t="s">
        <v>114</v>
      </c>
    </row>
    <row r="35" spans="1:16" x14ac:dyDescent="0.3">
      <c r="A35" s="64">
        <v>4</v>
      </c>
      <c r="B35" s="64" t="s">
        <v>139</v>
      </c>
      <c r="C35" s="60">
        <v>16</v>
      </c>
      <c r="O35" s="64" t="s">
        <v>199</v>
      </c>
      <c r="P35" s="64" t="s">
        <v>114</v>
      </c>
    </row>
    <row r="36" spans="1:16" x14ac:dyDescent="0.3">
      <c r="A36" s="64">
        <v>5</v>
      </c>
      <c r="B36" s="64" t="s">
        <v>140</v>
      </c>
      <c r="C36" s="60">
        <v>8</v>
      </c>
      <c r="O36" s="64" t="s">
        <v>200</v>
      </c>
      <c r="P36" s="64" t="s">
        <v>114</v>
      </c>
    </row>
    <row r="37" spans="1:16" x14ac:dyDescent="0.3">
      <c r="O37" s="64" t="s">
        <v>201</v>
      </c>
      <c r="P37" s="64" t="s">
        <v>114</v>
      </c>
    </row>
    <row r="38" spans="1:16" x14ac:dyDescent="0.3">
      <c r="O38" s="64" t="s">
        <v>202</v>
      </c>
      <c r="P38" s="64" t="s">
        <v>114</v>
      </c>
    </row>
    <row r="39" spans="1:16" x14ac:dyDescent="0.3">
      <c r="B39" s="64">
        <v>14652.34</v>
      </c>
      <c r="O39" s="64" t="s">
        <v>203</v>
      </c>
      <c r="P39" s="64" t="s">
        <v>114</v>
      </c>
    </row>
    <row r="40" spans="1:16" x14ac:dyDescent="0.3">
      <c r="O40" s="64" t="s">
        <v>204</v>
      </c>
      <c r="P40" s="64" t="s">
        <v>114</v>
      </c>
    </row>
    <row r="41" spans="1:16" x14ac:dyDescent="0.3">
      <c r="O41" s="64" t="s">
        <v>258</v>
      </c>
      <c r="P41" s="64" t="s">
        <v>116</v>
      </c>
    </row>
    <row r="42" spans="1:16" x14ac:dyDescent="0.3">
      <c r="O42" s="64" t="s">
        <v>277</v>
      </c>
      <c r="P42" s="64" t="s">
        <v>116</v>
      </c>
    </row>
    <row r="43" spans="1:16" x14ac:dyDescent="0.3">
      <c r="O43" s="64" t="s">
        <v>249</v>
      </c>
      <c r="P43" s="64" t="s">
        <v>116</v>
      </c>
    </row>
    <row r="44" spans="1:16" x14ac:dyDescent="0.3">
      <c r="O44" s="64" t="s">
        <v>259</v>
      </c>
      <c r="P44" s="64" t="s">
        <v>116</v>
      </c>
    </row>
    <row r="45" spans="1:16" x14ac:dyDescent="0.3">
      <c r="O45" s="64" t="s">
        <v>250</v>
      </c>
      <c r="P45" s="64" t="s">
        <v>116</v>
      </c>
    </row>
    <row r="46" spans="1:16" x14ac:dyDescent="0.3">
      <c r="O46" s="64" t="s">
        <v>251</v>
      </c>
      <c r="P46" s="64" t="s">
        <v>116</v>
      </c>
    </row>
    <row r="47" spans="1:16" x14ac:dyDescent="0.3">
      <c r="O47" s="64" t="s">
        <v>252</v>
      </c>
      <c r="P47" s="64" t="s">
        <v>116</v>
      </c>
    </row>
    <row r="48" spans="1:16" x14ac:dyDescent="0.3">
      <c r="O48" s="64" t="s">
        <v>205</v>
      </c>
      <c r="P48" s="64" t="s">
        <v>116</v>
      </c>
    </row>
    <row r="49" spans="15:16" x14ac:dyDescent="0.3">
      <c r="O49" s="64" t="s">
        <v>206</v>
      </c>
      <c r="P49" s="64" t="s">
        <v>116</v>
      </c>
    </row>
    <row r="50" spans="15:16" x14ac:dyDescent="0.3">
      <c r="O50" s="64" t="s">
        <v>207</v>
      </c>
      <c r="P50" s="64" t="s">
        <v>116</v>
      </c>
    </row>
    <row r="51" spans="15:16" x14ac:dyDescent="0.3">
      <c r="O51" s="64" t="s">
        <v>208</v>
      </c>
      <c r="P51" s="64" t="s">
        <v>116</v>
      </c>
    </row>
    <row r="52" spans="15:16" x14ac:dyDescent="0.3">
      <c r="O52" s="64" t="s">
        <v>209</v>
      </c>
      <c r="P52" s="64" t="s">
        <v>116</v>
      </c>
    </row>
    <row r="53" spans="15:16" x14ac:dyDescent="0.3">
      <c r="O53" s="64" t="s">
        <v>210</v>
      </c>
      <c r="P53" s="64" t="s">
        <v>116</v>
      </c>
    </row>
    <row r="54" spans="15:16" x14ac:dyDescent="0.3">
      <c r="O54" s="64" t="s">
        <v>211</v>
      </c>
      <c r="P54" s="64" t="s">
        <v>116</v>
      </c>
    </row>
    <row r="55" spans="15:16" x14ac:dyDescent="0.3">
      <c r="O55" s="64" t="s">
        <v>212</v>
      </c>
      <c r="P55" s="64" t="s">
        <v>116</v>
      </c>
    </row>
    <row r="56" spans="15:16" x14ac:dyDescent="0.3">
      <c r="O56" s="64" t="s">
        <v>213</v>
      </c>
      <c r="P56" s="64" t="s">
        <v>116</v>
      </c>
    </row>
    <row r="57" spans="15:16" x14ac:dyDescent="0.3">
      <c r="O57" s="64" t="s">
        <v>214</v>
      </c>
      <c r="P57" s="64" t="s">
        <v>116</v>
      </c>
    </row>
    <row r="58" spans="15:16" x14ac:dyDescent="0.3">
      <c r="O58" s="64" t="s">
        <v>215</v>
      </c>
      <c r="P58" s="64" t="s">
        <v>116</v>
      </c>
    </row>
    <row r="59" spans="15:16" x14ac:dyDescent="0.3">
      <c r="O59" s="64" t="s">
        <v>216</v>
      </c>
      <c r="P59" s="64" t="s">
        <v>116</v>
      </c>
    </row>
    <row r="60" spans="15:16" x14ac:dyDescent="0.3">
      <c r="O60" s="64" t="s">
        <v>217</v>
      </c>
      <c r="P60" s="64" t="s">
        <v>116</v>
      </c>
    </row>
    <row r="61" spans="15:16" x14ac:dyDescent="0.3">
      <c r="O61" s="64" t="s">
        <v>218</v>
      </c>
      <c r="P61" s="64" t="s">
        <v>116</v>
      </c>
    </row>
    <row r="62" spans="15:16" x14ac:dyDescent="0.3">
      <c r="O62" s="64" t="s">
        <v>239</v>
      </c>
      <c r="P62" s="64" t="s">
        <v>116</v>
      </c>
    </row>
    <row r="63" spans="15:16" x14ac:dyDescent="0.3">
      <c r="O63" s="64" t="s">
        <v>240</v>
      </c>
      <c r="P63" s="64" t="s">
        <v>116</v>
      </c>
    </row>
    <row r="64" spans="15:16" x14ac:dyDescent="0.3">
      <c r="O64" s="64" t="s">
        <v>241</v>
      </c>
      <c r="P64" s="64" t="s">
        <v>116</v>
      </c>
    </row>
    <row r="65" spans="15:16" x14ac:dyDescent="0.3">
      <c r="O65" s="64" t="s">
        <v>284</v>
      </c>
      <c r="P65" s="64" t="s">
        <v>120</v>
      </c>
    </row>
    <row r="66" spans="15:16" x14ac:dyDescent="0.3">
      <c r="O66" s="64" t="s">
        <v>253</v>
      </c>
      <c r="P66" s="64" t="s">
        <v>120</v>
      </c>
    </row>
    <row r="67" spans="15:16" x14ac:dyDescent="0.3">
      <c r="O67" s="64" t="s">
        <v>254</v>
      </c>
      <c r="P67" s="64" t="s">
        <v>120</v>
      </c>
    </row>
    <row r="68" spans="15:16" x14ac:dyDescent="0.3">
      <c r="O68" s="64" t="s">
        <v>219</v>
      </c>
      <c r="P68" s="64" t="s">
        <v>120</v>
      </c>
    </row>
    <row r="69" spans="15:16" x14ac:dyDescent="0.3">
      <c r="O69" s="64" t="s">
        <v>220</v>
      </c>
      <c r="P69" s="64" t="s">
        <v>120</v>
      </c>
    </row>
    <row r="70" spans="15:16" x14ac:dyDescent="0.3">
      <c r="O70" s="64" t="s">
        <v>221</v>
      </c>
      <c r="P70" s="64" t="s">
        <v>120</v>
      </c>
    </row>
    <row r="71" spans="15:16" x14ac:dyDescent="0.3">
      <c r="O71" s="64" t="s">
        <v>222</v>
      </c>
      <c r="P71" s="64" t="s">
        <v>120</v>
      </c>
    </row>
    <row r="72" spans="15:16" x14ac:dyDescent="0.3">
      <c r="O72" s="64" t="s">
        <v>242</v>
      </c>
      <c r="P72" s="64" t="s">
        <v>120</v>
      </c>
    </row>
    <row r="73" spans="15:16" x14ac:dyDescent="0.3">
      <c r="O73" s="64" t="s">
        <v>268</v>
      </c>
      <c r="P73" s="64" t="s">
        <v>118</v>
      </c>
    </row>
    <row r="74" spans="15:16" x14ac:dyDescent="0.3">
      <c r="O74" s="64" t="s">
        <v>223</v>
      </c>
      <c r="P74" s="64" t="s">
        <v>118</v>
      </c>
    </row>
    <row r="75" spans="15:16" x14ac:dyDescent="0.3">
      <c r="O75" s="64" t="s">
        <v>255</v>
      </c>
      <c r="P75" s="64" t="s">
        <v>118</v>
      </c>
    </row>
    <row r="76" spans="15:16" x14ac:dyDescent="0.3">
      <c r="O76" s="64" t="s">
        <v>224</v>
      </c>
      <c r="P76" s="64" t="s">
        <v>118</v>
      </c>
    </row>
    <row r="77" spans="15:16" x14ac:dyDescent="0.3">
      <c r="O77" s="64" t="s">
        <v>243</v>
      </c>
      <c r="P77" s="64" t="s">
        <v>118</v>
      </c>
    </row>
    <row r="78" spans="15:16" x14ac:dyDescent="0.3">
      <c r="O78" s="64" t="s">
        <v>225</v>
      </c>
      <c r="P78" s="64" t="s">
        <v>121</v>
      </c>
    </row>
    <row r="79" spans="15:16" x14ac:dyDescent="0.3">
      <c r="O79" s="64" t="s">
        <v>274</v>
      </c>
      <c r="P79" s="64" t="s">
        <v>129</v>
      </c>
    </row>
    <row r="80" spans="15:16" x14ac:dyDescent="0.3">
      <c r="O80" s="64" t="s">
        <v>275</v>
      </c>
      <c r="P80" s="64" t="s">
        <v>123</v>
      </c>
    </row>
    <row r="81" spans="15:16" x14ac:dyDescent="0.3">
      <c r="O81" s="64" t="s">
        <v>285</v>
      </c>
      <c r="P81" s="64" t="s">
        <v>123</v>
      </c>
    </row>
    <row r="82" spans="15:16" x14ac:dyDescent="0.3">
      <c r="O82" s="64" t="s">
        <v>226</v>
      </c>
      <c r="P82" s="64" t="s">
        <v>123</v>
      </c>
    </row>
    <row r="83" spans="15:16" x14ac:dyDescent="0.3">
      <c r="O83" s="64" t="s">
        <v>289</v>
      </c>
      <c r="P83" s="64" t="s">
        <v>38</v>
      </c>
    </row>
    <row r="84" spans="15:16" x14ac:dyDescent="0.3">
      <c r="O84" s="64" t="s">
        <v>229</v>
      </c>
      <c r="P84" s="64" t="s">
        <v>38</v>
      </c>
    </row>
    <row r="85" spans="15:16" x14ac:dyDescent="0.3">
      <c r="O85" s="64" t="s">
        <v>230</v>
      </c>
      <c r="P85" s="64" t="s">
        <v>38</v>
      </c>
    </row>
    <row r="86" spans="15:16" x14ac:dyDescent="0.3">
      <c r="O86" s="64" t="s">
        <v>231</v>
      </c>
      <c r="P86" s="64" t="s">
        <v>38</v>
      </c>
    </row>
    <row r="87" spans="15:16" x14ac:dyDescent="0.3">
      <c r="O87" s="64" t="s">
        <v>244</v>
      </c>
      <c r="P87" s="64" t="s">
        <v>38</v>
      </c>
    </row>
    <row r="88" spans="15:16" x14ac:dyDescent="0.3">
      <c r="O88" s="64" t="s">
        <v>290</v>
      </c>
      <c r="P88" s="64" t="s">
        <v>38</v>
      </c>
    </row>
    <row r="89" spans="15:16" x14ac:dyDescent="0.3">
      <c r="O89" s="64" t="s">
        <v>227</v>
      </c>
      <c r="P89" s="64" t="s">
        <v>38</v>
      </c>
    </row>
    <row r="90" spans="15:16" x14ac:dyDescent="0.3">
      <c r="O90" s="64" t="s">
        <v>271</v>
      </c>
      <c r="P90" s="64" t="s">
        <v>38</v>
      </c>
    </row>
    <row r="91" spans="15:16" x14ac:dyDescent="0.3">
      <c r="O91" s="64" t="s">
        <v>278</v>
      </c>
      <c r="P91" s="64" t="s">
        <v>38</v>
      </c>
    </row>
    <row r="92" spans="15:16" x14ac:dyDescent="0.3">
      <c r="O92" s="64" t="s">
        <v>296</v>
      </c>
      <c r="P92" s="64" t="s">
        <v>38</v>
      </c>
    </row>
    <row r="93" spans="15:16" x14ac:dyDescent="0.3">
      <c r="O93" s="64" t="s">
        <v>279</v>
      </c>
      <c r="P93" s="64" t="s">
        <v>38</v>
      </c>
    </row>
    <row r="94" spans="15:16" x14ac:dyDescent="0.3">
      <c r="O94" s="64" t="s">
        <v>280</v>
      </c>
      <c r="P94" s="64" t="s">
        <v>38</v>
      </c>
    </row>
    <row r="95" spans="15:16" x14ac:dyDescent="0.3">
      <c r="O95" s="64" t="s">
        <v>281</v>
      </c>
      <c r="P95" s="64" t="s">
        <v>38</v>
      </c>
    </row>
    <row r="96" spans="15:16" x14ac:dyDescent="0.3">
      <c r="O96" s="64" t="s">
        <v>301</v>
      </c>
      <c r="P96" s="64" t="s">
        <v>38</v>
      </c>
    </row>
    <row r="97" spans="15:16" x14ac:dyDescent="0.3">
      <c r="O97" s="64" t="s">
        <v>228</v>
      </c>
      <c r="P97" s="64" t="s">
        <v>38</v>
      </c>
    </row>
    <row r="98" spans="15:16" x14ac:dyDescent="0.3">
      <c r="O98" s="64" t="s">
        <v>282</v>
      </c>
      <c r="P98" s="64" t="s">
        <v>38</v>
      </c>
    </row>
    <row r="99" spans="15:16" x14ac:dyDescent="0.3">
      <c r="O99" s="64" t="s">
        <v>297</v>
      </c>
      <c r="P99" s="64" t="s">
        <v>38</v>
      </c>
    </row>
    <row r="100" spans="15:16" x14ac:dyDescent="0.3">
      <c r="O100" s="64" t="s">
        <v>256</v>
      </c>
      <c r="P100" s="64" t="s">
        <v>38</v>
      </c>
    </row>
    <row r="101" spans="15:16" x14ac:dyDescent="0.3">
      <c r="O101" s="64" t="s">
        <v>270</v>
      </c>
      <c r="P101" s="64" t="s">
        <v>38</v>
      </c>
    </row>
    <row r="102" spans="15:16" x14ac:dyDescent="0.3">
      <c r="O102" s="64" t="s">
        <v>283</v>
      </c>
      <c r="P102" s="64" t="s">
        <v>38</v>
      </c>
    </row>
    <row r="103" spans="15:16" x14ac:dyDescent="0.3">
      <c r="O103" s="64" t="s">
        <v>232</v>
      </c>
      <c r="P103" s="64" t="s">
        <v>130</v>
      </c>
    </row>
    <row r="104" spans="15:16" x14ac:dyDescent="0.3">
      <c r="O104" s="64" t="s">
        <v>286</v>
      </c>
      <c r="P104" s="64" t="s">
        <v>152</v>
      </c>
    </row>
    <row r="105" spans="15:16" x14ac:dyDescent="0.3">
      <c r="O105" s="64" t="s">
        <v>233</v>
      </c>
      <c r="P105" s="64" t="s">
        <v>130</v>
      </c>
    </row>
    <row r="106" spans="15:16" x14ac:dyDescent="0.3">
      <c r="O106" s="64" t="s">
        <v>234</v>
      </c>
      <c r="P106" s="64" t="s">
        <v>130</v>
      </c>
    </row>
    <row r="107" spans="15:16" x14ac:dyDescent="0.3">
      <c r="O107" s="64" t="s">
        <v>300</v>
      </c>
      <c r="P107" s="64" t="s">
        <v>130</v>
      </c>
    </row>
    <row r="108" spans="15:16" x14ac:dyDescent="0.3">
      <c r="O108" s="64" t="s">
        <v>291</v>
      </c>
      <c r="P108" s="64" t="s">
        <v>152</v>
      </c>
    </row>
    <row r="109" spans="15:16" x14ac:dyDescent="0.3">
      <c r="O109" s="64" t="s">
        <v>235</v>
      </c>
      <c r="P109" s="64" t="s">
        <v>152</v>
      </c>
    </row>
    <row r="110" spans="15:16" x14ac:dyDescent="0.3">
      <c r="O110" s="64" t="s">
        <v>236</v>
      </c>
      <c r="P110" s="64" t="s">
        <v>152</v>
      </c>
    </row>
    <row r="111" spans="15:16" x14ac:dyDescent="0.3">
      <c r="O111" s="64" t="s">
        <v>287</v>
      </c>
      <c r="P111" s="64" t="s">
        <v>152</v>
      </c>
    </row>
    <row r="112" spans="15:16" x14ac:dyDescent="0.3">
      <c r="O112" s="64" t="s">
        <v>293</v>
      </c>
    </row>
    <row r="113" spans="15:16" x14ac:dyDescent="0.3">
      <c r="O113" s="64" t="s">
        <v>305</v>
      </c>
      <c r="P113" s="64" t="s">
        <v>38</v>
      </c>
    </row>
    <row r="114" spans="15:16" x14ac:dyDescent="0.3">
      <c r="O114" s="64" t="s">
        <v>306</v>
      </c>
    </row>
    <row r="115" spans="15:16" x14ac:dyDescent="0.3">
      <c r="O115" s="64" t="s">
        <v>309</v>
      </c>
      <c r="P115" s="64" t="s">
        <v>118</v>
      </c>
    </row>
    <row r="116" spans="15:16" x14ac:dyDescent="0.3">
      <c r="O116" s="64" t="s">
        <v>329</v>
      </c>
      <c r="P116" s="64" t="s">
        <v>112</v>
      </c>
    </row>
    <row r="117" spans="15:16" x14ac:dyDescent="0.3">
      <c r="O117" s="64" t="s">
        <v>330</v>
      </c>
      <c r="P117" s="64" t="s">
        <v>115</v>
      </c>
    </row>
    <row r="118" spans="15:16" x14ac:dyDescent="0.3">
      <c r="O118" s="64" t="s">
        <v>310</v>
      </c>
      <c r="P118" s="64" t="s">
        <v>38</v>
      </c>
    </row>
    <row r="119" spans="15:16" x14ac:dyDescent="0.3">
      <c r="O119" s="64" t="s">
        <v>331</v>
      </c>
      <c r="P119" s="64" t="s">
        <v>152</v>
      </c>
    </row>
    <row r="120" spans="15:16" x14ac:dyDescent="0.3">
      <c r="O120" s="64" t="s">
        <v>334</v>
      </c>
      <c r="P120" s="64" t="s">
        <v>111</v>
      </c>
    </row>
    <row r="121" spans="15:16" x14ac:dyDescent="0.3">
      <c r="O121" s="64" t="s">
        <v>336</v>
      </c>
      <c r="P121" s="64" t="s">
        <v>111</v>
      </c>
    </row>
    <row r="122" spans="15:16" x14ac:dyDescent="0.3">
      <c r="O122" s="64" t="s">
        <v>337</v>
      </c>
      <c r="P122" s="64" t="s">
        <v>38</v>
      </c>
    </row>
    <row r="123" spans="15:16" x14ac:dyDescent="0.3">
      <c r="O123" s="64" t="s">
        <v>335</v>
      </c>
      <c r="P123" s="64" t="s">
        <v>38</v>
      </c>
    </row>
    <row r="124" spans="15:16" x14ac:dyDescent="0.3">
      <c r="O124" s="64" t="s">
        <v>338</v>
      </c>
      <c r="P124" s="64" t="s">
        <v>38</v>
      </c>
    </row>
    <row r="125" spans="15:16" x14ac:dyDescent="0.3">
      <c r="O125" s="64" t="s">
        <v>339</v>
      </c>
    </row>
    <row r="126" spans="15:16" x14ac:dyDescent="0.3">
      <c r="O126" s="64" t="s">
        <v>340</v>
      </c>
      <c r="P126" s="64" t="s">
        <v>113</v>
      </c>
    </row>
    <row r="127" spans="15:16" x14ac:dyDescent="0.3">
      <c r="O127" s="64" t="s">
        <v>341</v>
      </c>
      <c r="P127" s="64" t="s">
        <v>112</v>
      </c>
    </row>
    <row r="128" spans="15:16" x14ac:dyDescent="0.3">
      <c r="O128" s="64" t="s">
        <v>342</v>
      </c>
      <c r="P128" s="64" t="s">
        <v>129</v>
      </c>
    </row>
    <row r="129" spans="15:16" x14ac:dyDescent="0.3">
      <c r="O129" s="64" t="s">
        <v>345</v>
      </c>
      <c r="P129" s="64" t="s">
        <v>121</v>
      </c>
    </row>
    <row r="130" spans="15:16" x14ac:dyDescent="0.3">
      <c r="O130" s="64" t="s">
        <v>349</v>
      </c>
      <c r="P130" s="64" t="s">
        <v>111</v>
      </c>
    </row>
    <row r="131" spans="15:16" x14ac:dyDescent="0.3">
      <c r="O131" s="64" t="s">
        <v>348</v>
      </c>
      <c r="P131" s="64" t="s">
        <v>111</v>
      </c>
    </row>
    <row r="132" spans="15:16" x14ac:dyDescent="0.3">
      <c r="O132" s="64" t="s">
        <v>350</v>
      </c>
      <c r="P132" s="64" t="s">
        <v>38</v>
      </c>
    </row>
    <row r="133" spans="15:16" x14ac:dyDescent="0.3">
      <c r="O133" s="64" t="s">
        <v>351</v>
      </c>
      <c r="P133" s="64" t="s">
        <v>114</v>
      </c>
    </row>
    <row r="134" spans="15:16" x14ac:dyDescent="0.3">
      <c r="O134" s="64" t="s">
        <v>354</v>
      </c>
      <c r="P134" s="64" t="s">
        <v>121</v>
      </c>
    </row>
    <row r="135" spans="15:16" x14ac:dyDescent="0.3">
      <c r="O135" s="64" t="s">
        <v>355</v>
      </c>
      <c r="P135" s="64" t="s">
        <v>123</v>
      </c>
    </row>
    <row r="136" spans="15:16" x14ac:dyDescent="0.3">
      <c r="O136" s="64" t="s">
        <v>356</v>
      </c>
    </row>
    <row r="137" spans="15:16" x14ac:dyDescent="0.3">
      <c r="O137" s="64" t="s">
        <v>360</v>
      </c>
    </row>
  </sheetData>
  <autoFilter ref="O2:P2" xr:uid="{00000000-0001-0000-0000-000000000000}"/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A28" sqref="A28:XFD29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240" t="s">
        <v>307</v>
      </c>
      <c r="C2" s="240"/>
      <c r="D2" s="240"/>
      <c r="E2" s="240"/>
      <c r="F2" s="240"/>
      <c r="G2" s="240"/>
      <c r="H2" s="240"/>
      <c r="I2" s="240"/>
      <c r="J2" s="240"/>
    </row>
    <row r="3" spans="2:10" x14ac:dyDescent="0.3">
      <c r="B3" s="240"/>
      <c r="C3" s="240"/>
      <c r="D3" s="240"/>
      <c r="E3" s="240"/>
      <c r="F3" s="240"/>
      <c r="G3" s="240"/>
      <c r="H3" s="240"/>
      <c r="I3" s="240"/>
      <c r="J3" s="240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243" t="s">
        <v>185</v>
      </c>
      <c r="D5" s="241" t="s">
        <v>308</v>
      </c>
      <c r="E5" s="242"/>
      <c r="F5" s="107"/>
      <c r="G5" s="244" t="s">
        <v>184</v>
      </c>
      <c r="H5" s="245"/>
      <c r="I5" s="245"/>
      <c r="J5" s="107"/>
    </row>
    <row r="6" spans="2:10" ht="14.4" customHeight="1" x14ac:dyDescent="0.3">
      <c r="B6" s="107"/>
      <c r="C6" s="243"/>
      <c r="D6" s="242"/>
      <c r="E6" s="242"/>
      <c r="F6" s="107"/>
      <c r="G6" s="245"/>
      <c r="H6" s="245"/>
      <c r="I6" s="245"/>
      <c r="J6" s="107"/>
    </row>
    <row r="7" spans="2:10" ht="14.4" customHeight="1" x14ac:dyDescent="0.3">
      <c r="B7" s="107"/>
      <c r="C7" s="243"/>
      <c r="D7" s="242"/>
      <c r="E7" s="242"/>
      <c r="F7" s="107"/>
      <c r="G7" s="245"/>
      <c r="H7" s="245"/>
      <c r="I7" s="245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HAUL'!D41</f>
        <v>37314.719999999994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4.5662183717310496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302</v>
      </c>
      <c r="D14" s="109"/>
      <c r="E14" s="113"/>
      <c r="F14" s="107"/>
      <c r="G14" s="114" t="s">
        <v>303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OB'!D8:D56)</f>
        <v>2440.5063324925927</v>
      </c>
      <c r="F15" s="107"/>
      <c r="G15" s="115" t="s">
        <v>141</v>
      </c>
      <c r="H15" s="116" t="s">
        <v>142</v>
      </c>
      <c r="I15" s="117">
        <f>'REPORT unit OB'!G58+'REPORT unit QUARRY'!G45+'REPORT unit DEVELOP'!G11+'REPORT unit ORE GETTING'!G31+'REPORT unit DT HAUL'!H41+'REPORT unit LV &amp; support'!E29</f>
        <v>162394.11627906977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OB'!J58</f>
        <v>4200363392.4252195</v>
      </c>
      <c r="F18" s="107"/>
      <c r="G18" s="109" t="s">
        <v>181</v>
      </c>
      <c r="H18" s="125">
        <f>I18/$I$26</f>
        <v>0.39705705723185869</v>
      </c>
      <c r="I18" s="126">
        <f>E18/E10</f>
        <v>112565.85584523267</v>
      </c>
      <c r="J18" s="127">
        <f>I18/$I$28</f>
        <v>7.5812133516455189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QUARRY'!J45</f>
        <v>1531554207.0121827</v>
      </c>
      <c r="F19" s="107"/>
      <c r="G19" s="109" t="s">
        <v>182</v>
      </c>
      <c r="H19" s="125">
        <f t="shared" ref="H19:H23" si="0">I19/$I$26</f>
        <v>0.14477661802404554</v>
      </c>
      <c r="I19" s="126">
        <f>E19/E10</f>
        <v>41044.236885930884</v>
      </c>
      <c r="J19" s="127">
        <f t="shared" ref="J19:J23" si="1">I19/$I$28</f>
        <v>2.7642939713046122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0</v>
      </c>
      <c r="F20" s="107"/>
      <c r="G20" s="109" t="s">
        <v>177</v>
      </c>
      <c r="H20" s="125">
        <f t="shared" si="0"/>
        <v>0</v>
      </c>
      <c r="I20" s="126">
        <f>E20/E10</f>
        <v>0</v>
      </c>
      <c r="J20" s="127">
        <f t="shared" si="1"/>
        <v>0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GETTING'!J31</f>
        <v>877810447.92170036</v>
      </c>
      <c r="F21" s="107"/>
      <c r="G21" s="109" t="s">
        <v>178</v>
      </c>
      <c r="H21" s="125">
        <f t="shared" si="0"/>
        <v>8.2978733194303086E-2</v>
      </c>
      <c r="I21" s="126">
        <f>E21/E10</f>
        <v>23524.508502856261</v>
      </c>
      <c r="J21" s="127">
        <f t="shared" si="1"/>
        <v>1.5843553679186597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HAUL'!M41</f>
        <v>3762316000</v>
      </c>
      <c r="F22" s="107"/>
      <c r="G22" s="109" t="s">
        <v>179</v>
      </c>
      <c r="H22" s="125">
        <f t="shared" si="0"/>
        <v>0.35564878077699158</v>
      </c>
      <c r="I22" s="126">
        <f>E22/E10</f>
        <v>100826.59068592772</v>
      </c>
      <c r="J22" s="127">
        <f t="shared" si="1"/>
        <v>6.7905839632225025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support'!H29</f>
        <v>206696000</v>
      </c>
      <c r="F23" s="107"/>
      <c r="G23" s="109" t="s">
        <v>180</v>
      </c>
      <c r="H23" s="125">
        <f t="shared" si="0"/>
        <v>1.9538810772800865E-2</v>
      </c>
      <c r="I23" s="126">
        <f>E23/E10</f>
        <v>5539.2617176277899</v>
      </c>
      <c r="J23" s="127">
        <f t="shared" si="1"/>
        <v>0.37306450145661302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0.99999999999999967</v>
      </c>
      <c r="I24" s="129">
        <f t="shared" ref="I24:J24" si="2">SUM(I18:I23)</f>
        <v>283500.45363757532</v>
      </c>
      <c r="J24" s="130">
        <f t="shared" si="2"/>
        <v>19.093511155547905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10578740047.359104</v>
      </c>
      <c r="F26" s="138"/>
      <c r="G26" s="133" t="s">
        <v>95</v>
      </c>
      <c r="H26" s="139"/>
      <c r="I26" s="134">
        <f>E26/E10</f>
        <v>283500.45363757538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19.093511155547912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5817514106.8799992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-4761225940.479105</v>
      </c>
      <c r="F30" s="107"/>
      <c r="G30" s="143"/>
      <c r="H30" s="144"/>
      <c r="I30" s="150"/>
      <c r="J30" s="107"/>
    </row>
    <row r="31" spans="2:10" ht="14.4" customHeight="1" x14ac:dyDescent="0.3">
      <c r="B31" s="239" t="str">
        <f>IF(E28&lt;E26,("….RUGI …..!!!!!"),("OKE….."))</f>
        <v>….RUGI …..!!!!!</v>
      </c>
      <c r="C31" s="239"/>
      <c r="D31" s="239"/>
      <c r="E31" s="239"/>
      <c r="F31" s="239"/>
      <c r="G31" s="239"/>
      <c r="H31" s="239"/>
      <c r="I31" s="239"/>
      <c r="J31" s="239"/>
    </row>
    <row r="32" spans="2:10" ht="14.4" customHeight="1" x14ac:dyDescent="0.3">
      <c r="B32" s="239"/>
      <c r="C32" s="239"/>
      <c r="D32" s="239"/>
      <c r="E32" s="239"/>
      <c r="F32" s="239"/>
      <c r="G32" s="239"/>
      <c r="H32" s="239"/>
      <c r="I32" s="239"/>
      <c r="J32" s="239"/>
    </row>
    <row r="33" spans="2:10" ht="14.4" customHeight="1" x14ac:dyDescent="0.3">
      <c r="B33" s="239"/>
      <c r="C33" s="239"/>
      <c r="D33" s="239"/>
      <c r="E33" s="239"/>
      <c r="F33" s="239"/>
      <c r="G33" s="239"/>
      <c r="H33" s="239"/>
      <c r="I33" s="239"/>
      <c r="J33" s="239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74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G26" sqref="G26:H26"/>
    </sheetView>
  </sheetViews>
  <sheetFormatPr defaultRowHeight="12" x14ac:dyDescent="0.3"/>
  <cols>
    <col min="1" max="1" width="26" style="69" customWidth="1"/>
    <col min="2" max="3" width="17.77734375" style="69" customWidth="1"/>
    <col min="4" max="15" width="15.77734375" style="74" customWidth="1"/>
    <col min="16" max="16" width="17.77734375" style="74" customWidth="1"/>
    <col min="17" max="16384" width="8.88671875" style="74"/>
  </cols>
  <sheetData>
    <row r="1" spans="1:18" x14ac:dyDescent="0.3">
      <c r="D1" s="74">
        <v>1</v>
      </c>
      <c r="E1" s="74">
        <v>2</v>
      </c>
      <c r="F1" s="74">
        <v>3</v>
      </c>
      <c r="G1" s="74">
        <v>4</v>
      </c>
      <c r="H1" s="74">
        <v>5</v>
      </c>
      <c r="I1" s="74">
        <v>6</v>
      </c>
      <c r="J1" s="74">
        <v>7</v>
      </c>
      <c r="K1" s="74">
        <v>8</v>
      </c>
      <c r="L1" s="74">
        <v>9</v>
      </c>
      <c r="M1" s="74">
        <v>10</v>
      </c>
      <c r="N1" s="74">
        <v>11</v>
      </c>
      <c r="O1" s="74">
        <v>12</v>
      </c>
    </row>
    <row r="2" spans="1:18" s="69" customFormat="1" x14ac:dyDescent="0.3">
      <c r="B2" s="70">
        <v>2022</v>
      </c>
      <c r="C2" s="70" t="s">
        <v>358</v>
      </c>
      <c r="D2" s="70" t="s">
        <v>153</v>
      </c>
      <c r="E2" s="70" t="s">
        <v>154</v>
      </c>
      <c r="F2" s="70" t="s">
        <v>155</v>
      </c>
      <c r="G2" s="70" t="s">
        <v>156</v>
      </c>
      <c r="H2" s="70" t="s">
        <v>157</v>
      </c>
      <c r="I2" s="70" t="s">
        <v>158</v>
      </c>
      <c r="J2" s="70" t="s">
        <v>159</v>
      </c>
      <c r="K2" s="70" t="s">
        <v>160</v>
      </c>
      <c r="L2" s="70" t="s">
        <v>161</v>
      </c>
      <c r="M2" s="70" t="s">
        <v>162</v>
      </c>
      <c r="N2" s="70" t="s">
        <v>163</v>
      </c>
      <c r="O2" s="70" t="s">
        <v>164</v>
      </c>
      <c r="P2" s="71" t="s">
        <v>359</v>
      </c>
    </row>
    <row r="3" spans="1:18" x14ac:dyDescent="0.3">
      <c r="A3" s="72" t="s">
        <v>315</v>
      </c>
      <c r="B3" s="91">
        <v>2593394.6799999997</v>
      </c>
      <c r="C3" s="91">
        <v>1762644.37</v>
      </c>
      <c r="D3" s="73">
        <v>96004.7</v>
      </c>
      <c r="E3" s="73">
        <v>64356.6</v>
      </c>
      <c r="F3" s="73">
        <v>103019.79999999999</v>
      </c>
      <c r="G3" s="73">
        <f>SUMMARY!$E$10</f>
        <v>91039.4</v>
      </c>
      <c r="H3" s="73"/>
      <c r="I3" s="73"/>
      <c r="J3" s="73"/>
      <c r="K3" s="73"/>
      <c r="L3" s="73"/>
      <c r="M3" s="73"/>
      <c r="N3" s="73"/>
      <c r="O3" s="73"/>
      <c r="P3" s="91">
        <f>SUM(D3:O3)</f>
        <v>354420.5</v>
      </c>
    </row>
    <row r="4" spans="1:18" x14ac:dyDescent="0.3">
      <c r="A4" s="75" t="s">
        <v>76</v>
      </c>
      <c r="B4" s="92">
        <v>2365922.3199999998</v>
      </c>
      <c r="C4" s="92">
        <v>2351389.8299999996</v>
      </c>
      <c r="D4" s="76">
        <v>139218.54999999999</v>
      </c>
      <c r="E4" s="76">
        <v>135612.64999999997</v>
      </c>
      <c r="F4" s="76">
        <v>139849.34000000003</v>
      </c>
      <c r="G4" s="76">
        <f>SUMMARY!$E$11</f>
        <v>37314.719999999994</v>
      </c>
      <c r="H4" s="76"/>
      <c r="I4" s="76"/>
      <c r="J4" s="76"/>
      <c r="K4" s="76"/>
      <c r="L4" s="76"/>
      <c r="M4" s="76"/>
      <c r="N4" s="76"/>
      <c r="O4" s="76"/>
      <c r="P4" s="92">
        <f>SUM(D4:O4)</f>
        <v>451995.25999999995</v>
      </c>
    </row>
    <row r="5" spans="1:18" x14ac:dyDescent="0.3">
      <c r="A5" s="101" t="s">
        <v>183</v>
      </c>
      <c r="B5" s="103">
        <v>485042.22</v>
      </c>
      <c r="C5" s="103">
        <v>231202.35000000003</v>
      </c>
      <c r="D5" s="102">
        <v>20164.900000000001</v>
      </c>
      <c r="E5" s="102">
        <v>33195.1</v>
      </c>
      <c r="F5" s="102">
        <v>25675.5</v>
      </c>
      <c r="G5" s="102">
        <f>SUMMARY!$E$12</f>
        <v>22698.100000000002</v>
      </c>
      <c r="H5" s="102"/>
      <c r="I5" s="102"/>
      <c r="J5" s="102"/>
      <c r="K5" s="102"/>
      <c r="L5" s="102"/>
      <c r="M5" s="102"/>
      <c r="N5" s="102"/>
      <c r="O5" s="102"/>
      <c r="P5" s="103">
        <f>SUM(D5:O5)</f>
        <v>101733.6</v>
      </c>
    </row>
    <row r="6" spans="1:18" x14ac:dyDescent="0.3">
      <c r="A6" s="77" t="s">
        <v>78</v>
      </c>
      <c r="B6" s="93">
        <v>1.0961453206122169</v>
      </c>
      <c r="C6" s="93">
        <v>0.74961809714044758</v>
      </c>
      <c r="D6" s="78">
        <v>0.68959704004961986</v>
      </c>
      <c r="E6" s="78">
        <v>0.47456192324241148</v>
      </c>
      <c r="F6" s="78">
        <v>0.73664845325691186</v>
      </c>
      <c r="G6" s="78">
        <f>SUMMARY!$E$13</f>
        <v>2.4397717576334488</v>
      </c>
      <c r="H6" s="78"/>
      <c r="I6" s="78"/>
      <c r="J6" s="78"/>
      <c r="K6" s="78"/>
      <c r="L6" s="78"/>
      <c r="M6" s="78"/>
      <c r="N6" s="78"/>
      <c r="O6" s="78"/>
      <c r="P6" s="93">
        <f>P3/P4</f>
        <v>0.78412437333966745</v>
      </c>
    </row>
    <row r="7" spans="1:18" x14ac:dyDescent="0.3">
      <c r="A7" s="69" t="s">
        <v>323</v>
      </c>
      <c r="B7" s="94"/>
      <c r="C7" s="151">
        <v>0.78268589470443917</v>
      </c>
      <c r="D7" s="155">
        <v>0.61237556448822628</v>
      </c>
      <c r="E7" s="155">
        <v>0.45742556258606226</v>
      </c>
      <c r="F7" s="155">
        <v>1.0399677465379984</v>
      </c>
      <c r="G7" s="155">
        <f>SUMMARY!$F$10</f>
        <v>1.0081963215624414</v>
      </c>
      <c r="H7" s="155"/>
      <c r="I7" s="108"/>
      <c r="J7" s="108"/>
      <c r="K7" s="108"/>
      <c r="L7" s="108"/>
      <c r="M7" s="108"/>
      <c r="N7" s="108"/>
      <c r="O7" s="108"/>
      <c r="P7" s="151">
        <f t="shared" ref="P7:P9" si="0">AVERAGE(D7:O7)</f>
        <v>0.77949129879368206</v>
      </c>
    </row>
    <row r="8" spans="1:18" x14ac:dyDescent="0.3">
      <c r="A8" s="69" t="s">
        <v>324</v>
      </c>
      <c r="B8" s="94"/>
      <c r="C8" s="151">
        <v>0.76813006959413732</v>
      </c>
      <c r="D8" s="155">
        <v>0.70046751531385376</v>
      </c>
      <c r="E8" s="155">
        <v>0.74603212069480607</v>
      </c>
      <c r="F8" s="155">
        <v>0.92166554901620257</v>
      </c>
      <c r="G8" s="155">
        <f>SUMMARY!$F$11</f>
        <v>0.24727914688551178</v>
      </c>
      <c r="H8" s="155"/>
      <c r="I8" s="108"/>
      <c r="J8" s="108"/>
      <c r="K8" s="108"/>
      <c r="L8" s="108"/>
      <c r="M8" s="108"/>
      <c r="N8" s="108"/>
      <c r="O8" s="108"/>
      <c r="P8" s="151">
        <f t="shared" si="0"/>
        <v>0.65386108297759349</v>
      </c>
    </row>
    <row r="9" spans="1:18" x14ac:dyDescent="0.3">
      <c r="A9" s="69" t="s">
        <v>325</v>
      </c>
      <c r="B9" s="94"/>
      <c r="C9" s="151">
        <v>0.63743932120077085</v>
      </c>
      <c r="D9" s="155">
        <v>0.6431191400185946</v>
      </c>
      <c r="E9" s="155">
        <v>1.1796993076545836</v>
      </c>
      <c r="F9" s="155">
        <v>1.2959495104939236</v>
      </c>
      <c r="G9" s="155">
        <f>SUMMARY!$F$12</f>
        <v>1.2568262162567225</v>
      </c>
      <c r="H9" s="155"/>
      <c r="I9" s="108"/>
      <c r="J9" s="108"/>
      <c r="K9" s="108"/>
      <c r="L9" s="108"/>
      <c r="M9" s="108"/>
      <c r="N9" s="108"/>
      <c r="O9" s="108"/>
      <c r="P9" s="151">
        <f t="shared" si="0"/>
        <v>1.0938985436059561</v>
      </c>
    </row>
    <row r="10" spans="1:18" x14ac:dyDescent="0.3">
      <c r="A10" s="69" t="s">
        <v>165</v>
      </c>
      <c r="B10" s="94">
        <v>996.25291105027236</v>
      </c>
      <c r="C10" s="94">
        <v>247.73716078195108</v>
      </c>
      <c r="D10" s="79">
        <v>80.948313659359187</v>
      </c>
      <c r="E10" s="79">
        <v>33.611845197681099</v>
      </c>
      <c r="F10" s="79">
        <v>70.803986254295523</v>
      </c>
      <c r="G10" s="79">
        <f>SUMMARY!$E$18</f>
        <v>74.56134316134316</v>
      </c>
      <c r="H10" s="79"/>
      <c r="I10" s="79"/>
      <c r="J10" s="79"/>
      <c r="K10" s="79"/>
      <c r="L10" s="79"/>
      <c r="M10" s="79"/>
      <c r="N10" s="79"/>
      <c r="O10" s="79"/>
      <c r="P10" s="94">
        <f>AVERAGE(D10:O10)</f>
        <v>64.981372068169748</v>
      </c>
    </row>
    <row r="11" spans="1:18" x14ac:dyDescent="0.3">
      <c r="A11" s="94" t="str">
        <f>'SUMMARY 2'!C18</f>
        <v>COST OB REMOVAL</v>
      </c>
      <c r="B11" s="95">
        <v>117351549119.59256</v>
      </c>
      <c r="C11" s="95">
        <v>89114970157.492325</v>
      </c>
      <c r="D11" s="80">
        <v>6960925765.63799</v>
      </c>
      <c r="E11" s="80">
        <v>5222995676.1752787</v>
      </c>
      <c r="F11" s="80">
        <v>5827686516.535533</v>
      </c>
      <c r="G11" s="80">
        <f>SUMMARY!$D$22</f>
        <v>4200363392.4252195</v>
      </c>
      <c r="H11" s="80"/>
      <c r="I11" s="80"/>
      <c r="J11" s="80"/>
      <c r="K11" s="80"/>
      <c r="L11" s="80"/>
      <c r="M11" s="80"/>
      <c r="N11" s="80"/>
      <c r="O11" s="80"/>
      <c r="P11" s="95">
        <f t="shared" ref="P11:P27" si="1">SUM(D11:O11)</f>
        <v>22211971350.774021</v>
      </c>
      <c r="R11" s="108"/>
    </row>
    <row r="12" spans="1:18" x14ac:dyDescent="0.3">
      <c r="A12" s="94" t="str">
        <f>'SUMMARY 2'!C19</f>
        <v>COST QUARRY HAULING</v>
      </c>
      <c r="B12" s="95">
        <v>15778967244.113117</v>
      </c>
      <c r="C12" s="95">
        <v>11003332333.603985</v>
      </c>
      <c r="D12" s="80">
        <v>307546487.40771598</v>
      </c>
      <c r="E12" s="80">
        <v>1007714291.9115051</v>
      </c>
      <c r="F12" s="80">
        <v>1652176858.1483157</v>
      </c>
      <c r="G12" s="80">
        <f>SUMMARY!$D$23</f>
        <v>1531554207.0121827</v>
      </c>
      <c r="H12" s="80"/>
      <c r="I12" s="80"/>
      <c r="J12" s="80"/>
      <c r="K12" s="80"/>
      <c r="L12" s="80"/>
      <c r="M12" s="80"/>
      <c r="N12" s="80"/>
      <c r="O12" s="80"/>
      <c r="P12" s="95">
        <f t="shared" si="1"/>
        <v>4498991844.4797192</v>
      </c>
      <c r="R12" s="108"/>
    </row>
    <row r="13" spans="1:18" x14ac:dyDescent="0.3">
      <c r="A13" s="94" t="str">
        <f>'SUMMARY 2'!C20</f>
        <v>COST DEVELOP ACT.</v>
      </c>
      <c r="B13" s="95">
        <v>279499500</v>
      </c>
      <c r="C13" s="95">
        <v>1511876000</v>
      </c>
      <c r="D13" s="80">
        <v>29087910.582822084</v>
      </c>
      <c r="E13" s="80">
        <v>7937511.7300924268</v>
      </c>
      <c r="F13" s="80">
        <v>4814495.4411341771</v>
      </c>
      <c r="G13" s="80">
        <f>SUMMARY!$D$24</f>
        <v>0</v>
      </c>
      <c r="H13" s="80"/>
      <c r="I13" s="80"/>
      <c r="J13" s="80"/>
      <c r="K13" s="80"/>
      <c r="L13" s="80"/>
      <c r="M13" s="80"/>
      <c r="N13" s="80"/>
      <c r="O13" s="80"/>
      <c r="P13" s="95">
        <f t="shared" si="1"/>
        <v>41839917.75404869</v>
      </c>
      <c r="R13" s="108"/>
    </row>
    <row r="14" spans="1:18" x14ac:dyDescent="0.3">
      <c r="A14" s="94" t="str">
        <f>'SUMMARY 2'!C21</f>
        <v>COST ORE GETTING</v>
      </c>
      <c r="B14" s="95">
        <v>36943314302.027191</v>
      </c>
      <c r="C14" s="95">
        <v>29478347836.00732</v>
      </c>
      <c r="D14" s="80">
        <v>1659006090.9508765</v>
      </c>
      <c r="E14" s="80">
        <v>1909600441.3110747</v>
      </c>
      <c r="F14" s="80">
        <v>1805188806.0275915</v>
      </c>
      <c r="G14" s="80">
        <f>SUMMARY!$D$25</f>
        <v>877810447.92170036</v>
      </c>
      <c r="H14" s="80"/>
      <c r="I14" s="80"/>
      <c r="J14" s="80"/>
      <c r="K14" s="80"/>
      <c r="L14" s="80"/>
      <c r="M14" s="80"/>
      <c r="N14" s="80"/>
      <c r="O14" s="80"/>
      <c r="P14" s="95">
        <f t="shared" si="1"/>
        <v>6251605786.2112436</v>
      </c>
      <c r="R14" s="108"/>
    </row>
    <row r="15" spans="1:18" x14ac:dyDescent="0.3">
      <c r="A15" s="94" t="str">
        <f>'SUMMARY 2'!C22</f>
        <v>COST ORE HAULING</v>
      </c>
      <c r="B15" s="95">
        <v>97545270500</v>
      </c>
      <c r="C15" s="95">
        <v>100875347500</v>
      </c>
      <c r="D15" s="80">
        <v>8167942000</v>
      </c>
      <c r="E15" s="80">
        <v>8818596000</v>
      </c>
      <c r="F15" s="80">
        <v>6809658000</v>
      </c>
      <c r="G15" s="80">
        <f>SUMMARY!$D$26</f>
        <v>3762316000</v>
      </c>
      <c r="H15" s="80"/>
      <c r="I15" s="80"/>
      <c r="J15" s="80"/>
      <c r="K15" s="80"/>
      <c r="L15" s="80"/>
      <c r="M15" s="80"/>
      <c r="N15" s="80"/>
      <c r="O15" s="80"/>
      <c r="P15" s="95">
        <f t="shared" si="1"/>
        <v>27558512000</v>
      </c>
      <c r="R15" s="108"/>
    </row>
    <row r="16" spans="1:18" x14ac:dyDescent="0.3">
      <c r="A16" s="94" t="str">
        <f>'SUMMARY 2'!C23</f>
        <v>COST UNIT SUPPORT</v>
      </c>
      <c r="B16" s="95">
        <v>4177854000</v>
      </c>
      <c r="C16" s="95">
        <v>3796676000</v>
      </c>
      <c r="D16" s="80">
        <v>274029000</v>
      </c>
      <c r="E16" s="80">
        <v>252883000</v>
      </c>
      <c r="F16" s="80">
        <v>230297000</v>
      </c>
      <c r="G16" s="80">
        <f>SUMMARY!$D$27</f>
        <v>206696000</v>
      </c>
      <c r="H16" s="80"/>
      <c r="I16" s="80"/>
      <c r="J16" s="80"/>
      <c r="K16" s="80"/>
      <c r="L16" s="80"/>
      <c r="M16" s="80"/>
      <c r="N16" s="80"/>
      <c r="O16" s="80"/>
      <c r="P16" s="95">
        <f t="shared" si="1"/>
        <v>963905000</v>
      </c>
      <c r="R16" s="108"/>
    </row>
    <row r="17" spans="1:16" x14ac:dyDescent="0.3">
      <c r="A17" s="69" t="s">
        <v>46</v>
      </c>
      <c r="B17" s="95">
        <v>272076454665.73285</v>
      </c>
      <c r="C17" s="95">
        <v>235780549827.10361</v>
      </c>
      <c r="D17" s="80">
        <v>17398537254.579407</v>
      </c>
      <c r="E17" s="80">
        <v>17219726921.127953</v>
      </c>
      <c r="F17" s="80">
        <v>16329821676.152575</v>
      </c>
      <c r="G17" s="80">
        <f>SUMMARY!$D$30</f>
        <v>10578740047.359104</v>
      </c>
      <c r="H17" s="80"/>
      <c r="I17" s="80"/>
      <c r="J17" s="80"/>
      <c r="K17" s="80"/>
      <c r="L17" s="80"/>
      <c r="M17" s="80"/>
      <c r="N17" s="80"/>
      <c r="O17" s="80"/>
      <c r="P17" s="95">
        <f t="shared" si="1"/>
        <v>61526825899.21904</v>
      </c>
    </row>
    <row r="18" spans="1:16" x14ac:dyDescent="0.3">
      <c r="A18" s="69" t="s">
        <v>49</v>
      </c>
      <c r="B18" s="95">
        <v>368856753377.27997</v>
      </c>
      <c r="C18" s="95">
        <v>366591080056.31995</v>
      </c>
      <c r="D18" s="80">
        <v>21704728819.199997</v>
      </c>
      <c r="E18" s="80">
        <v>21142554585.599995</v>
      </c>
      <c r="F18" s="80">
        <v>21803071503.360004</v>
      </c>
      <c r="G18" s="80">
        <f>SUMMARY!$D$31</f>
        <v>5817514106.8799992</v>
      </c>
      <c r="H18" s="80"/>
      <c r="I18" s="80"/>
      <c r="J18" s="80"/>
      <c r="K18" s="80"/>
      <c r="L18" s="80"/>
      <c r="M18" s="80"/>
      <c r="N18" s="80"/>
      <c r="O18" s="80"/>
      <c r="P18" s="95">
        <f t="shared" si="1"/>
        <v>70467869015.039993</v>
      </c>
    </row>
    <row r="19" spans="1:16" x14ac:dyDescent="0.3">
      <c r="A19" s="71" t="s">
        <v>166</v>
      </c>
      <c r="B19" s="96">
        <v>96780298711.547134</v>
      </c>
      <c r="C19" s="96">
        <v>130810530229.21634</v>
      </c>
      <c r="D19" s="81">
        <v>4306191564.6205902</v>
      </c>
      <c r="E19" s="81">
        <v>3922827664.4720421</v>
      </c>
      <c r="F19" s="81">
        <v>5473249827.2074299</v>
      </c>
      <c r="G19" s="81">
        <f>G18-G17</f>
        <v>-4761225940.479105</v>
      </c>
      <c r="H19" s="81"/>
      <c r="I19" s="81"/>
      <c r="J19" s="81"/>
      <c r="K19" s="81"/>
      <c r="L19" s="81"/>
      <c r="M19" s="81"/>
      <c r="N19" s="81"/>
      <c r="O19" s="81"/>
      <c r="P19" s="96">
        <f t="shared" si="1"/>
        <v>8941043115.8209572</v>
      </c>
    </row>
    <row r="20" spans="1:16" x14ac:dyDescent="0.3">
      <c r="A20" s="86" t="s">
        <v>292</v>
      </c>
      <c r="B20" s="88">
        <v>0.73762091157225806</v>
      </c>
      <c r="C20" s="87">
        <v>0.64317044973074711</v>
      </c>
      <c r="D20" s="87">
        <v>0.80160122706479819</v>
      </c>
      <c r="E20" s="87">
        <v>0.81445819857814883</v>
      </c>
      <c r="F20" s="87">
        <v>0.74896886310885302</v>
      </c>
      <c r="G20" s="87">
        <f>G17/G18</f>
        <v>1.8184296338617056</v>
      </c>
      <c r="H20" s="87"/>
      <c r="I20" s="87"/>
      <c r="J20" s="87"/>
      <c r="K20" s="87"/>
      <c r="L20" s="87"/>
      <c r="M20" s="87"/>
      <c r="N20" s="87"/>
      <c r="O20" s="87"/>
      <c r="P20" s="87">
        <f t="shared" ref="P20" si="2">P17/P18</f>
        <v>0.87311886621812473</v>
      </c>
    </row>
    <row r="21" spans="1:16" x14ac:dyDescent="0.3">
      <c r="A21" s="86" t="s">
        <v>167</v>
      </c>
      <c r="B21" s="88">
        <v>0.26237908842774194</v>
      </c>
      <c r="C21" s="88">
        <v>0.35682955026925289</v>
      </c>
      <c r="D21" s="87">
        <v>0.19839877293520178</v>
      </c>
      <c r="E21" s="87">
        <v>0.18554180142185112</v>
      </c>
      <c r="F21" s="87">
        <v>0.25103113689114692</v>
      </c>
      <c r="G21" s="87">
        <f>IFERROR(G19/G18,"")</f>
        <v>-0.81842963386170564</v>
      </c>
      <c r="H21" s="87"/>
      <c r="I21" s="87"/>
      <c r="J21" s="87"/>
      <c r="K21" s="87"/>
      <c r="L21" s="87"/>
      <c r="M21" s="87"/>
      <c r="N21" s="87"/>
      <c r="O21" s="87"/>
      <c r="P21" s="88">
        <f t="shared" ref="P21" si="3">P19/P18</f>
        <v>0.12688113378187535</v>
      </c>
    </row>
    <row r="22" spans="1:16" x14ac:dyDescent="0.3">
      <c r="A22" s="89" t="s">
        <v>276</v>
      </c>
      <c r="B22" s="97">
        <v>2.4824366268315292</v>
      </c>
      <c r="C22" s="97">
        <v>2.1978896953952911</v>
      </c>
      <c r="D22" s="90">
        <v>1.9117495477434583</v>
      </c>
      <c r="E22" s="90">
        <v>2.1517682900525879</v>
      </c>
      <c r="F22" s="90">
        <v>2.299202842144267</v>
      </c>
      <c r="G22" s="90">
        <f t="shared" ref="E22:G22" si="4">IFERROR(G27/G4,0)</f>
        <v>4.3520121892665893</v>
      </c>
      <c r="H22" s="90"/>
      <c r="I22" s="90"/>
      <c r="J22" s="90"/>
      <c r="K22" s="90"/>
      <c r="L22" s="90"/>
      <c r="M22" s="90"/>
      <c r="N22" s="90"/>
      <c r="O22" s="90"/>
      <c r="P22" s="97">
        <f t="shared" ref="P22" si="5">IFERROR(P27/P4,0)</f>
        <v>2.3050996514411897</v>
      </c>
    </row>
    <row r="23" spans="1:16" x14ac:dyDescent="0.3">
      <c r="A23" s="89" t="s">
        <v>326</v>
      </c>
      <c r="B23" s="97"/>
      <c r="C23" s="157">
        <v>1.0138022678498653</v>
      </c>
      <c r="D23" s="160">
        <v>1.3757567517908926</v>
      </c>
      <c r="E23" s="160">
        <v>1.2106440598255119</v>
      </c>
      <c r="F23" s="156">
        <v>1.20377816778011</v>
      </c>
      <c r="G23" s="160">
        <f>SUMMARY!$F$14</f>
        <v>0.38925901985818295</v>
      </c>
      <c r="H23" s="156"/>
      <c r="I23" s="90"/>
      <c r="J23" s="90"/>
      <c r="K23" s="90"/>
      <c r="L23" s="90"/>
      <c r="M23" s="90"/>
      <c r="N23" s="90"/>
      <c r="O23" s="90"/>
      <c r="P23" s="157">
        <f>AVERAGE(D23:O23)</f>
        <v>1.0448594998136744</v>
      </c>
    </row>
    <row r="24" spans="1:16" x14ac:dyDescent="0.3">
      <c r="A24" s="69" t="s">
        <v>73</v>
      </c>
      <c r="B24" s="69">
        <v>367</v>
      </c>
      <c r="C24" s="69">
        <v>365</v>
      </c>
      <c r="D24" s="74">
        <v>31</v>
      </c>
      <c r="E24" s="74">
        <v>29</v>
      </c>
      <c r="F24" s="74">
        <v>31</v>
      </c>
      <c r="G24" s="74">
        <f>SUMMARY!$J$9</f>
        <v>30</v>
      </c>
      <c r="P24" s="69">
        <f t="shared" si="1"/>
        <v>121</v>
      </c>
    </row>
    <row r="25" spans="1:16" x14ac:dyDescent="0.3">
      <c r="A25" s="69" t="s">
        <v>75</v>
      </c>
      <c r="B25" s="69">
        <v>3303</v>
      </c>
      <c r="C25" s="69">
        <v>3294</v>
      </c>
      <c r="D25" s="74">
        <v>279</v>
      </c>
      <c r="E25" s="74">
        <v>261</v>
      </c>
      <c r="F25" s="74">
        <v>279</v>
      </c>
      <c r="G25" s="74">
        <f>SUMMARY!$J$10</f>
        <v>270</v>
      </c>
      <c r="P25" s="69">
        <f t="shared" si="1"/>
        <v>1089</v>
      </c>
    </row>
    <row r="26" spans="1:16" x14ac:dyDescent="0.3">
      <c r="A26" s="69" t="s">
        <v>77</v>
      </c>
      <c r="B26" s="98">
        <v>0.84999999999999976</v>
      </c>
      <c r="C26" s="98">
        <v>0.8849999999999999</v>
      </c>
      <c r="D26" s="82">
        <v>0.92</v>
      </c>
      <c r="E26" s="82">
        <v>0.92</v>
      </c>
      <c r="F26" s="82">
        <v>0.92</v>
      </c>
      <c r="G26" s="82">
        <f>SUMMARY!$J$11</f>
        <v>0.92</v>
      </c>
      <c r="H26" s="82"/>
      <c r="I26" s="82"/>
      <c r="J26" s="82"/>
      <c r="K26" s="82"/>
      <c r="L26" s="82"/>
      <c r="M26" s="82"/>
      <c r="N26" s="82"/>
      <c r="O26" s="82"/>
      <c r="P26" s="98">
        <f>AVERAGE(D26:O26)</f>
        <v>0.92</v>
      </c>
    </row>
    <row r="27" spans="1:16" x14ac:dyDescent="0.3">
      <c r="A27" s="69" t="s">
        <v>141</v>
      </c>
      <c r="B27" s="99">
        <v>5873252.2234062254</v>
      </c>
      <c r="C27" s="99">
        <v>5168095.4772142842</v>
      </c>
      <c r="D27" s="83">
        <v>266151</v>
      </c>
      <c r="E27" s="83">
        <v>291807</v>
      </c>
      <c r="F27" s="83">
        <v>321542</v>
      </c>
      <c r="G27" s="83">
        <f>SUMMARY!$J$18</f>
        <v>162394.11627906977</v>
      </c>
      <c r="H27" s="83"/>
      <c r="I27" s="83"/>
      <c r="J27" s="83"/>
      <c r="K27" s="83"/>
      <c r="L27" s="83"/>
      <c r="M27" s="83"/>
      <c r="N27" s="83"/>
      <c r="O27" s="83"/>
      <c r="P27" s="99">
        <f t="shared" si="1"/>
        <v>1041894.1162790698</v>
      </c>
    </row>
    <row r="28" spans="1:16" x14ac:dyDescent="0.3">
      <c r="A28" s="69" t="s">
        <v>327</v>
      </c>
      <c r="B28" s="99"/>
      <c r="C28" s="98">
        <v>1.3276128123623614</v>
      </c>
      <c r="D28" s="82">
        <v>1.9640550371196965</v>
      </c>
      <c r="E28" s="82">
        <v>1.6227773928795399</v>
      </c>
      <c r="F28" s="108">
        <v>1.3060900117890248</v>
      </c>
      <c r="G28" s="82">
        <f>SUMMARY!$J$19</f>
        <v>1.5741684034457086</v>
      </c>
      <c r="H28" s="108"/>
      <c r="I28" s="83"/>
      <c r="J28" s="83"/>
      <c r="K28" s="83"/>
      <c r="L28" s="83"/>
      <c r="M28" s="83"/>
      <c r="N28" s="83"/>
      <c r="O28" s="83"/>
      <c r="P28" s="98">
        <f>AVERAGE(D28:O28)</f>
        <v>1.6167727113084926</v>
      </c>
    </row>
    <row r="29" spans="1:16" s="106" customFormat="1" x14ac:dyDescent="0.3">
      <c r="A29" s="104" t="s">
        <v>95</v>
      </c>
      <c r="B29" s="100">
        <v>127919.31197297059</v>
      </c>
      <c r="C29" s="104">
        <v>102888.03974021979</v>
      </c>
      <c r="D29" s="105">
        <v>124972.8377043103</v>
      </c>
      <c r="E29" s="105">
        <v>126977.29099112772</v>
      </c>
      <c r="F29" s="85">
        <v>116767.24163412263</v>
      </c>
      <c r="G29" s="105">
        <f>SUMMARY!$J$30</f>
        <v>283500.45363757538</v>
      </c>
      <c r="H29" s="85"/>
      <c r="I29" s="85"/>
      <c r="J29" s="85"/>
      <c r="K29" s="85"/>
      <c r="L29" s="85"/>
      <c r="M29" s="105"/>
      <c r="N29" s="105"/>
      <c r="O29" s="105"/>
      <c r="P29" s="104">
        <f>AVERAGE(D29:O29)</f>
        <v>163054.45599178399</v>
      </c>
    </row>
    <row r="30" spans="1:16" x14ac:dyDescent="0.3">
      <c r="A30" s="84" t="str">
        <f>[1]SUMMARY!G21</f>
        <v>( USD / Ton )</v>
      </c>
      <c r="B30" s="100">
        <v>8.7326730317623653</v>
      </c>
      <c r="C30" s="100">
        <v>6.9294207799178196</v>
      </c>
      <c r="D30" s="85">
        <v>8.4168128841803806</v>
      </c>
      <c r="E30" s="85">
        <v>8.5518110850705629</v>
      </c>
      <c r="F30" s="85">
        <v>7.8641730626429576</v>
      </c>
      <c r="G30" s="85">
        <f>SUMMARY!$J$31</f>
        <v>19.093511155547912</v>
      </c>
      <c r="H30" s="85"/>
      <c r="I30" s="85"/>
      <c r="J30" s="85"/>
      <c r="K30" s="85"/>
      <c r="L30" s="85"/>
      <c r="M30" s="85"/>
      <c r="N30" s="85"/>
      <c r="O30" s="85"/>
      <c r="P30" s="100">
        <f>AVERAGE(D30:O30)</f>
        <v>10.981577046860453</v>
      </c>
    </row>
    <row r="31" spans="1:16" x14ac:dyDescent="0.3">
      <c r="J31" s="79"/>
      <c r="K31" s="82"/>
    </row>
    <row r="41" spans="1:3" x14ac:dyDescent="0.3">
      <c r="A41" s="151"/>
      <c r="B41" s="151"/>
      <c r="C41" s="151"/>
    </row>
    <row r="43" spans="1:3" x14ac:dyDescent="0.3">
      <c r="A43" s="152"/>
      <c r="B43" s="152"/>
      <c r="C43" s="152"/>
    </row>
    <row r="59" spans="10:11" x14ac:dyDescent="0.3">
      <c r="J59" s="158"/>
    </row>
    <row r="61" spans="10:11" x14ac:dyDescent="0.3">
      <c r="K61" s="159"/>
    </row>
    <row r="67" spans="1:3" x14ac:dyDescent="0.3">
      <c r="A67" s="69" t="s">
        <v>328</v>
      </c>
      <c r="B67" s="74"/>
      <c r="C67" s="74"/>
    </row>
    <row r="68" spans="1:3" x14ac:dyDescent="0.3">
      <c r="A68" s="69" t="s">
        <v>323</v>
      </c>
      <c r="B68" s="159"/>
      <c r="C68" s="159"/>
    </row>
    <row r="69" spans="1:3" x14ac:dyDescent="0.3">
      <c r="A69" s="69" t="s">
        <v>324</v>
      </c>
      <c r="B69" s="159" t="s">
        <v>352</v>
      </c>
      <c r="C69" s="159"/>
    </row>
    <row r="70" spans="1:3" x14ac:dyDescent="0.3">
      <c r="A70" s="69" t="s">
        <v>325</v>
      </c>
      <c r="B70" s="159" t="s">
        <v>353</v>
      </c>
      <c r="C70" s="159"/>
    </row>
    <row r="71" spans="1:3" x14ac:dyDescent="0.3">
      <c r="A71" s="69" t="s">
        <v>326</v>
      </c>
      <c r="B71" s="159" t="s">
        <v>343</v>
      </c>
      <c r="C71" s="159"/>
    </row>
    <row r="72" spans="1:3" x14ac:dyDescent="0.3">
      <c r="A72" s="69" t="s">
        <v>327</v>
      </c>
      <c r="B72" s="159" t="s">
        <v>344</v>
      </c>
      <c r="C72" s="159"/>
    </row>
    <row r="73" spans="1:3" x14ac:dyDescent="0.3">
      <c r="B73" s="74"/>
      <c r="C73" s="74"/>
    </row>
    <row r="74" spans="1:3" x14ac:dyDescent="0.3">
      <c r="B74" s="74"/>
      <c r="C74" s="74"/>
    </row>
  </sheetData>
  <printOptions horizontalCentered="1"/>
  <pageMargins left="0.45" right="0.45" top="0.5" bottom="0.5" header="0.3" footer="0.3"/>
  <pageSetup paperSize="8"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63"/>
  <sheetViews>
    <sheetView zoomScaleNormal="100" workbookViewId="0">
      <pane xSplit="3" ySplit="7" topLeftCell="F41" activePane="bottomRight" state="frozenSplit"/>
      <selection activeCell="B47" sqref="B47"/>
      <selection pane="topRight" activeCell="B47" sqref="B47"/>
      <selection pane="bottomLeft" activeCell="B47" sqref="B47"/>
      <selection pane="bottomRight" activeCell="G52" sqref="G5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6" t="s">
        <v>168</v>
      </c>
      <c r="C2" s="246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6"/>
      <c r="C3" s="246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50" t="s">
        <v>36</v>
      </c>
      <c r="E5" s="250"/>
      <c r="F5" s="250"/>
      <c r="G5" s="251" t="s">
        <v>37</v>
      </c>
      <c r="H5" s="251"/>
      <c r="I5" s="247" t="s">
        <v>54</v>
      </c>
      <c r="J5" s="248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48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48"/>
      <c r="K7" s="31"/>
      <c r="L7" s="247"/>
      <c r="M7" s="247"/>
      <c r="N7" s="247"/>
    </row>
    <row r="8" spans="2:15" x14ac:dyDescent="0.3">
      <c r="B8" s="41">
        <f>ROW(B8)-7</f>
        <v>1</v>
      </c>
      <c r="C8" s="41" t="s">
        <v>186</v>
      </c>
      <c r="D8" s="42">
        <v>117.4</v>
      </c>
      <c r="E8" s="62">
        <f>IF(O8="K",VLOOKUP(M8,Table2[[#All],[UNIT]:[Column7]],10,FALSE),0)</f>
        <v>1000000</v>
      </c>
      <c r="F8" s="43">
        <f>D8*E8</f>
        <v>117400000</v>
      </c>
      <c r="G8" s="42">
        <v>3334.1059297639613</v>
      </c>
      <c r="H8" s="44">
        <f>G8*$C$61</f>
        <v>38342218.192285553</v>
      </c>
      <c r="I8" s="42">
        <f t="shared" ref="I8:I58" si="0">IFERROR(G8/D8,0)</f>
        <v>28.399539435808869</v>
      </c>
      <c r="J8" s="45">
        <f>F8+H8</f>
        <v>155742218.19228554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ref="B9:B56" si="1">ROW(B9)-7</f>
        <v>2</v>
      </c>
      <c r="C9" s="41" t="s">
        <v>187</v>
      </c>
      <c r="D9" s="42">
        <v>187</v>
      </c>
      <c r="E9" s="62">
        <f>IF(O9="K",VLOOKUP(M9,Table2[[#All],[UNIT]:[Column7]],10,FALSE),0)</f>
        <v>1000000</v>
      </c>
      <c r="F9" s="43">
        <f t="shared" ref="F9:F17" si="2">D9*E9</f>
        <v>187000000</v>
      </c>
      <c r="G9" s="42">
        <v>4218.6424870466317</v>
      </c>
      <c r="H9" s="44">
        <f>G9*$C$61</f>
        <v>48514388.601036265</v>
      </c>
      <c r="I9" s="42">
        <f t="shared" ref="I9:I17" si="3">IFERROR(G9/D9,0)</f>
        <v>22.559585492227978</v>
      </c>
      <c r="J9" s="45">
        <f t="shared" ref="J9:J17" si="4">F9+H9</f>
        <v>235514388.60103625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:N17" si="5">C9</f>
        <v>KOMATSU PC 500 - 02</v>
      </c>
      <c r="O9" s="15" t="s">
        <v>56</v>
      </c>
    </row>
    <row r="10" spans="2:15" x14ac:dyDescent="0.3">
      <c r="B10" s="41">
        <f t="shared" si="1"/>
        <v>3</v>
      </c>
      <c r="C10" s="41" t="s">
        <v>237</v>
      </c>
      <c r="D10" s="42">
        <v>103</v>
      </c>
      <c r="E10" s="62">
        <f>IF(O10="K",VLOOKUP(M10,Table2[[#All],[UNIT]:[Column7]],10,FALSE),0)</f>
        <v>1000000</v>
      </c>
      <c r="F10" s="43">
        <f t="shared" si="2"/>
        <v>103000000</v>
      </c>
      <c r="G10" s="42">
        <v>3021.5219780219782</v>
      </c>
      <c r="H10" s="44">
        <f>G10*$C$61</f>
        <v>34747502.747252747</v>
      </c>
      <c r="I10" s="42">
        <f t="shared" si="3"/>
        <v>29.335164835164836</v>
      </c>
      <c r="J10" s="45">
        <f t="shared" si="4"/>
        <v>137747502.74725276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si="5"/>
        <v>KOMATSU PC 500 - 04</v>
      </c>
      <c r="O10" s="15" t="s">
        <v>56</v>
      </c>
    </row>
    <row r="11" spans="2:15" x14ac:dyDescent="0.3">
      <c r="B11" s="41">
        <f t="shared" si="1"/>
        <v>4</v>
      </c>
      <c r="C11" s="41" t="s">
        <v>340</v>
      </c>
      <c r="D11" s="42">
        <v>41</v>
      </c>
      <c r="E11" s="62">
        <f>IF(O11="K",VLOOKUP(M11,Table2[[#All],[UNIT]:[Column7]],10,FALSE),0)</f>
        <v>950000</v>
      </c>
      <c r="F11" s="43">
        <f t="shared" si="2"/>
        <v>38950000</v>
      </c>
      <c r="G11" s="42">
        <v>733.35849056603774</v>
      </c>
      <c r="H11" s="44">
        <f>G11*$C$61</f>
        <v>8433622.6415094342</v>
      </c>
      <c r="I11" s="42">
        <f t="shared" si="3"/>
        <v>17.886792452830189</v>
      </c>
      <c r="J11" s="45">
        <f t="shared" si="4"/>
        <v>47383622.641509436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5"/>
        <v>KOMATSU PC 400 - 02</v>
      </c>
      <c r="O11" s="15" t="s">
        <v>56</v>
      </c>
    </row>
    <row r="12" spans="2:15" x14ac:dyDescent="0.3">
      <c r="B12" s="41">
        <f t="shared" si="1"/>
        <v>5</v>
      </c>
      <c r="C12" s="41" t="s">
        <v>329</v>
      </c>
      <c r="D12" s="42">
        <v>7</v>
      </c>
      <c r="E12" s="62">
        <f>IF(O12="K",VLOOKUP(M12,Table2[[#All],[UNIT]:[Column7]],10,FALSE),0)</f>
        <v>400000</v>
      </c>
      <c r="F12" s="43">
        <f t="shared" si="2"/>
        <v>2800000</v>
      </c>
      <c r="G12" s="42">
        <v>178.5</v>
      </c>
      <c r="H12" s="44">
        <f>G12*$C$61</f>
        <v>2052750</v>
      </c>
      <c r="I12" s="42">
        <f t="shared" si="3"/>
        <v>25.5</v>
      </c>
      <c r="J12" s="45">
        <f t="shared" si="4"/>
        <v>4852750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5"/>
        <v>KOMATSU PC 300 - 07</v>
      </c>
      <c r="O12" s="15" t="s">
        <v>56</v>
      </c>
    </row>
    <row r="13" spans="2:15" x14ac:dyDescent="0.3">
      <c r="B13" s="41">
        <f t="shared" si="1"/>
        <v>6</v>
      </c>
      <c r="C13" s="41" t="s">
        <v>190</v>
      </c>
      <c r="D13" s="42">
        <v>39</v>
      </c>
      <c r="E13" s="62">
        <f>IF(O13="K",VLOOKUP(M13,Table2[[#All],[UNIT]:[Column7]],10,FALSE),0)</f>
        <v>400000</v>
      </c>
      <c r="F13" s="43">
        <f t="shared" si="2"/>
        <v>15600000</v>
      </c>
      <c r="G13" s="42">
        <v>598.18309859154931</v>
      </c>
      <c r="H13" s="44">
        <f>G13*$C$61</f>
        <v>6879105.6338028172</v>
      </c>
      <c r="I13" s="42">
        <f t="shared" si="3"/>
        <v>15.338028169014084</v>
      </c>
      <c r="J13" s="45">
        <f t="shared" si="4"/>
        <v>22479105.633802816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5"/>
        <v>KOMATSU PC 300 - 10</v>
      </c>
      <c r="O13" s="15" t="s">
        <v>56</v>
      </c>
    </row>
    <row r="14" spans="2:15" x14ac:dyDescent="0.3">
      <c r="B14" s="41">
        <f t="shared" si="1"/>
        <v>7</v>
      </c>
      <c r="C14" s="41" t="s">
        <v>294</v>
      </c>
      <c r="D14" s="42">
        <v>71</v>
      </c>
      <c r="E14" s="62">
        <f>IF(O14="K",VLOOKUP(M14,Table2[[#All],[UNIT]:[Column7]],10,FALSE),0)</f>
        <v>400000</v>
      </c>
      <c r="F14" s="43">
        <f t="shared" si="2"/>
        <v>28400000</v>
      </c>
      <c r="G14" s="42">
        <v>1636.4634146341461</v>
      </c>
      <c r="H14" s="44">
        <f>G14*$C$61</f>
        <v>18819329.26829268</v>
      </c>
      <c r="I14" s="42">
        <f t="shared" si="3"/>
        <v>23.048780487804876</v>
      </c>
      <c r="J14" s="45">
        <f t="shared" si="4"/>
        <v>47219329.26829268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5"/>
        <v>KOMATSU PC 300 - 11</v>
      </c>
      <c r="O14" s="15" t="s">
        <v>56</v>
      </c>
    </row>
    <row r="15" spans="2:15" x14ac:dyDescent="0.3">
      <c r="B15" s="41">
        <f t="shared" si="1"/>
        <v>8</v>
      </c>
      <c r="C15" s="41" t="s">
        <v>247</v>
      </c>
      <c r="D15" s="42">
        <v>8</v>
      </c>
      <c r="E15" s="62">
        <f>IF(O15="K",VLOOKUP(M15,Table2[[#All],[UNIT]:[Column7]],10,FALSE),0)</f>
        <v>400000</v>
      </c>
      <c r="F15" s="43">
        <f t="shared" si="2"/>
        <v>3200000</v>
      </c>
      <c r="G15" s="42">
        <v>192.19230769230768</v>
      </c>
      <c r="H15" s="44">
        <f>G15*$C$61</f>
        <v>2210211.5384615385</v>
      </c>
      <c r="I15" s="42">
        <f t="shared" si="3"/>
        <v>24.02403846153846</v>
      </c>
      <c r="J15" s="45">
        <f t="shared" si="4"/>
        <v>5410211.538461538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5"/>
        <v>KOMATSU PC 300 - 14</v>
      </c>
      <c r="O15" s="15" t="s">
        <v>56</v>
      </c>
    </row>
    <row r="16" spans="2:15" x14ac:dyDescent="0.3">
      <c r="B16" s="41">
        <f t="shared" si="1"/>
        <v>9</v>
      </c>
      <c r="C16" s="41" t="s">
        <v>261</v>
      </c>
      <c r="D16" s="42">
        <v>27</v>
      </c>
      <c r="E16" s="62">
        <f>IF(O16="K",VLOOKUP(M16,Table2[[#All],[UNIT]:[Column7]],10,FALSE),0)</f>
        <v>400000</v>
      </c>
      <c r="F16" s="43">
        <f t="shared" si="2"/>
        <v>10800000</v>
      </c>
      <c r="G16" s="42">
        <v>558</v>
      </c>
      <c r="H16" s="44">
        <f>G16*$C$61</f>
        <v>6417000</v>
      </c>
      <c r="I16" s="42">
        <f t="shared" si="3"/>
        <v>20.666666666666668</v>
      </c>
      <c r="J16" s="45">
        <f t="shared" si="4"/>
        <v>17217000</v>
      </c>
      <c r="K16" s="36"/>
      <c r="L16" s="41" t="s">
        <v>257</v>
      </c>
      <c r="M16" s="41" t="str">
        <f>VLOOKUP(N16,'list rate unit'!O:P,2,FALSE)</f>
        <v>PC 300 SE-8</v>
      </c>
      <c r="N16" s="41" t="str">
        <f t="shared" si="5"/>
        <v>KOMATSU PC 300 - 15</v>
      </c>
      <c r="O16" s="15" t="s">
        <v>56</v>
      </c>
    </row>
    <row r="17" spans="2:15" x14ac:dyDescent="0.3">
      <c r="B17" s="41">
        <f t="shared" si="1"/>
        <v>10</v>
      </c>
      <c r="C17" s="41" t="s">
        <v>191</v>
      </c>
      <c r="D17" s="42">
        <v>38</v>
      </c>
      <c r="E17" s="62">
        <f>IF(O17="K",VLOOKUP(M17,Table2[[#All],[UNIT]:[Column7]],10,FALSE),0)</f>
        <v>400000</v>
      </c>
      <c r="F17" s="43">
        <f t="shared" si="2"/>
        <v>15200000</v>
      </c>
      <c r="G17" s="42">
        <v>607.34482758620686</v>
      </c>
      <c r="H17" s="44">
        <f>G17*$C$61</f>
        <v>6984465.5172413792</v>
      </c>
      <c r="I17" s="42">
        <f t="shared" si="3"/>
        <v>15.982758620689655</v>
      </c>
      <c r="J17" s="45">
        <f t="shared" si="4"/>
        <v>22184465.517241381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si="5"/>
        <v>KOBELCO SK 330 - 10</v>
      </c>
      <c r="O17" s="15" t="s">
        <v>56</v>
      </c>
    </row>
    <row r="18" spans="2:15" x14ac:dyDescent="0.3">
      <c r="B18" s="41">
        <f t="shared" si="1"/>
        <v>11</v>
      </c>
      <c r="C18" s="41" t="s">
        <v>192</v>
      </c>
      <c r="D18" s="42">
        <v>38</v>
      </c>
      <c r="E18" s="62">
        <f>IF(O18="K",VLOOKUP(M18,Table2[[#All],[UNIT]:[Column7]],10,FALSE),0)</f>
        <v>400000</v>
      </c>
      <c r="F18" s="43">
        <f t="shared" ref="F18" si="6">D18*E18</f>
        <v>15200000</v>
      </c>
      <c r="G18" s="42">
        <v>622.58585858585855</v>
      </c>
      <c r="H18" s="44">
        <f>G18*$C$61</f>
        <v>7159737.3737373734</v>
      </c>
      <c r="I18" s="42">
        <f t="shared" ref="I18" si="7">IFERROR(G18/D18,0)</f>
        <v>16.383838383838384</v>
      </c>
      <c r="J18" s="45">
        <f t="shared" ref="J18" si="8">F18+H18</f>
        <v>22359737.373737372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ref="N18" si="9">C18</f>
        <v>KOBELCO SK 330 - 11</v>
      </c>
      <c r="O18" s="15" t="s">
        <v>56</v>
      </c>
    </row>
    <row r="19" spans="2:15" x14ac:dyDescent="0.3">
      <c r="B19" s="41">
        <f t="shared" si="1"/>
        <v>12</v>
      </c>
      <c r="C19" s="41" t="s">
        <v>330</v>
      </c>
      <c r="D19" s="42">
        <v>42.3</v>
      </c>
      <c r="E19" s="62">
        <f>IF(O19="K",VLOOKUP(M19,Table2[[#All],[UNIT]:[Column7]],10,FALSE),0)</f>
        <v>400000</v>
      </c>
      <c r="F19" s="43">
        <f t="shared" ref="F19:F29" si="10">D19*E19</f>
        <v>16920000</v>
      </c>
      <c r="G19" s="42">
        <v>822.13491414554369</v>
      </c>
      <c r="H19" s="44">
        <f>G19*$C$61</f>
        <v>9454551.5126737524</v>
      </c>
      <c r="I19" s="42">
        <f t="shared" ref="I19:I29" si="11">IFERROR(G19/D19,0)</f>
        <v>19.435813573180702</v>
      </c>
      <c r="J19" s="45">
        <f t="shared" ref="J19:J29" si="12">F19+H19</f>
        <v>26374551.512673751</v>
      </c>
      <c r="K19" s="36"/>
      <c r="L19" s="41" t="s">
        <v>257</v>
      </c>
      <c r="M19" s="41" t="str">
        <f>VLOOKUP(N19,'list rate unit'!O:P,2,FALSE)</f>
        <v>SK 330-8</v>
      </c>
      <c r="N19" s="41" t="str">
        <f t="shared" ref="N19:N29" si="13">C19</f>
        <v>KOBELCO SK 330 - 12</v>
      </c>
      <c r="O19" s="15" t="s">
        <v>56</v>
      </c>
    </row>
    <row r="20" spans="2:15" x14ac:dyDescent="0.3">
      <c r="B20" s="41">
        <f t="shared" si="1"/>
        <v>13</v>
      </c>
      <c r="C20" s="41" t="s">
        <v>267</v>
      </c>
      <c r="D20" s="42">
        <v>32</v>
      </c>
      <c r="E20" s="62">
        <f>IF(O20="K",VLOOKUP(M20,Table2[[#All],[UNIT]:[Column7]],10,FALSE),0)</f>
        <v>275000</v>
      </c>
      <c r="F20" s="43">
        <f t="shared" ref="F20" si="14">D20*E20</f>
        <v>8800000</v>
      </c>
      <c r="G20" s="42">
        <v>457.1764705882353</v>
      </c>
      <c r="H20" s="44">
        <f>G20*$C$61</f>
        <v>5257529.4117647056</v>
      </c>
      <c r="I20" s="42">
        <f t="shared" ref="I20" si="15">IFERROR(G20/D20,0)</f>
        <v>14.286764705882353</v>
      </c>
      <c r="J20" s="45">
        <f t="shared" ref="J20" si="16">F20+H20</f>
        <v>14057529.411764706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ref="N20" si="17">C20</f>
        <v>KOMATSU PC 200 - 16</v>
      </c>
      <c r="O20" s="15" t="s">
        <v>56</v>
      </c>
    </row>
    <row r="21" spans="2:15" x14ac:dyDescent="0.3">
      <c r="B21" s="41">
        <f t="shared" si="1"/>
        <v>14</v>
      </c>
      <c r="C21" s="41" t="s">
        <v>348</v>
      </c>
      <c r="D21" s="42">
        <v>16</v>
      </c>
      <c r="E21" s="62">
        <f>IF(O21="K",VLOOKUP(M21,Table2[[#All],[UNIT]:[Column7]],10,FALSE),0)</f>
        <v>275000</v>
      </c>
      <c r="F21" s="43">
        <f t="shared" si="10"/>
        <v>4400000</v>
      </c>
      <c r="G21" s="42">
        <v>233.14285714285714</v>
      </c>
      <c r="H21" s="44">
        <f>G21*$C$61</f>
        <v>2681142.8571428573</v>
      </c>
      <c r="I21" s="42">
        <f t="shared" si="11"/>
        <v>14.571428571428571</v>
      </c>
      <c r="J21" s="45">
        <f t="shared" si="12"/>
        <v>7081142.8571428573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13"/>
        <v>KOMATSU PC 200 - 20</v>
      </c>
      <c r="O21" s="15" t="s">
        <v>56</v>
      </c>
    </row>
    <row r="22" spans="2:15" x14ac:dyDescent="0.3">
      <c r="B22" s="41">
        <f t="shared" si="1"/>
        <v>15</v>
      </c>
      <c r="C22" s="41" t="s">
        <v>193</v>
      </c>
      <c r="D22" s="42">
        <v>56</v>
      </c>
      <c r="E22" s="62">
        <f>IF(O22="K",VLOOKUP(M22,Table2[[#All],[UNIT]:[Column7]],10,FALSE),0)</f>
        <v>275000</v>
      </c>
      <c r="F22" s="43">
        <f t="shared" si="10"/>
        <v>15400000</v>
      </c>
      <c r="G22" s="42">
        <v>919.36423841059593</v>
      </c>
      <c r="H22" s="44">
        <f>G22*$C$61</f>
        <v>10572688.741721854</v>
      </c>
      <c r="I22" s="42">
        <f t="shared" si="11"/>
        <v>16.417218543046356</v>
      </c>
      <c r="J22" s="45">
        <f t="shared" si="12"/>
        <v>25972688.741721854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13"/>
        <v>KOMATSU PC 200 - 22</v>
      </c>
      <c r="O22" s="15" t="s">
        <v>56</v>
      </c>
    </row>
    <row r="23" spans="2:15" x14ac:dyDescent="0.3">
      <c r="B23" s="41">
        <f t="shared" si="1"/>
        <v>16</v>
      </c>
      <c r="C23" s="41" t="s">
        <v>198</v>
      </c>
      <c r="D23" s="42">
        <v>19</v>
      </c>
      <c r="E23" s="62">
        <f>IF(O23="K",VLOOKUP(M23,Table2[[#All],[UNIT]:[Column7]],10,FALSE),0)</f>
        <v>275000</v>
      </c>
      <c r="F23" s="43">
        <f t="shared" si="10"/>
        <v>5225000</v>
      </c>
      <c r="G23" s="42">
        <v>185.66442953020135</v>
      </c>
      <c r="H23" s="44">
        <f>G23*$C$61</f>
        <v>2135140.9395973156</v>
      </c>
      <c r="I23" s="42">
        <f t="shared" si="11"/>
        <v>9.7718120805369129</v>
      </c>
      <c r="J23" s="45">
        <f t="shared" si="12"/>
        <v>7360140.9395973161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13"/>
        <v>KOBELCO SK 200 - 11</v>
      </c>
      <c r="O23" s="15" t="s">
        <v>56</v>
      </c>
    </row>
    <row r="24" spans="2:15" x14ac:dyDescent="0.3">
      <c r="B24" s="41">
        <f t="shared" si="1"/>
        <v>17</v>
      </c>
      <c r="C24" s="41" t="s">
        <v>199</v>
      </c>
      <c r="D24" s="42">
        <v>89</v>
      </c>
      <c r="E24" s="62">
        <f>IF(O24="K",VLOOKUP(M24,Table2[[#All],[UNIT]:[Column7]],10,FALSE),0)</f>
        <v>275000</v>
      </c>
      <c r="F24" s="43">
        <f t="shared" si="10"/>
        <v>24475000</v>
      </c>
      <c r="G24" s="42">
        <v>1000.4553571428571</v>
      </c>
      <c r="H24" s="44">
        <f>G24*$C$61</f>
        <v>11505236.607142856</v>
      </c>
      <c r="I24" s="42">
        <f t="shared" si="11"/>
        <v>11.241071428571429</v>
      </c>
      <c r="J24" s="45">
        <f t="shared" si="12"/>
        <v>35980236.607142858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3"/>
        <v>KOBELCO SK 200 - 13</v>
      </c>
      <c r="O24" s="15" t="s">
        <v>56</v>
      </c>
    </row>
    <row r="25" spans="2:15" x14ac:dyDescent="0.3">
      <c r="B25" s="41">
        <f t="shared" si="1"/>
        <v>18</v>
      </c>
      <c r="C25" s="41" t="s">
        <v>200</v>
      </c>
      <c r="D25" s="42">
        <v>9</v>
      </c>
      <c r="E25" s="62">
        <f>IF(O25="K",VLOOKUP(M25,Table2[[#All],[UNIT]:[Column7]],10,FALSE),0)</f>
        <v>275000</v>
      </c>
      <c r="F25" s="43">
        <f t="shared" si="10"/>
        <v>2475000</v>
      </c>
      <c r="G25" s="42">
        <v>90.142857142857139</v>
      </c>
      <c r="H25" s="44">
        <f>G25*$C$61</f>
        <v>1036642.857142857</v>
      </c>
      <c r="I25" s="42">
        <f t="shared" si="11"/>
        <v>10.015873015873016</v>
      </c>
      <c r="J25" s="45">
        <f t="shared" si="12"/>
        <v>3511642.8571428573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3"/>
        <v>KOBELCO SK 200 - 15</v>
      </c>
      <c r="O25" s="15" t="s">
        <v>56</v>
      </c>
    </row>
    <row r="26" spans="2:15" x14ac:dyDescent="0.3">
      <c r="B26" s="41">
        <f t="shared" si="1"/>
        <v>19</v>
      </c>
      <c r="C26" s="41" t="s">
        <v>204</v>
      </c>
      <c r="D26" s="42">
        <v>37</v>
      </c>
      <c r="E26" s="62">
        <f>IF(O26="K",VLOOKUP(M26,Table2[[#All],[UNIT]:[Column7]],10,FALSE),0)</f>
        <v>275000</v>
      </c>
      <c r="F26" s="43">
        <f t="shared" si="10"/>
        <v>10175000</v>
      </c>
      <c r="G26" s="42">
        <v>382.91275167785233</v>
      </c>
      <c r="H26" s="44">
        <f>G26*$C$61</f>
        <v>4403496.6442953022</v>
      </c>
      <c r="I26" s="42">
        <f t="shared" si="11"/>
        <v>10.348993288590604</v>
      </c>
      <c r="J26" s="45">
        <f t="shared" si="12"/>
        <v>14578496.644295301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13"/>
        <v>KOBELCO SK 200 - 20</v>
      </c>
      <c r="O26" s="15" t="s">
        <v>56</v>
      </c>
    </row>
    <row r="27" spans="2:15" x14ac:dyDescent="0.3">
      <c r="B27" s="41">
        <f t="shared" si="1"/>
        <v>20</v>
      </c>
      <c r="C27" s="41" t="s">
        <v>207</v>
      </c>
      <c r="D27" s="42">
        <v>139</v>
      </c>
      <c r="E27" s="62">
        <f>IF(O27="K",VLOOKUP(M27,Table2[[#All],[UNIT]:[Column7]],10,FALSE),0)</f>
        <v>1424304.3667884208</v>
      </c>
      <c r="F27" s="43">
        <f t="shared" si="10"/>
        <v>197978306.98359048</v>
      </c>
      <c r="G27" s="42">
        <v>2488.5793103448277</v>
      </c>
      <c r="H27" s="44">
        <f>G27*$C$61</f>
        <v>28618662.068965517</v>
      </c>
      <c r="I27" s="42">
        <f t="shared" si="11"/>
        <v>17.903448275862068</v>
      </c>
      <c r="J27" s="45">
        <f t="shared" si="12"/>
        <v>226596969.05255601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13"/>
        <v>KOMATSU HM 400 - 11</v>
      </c>
      <c r="O27" s="15" t="s">
        <v>56</v>
      </c>
    </row>
    <row r="28" spans="2:15" x14ac:dyDescent="0.3">
      <c r="B28" s="41">
        <f t="shared" si="1"/>
        <v>21</v>
      </c>
      <c r="C28" s="41" t="s">
        <v>208</v>
      </c>
      <c r="D28" s="42">
        <v>20</v>
      </c>
      <c r="E28" s="62">
        <f>IF(O28="K",VLOOKUP(M28,Table2[[#All],[UNIT]:[Column7]],10,FALSE),0)</f>
        <v>1424304.3667884208</v>
      </c>
      <c r="F28" s="43">
        <f t="shared" si="10"/>
        <v>28486087.335768417</v>
      </c>
      <c r="G28" s="42">
        <v>418.57142857142856</v>
      </c>
      <c r="H28" s="44">
        <f>G28*$C$61</f>
        <v>4813571.4285714282</v>
      </c>
      <c r="I28" s="42">
        <f t="shared" si="11"/>
        <v>20.928571428571427</v>
      </c>
      <c r="J28" s="45">
        <f t="shared" si="12"/>
        <v>33299658.764339846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3"/>
        <v>KOMATSU HM 400 - 12</v>
      </c>
      <c r="O28" s="15" t="s">
        <v>56</v>
      </c>
    </row>
    <row r="29" spans="2:15" x14ac:dyDescent="0.3">
      <c r="B29" s="41">
        <f t="shared" si="1"/>
        <v>22</v>
      </c>
      <c r="C29" s="41" t="s">
        <v>209</v>
      </c>
      <c r="D29" s="42">
        <v>101</v>
      </c>
      <c r="E29" s="62">
        <f>IF(O29="K",VLOOKUP(M29,Table2[[#All],[UNIT]:[Column7]],10,FALSE),0)</f>
        <v>1424304.3667884208</v>
      </c>
      <c r="F29" s="43">
        <f t="shared" si="10"/>
        <v>143854741.04563051</v>
      </c>
      <c r="G29" s="42">
        <v>1602.9294117647059</v>
      </c>
      <c r="H29" s="44">
        <f>G29*$C$61</f>
        <v>18433688.235294119</v>
      </c>
      <c r="I29" s="42">
        <f t="shared" si="11"/>
        <v>15.870588235294118</v>
      </c>
      <c r="J29" s="45">
        <f t="shared" si="12"/>
        <v>162288429.28092462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3"/>
        <v>KOMATSU HM 400 - 13</v>
      </c>
      <c r="O29" s="15" t="s">
        <v>56</v>
      </c>
    </row>
    <row r="30" spans="2:15" x14ac:dyDescent="0.3">
      <c r="B30" s="41">
        <f t="shared" si="1"/>
        <v>23</v>
      </c>
      <c r="C30" s="41" t="s">
        <v>210</v>
      </c>
      <c r="D30" s="42">
        <v>93</v>
      </c>
      <c r="E30" s="62">
        <f>IF(O30="K",VLOOKUP(M30,Table2[[#All],[UNIT]:[Column7]],10,FALSE),0)</f>
        <v>1424304.3667884208</v>
      </c>
      <c r="F30" s="43">
        <f t="shared" ref="F30:F33" si="18">D30*E30</f>
        <v>132460306.11132313</v>
      </c>
      <c r="G30" s="42">
        <v>1729.9453125</v>
      </c>
      <c r="H30" s="44">
        <f>G30*$C$61</f>
        <v>19894371.09375</v>
      </c>
      <c r="I30" s="42">
        <f t="shared" ref="I30:I33" si="19">IFERROR(G30/D30,0)</f>
        <v>18.6015625</v>
      </c>
      <c r="J30" s="45">
        <f t="shared" ref="J30:J33" si="20">F30+H30</f>
        <v>152354677.20507312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ref="N30:N33" si="21">C30</f>
        <v>KOMATSU HM 400 - 14</v>
      </c>
      <c r="O30" s="15" t="s">
        <v>56</v>
      </c>
    </row>
    <row r="31" spans="2:15" x14ac:dyDescent="0.3">
      <c r="B31" s="41">
        <f t="shared" si="1"/>
        <v>24</v>
      </c>
      <c r="C31" s="41" t="s">
        <v>211</v>
      </c>
      <c r="D31" s="42">
        <v>73</v>
      </c>
      <c r="E31" s="62">
        <f>IF(O31="K",VLOOKUP(M31,Table2[[#All],[UNIT]:[Column7]],10,FALSE),0)</f>
        <v>1424304.3667884208</v>
      </c>
      <c r="F31" s="43">
        <f t="shared" si="18"/>
        <v>103974218.77555472</v>
      </c>
      <c r="G31" s="42">
        <v>967.83870967741939</v>
      </c>
      <c r="H31" s="44">
        <f>G31*$C$61</f>
        <v>11130145.161290323</v>
      </c>
      <c r="I31" s="42">
        <f t="shared" si="19"/>
        <v>13.258064516129032</v>
      </c>
      <c r="J31" s="45">
        <f t="shared" si="20"/>
        <v>115104363.93684503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21"/>
        <v>KOMATSU HM 400 - 15</v>
      </c>
      <c r="O31" s="15" t="s">
        <v>56</v>
      </c>
    </row>
    <row r="32" spans="2:15" x14ac:dyDescent="0.3">
      <c r="B32" s="41">
        <f t="shared" si="1"/>
        <v>25</v>
      </c>
      <c r="C32" s="41" t="s">
        <v>212</v>
      </c>
      <c r="D32" s="42">
        <v>154</v>
      </c>
      <c r="E32" s="62">
        <f>IF(O32="K",VLOOKUP(M32,Table2[[#All],[UNIT]:[Column7]],10,FALSE),0)</f>
        <v>1424304.3667884208</v>
      </c>
      <c r="F32" s="43">
        <f t="shared" si="18"/>
        <v>219342872.4854168</v>
      </c>
      <c r="G32" s="42">
        <v>3030.2608695652175</v>
      </c>
      <c r="H32" s="44">
        <f>G32*$C$61</f>
        <v>34848000</v>
      </c>
      <c r="I32" s="42">
        <f t="shared" si="19"/>
        <v>19.677018633540374</v>
      </c>
      <c r="J32" s="45">
        <f t="shared" si="20"/>
        <v>254190872.4854168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21"/>
        <v>KOMATSU HM 400 - 16</v>
      </c>
      <c r="O32" s="15" t="s">
        <v>56</v>
      </c>
    </row>
    <row r="33" spans="2:15" x14ac:dyDescent="0.3">
      <c r="B33" s="41">
        <f t="shared" si="1"/>
        <v>26</v>
      </c>
      <c r="C33" s="41" t="s">
        <v>213</v>
      </c>
      <c r="D33" s="42">
        <v>153</v>
      </c>
      <c r="E33" s="62">
        <f>IF(O33="K",VLOOKUP(M33,Table2[[#All],[UNIT]:[Column7]],10,FALSE),0)</f>
        <v>1424304.3667884208</v>
      </c>
      <c r="F33" s="43">
        <f t="shared" si="18"/>
        <v>217918568.11862838</v>
      </c>
      <c r="G33" s="42">
        <v>2418.4736842105262</v>
      </c>
      <c r="H33" s="44">
        <f>G33*$C$61</f>
        <v>27812447.368421052</v>
      </c>
      <c r="I33" s="42">
        <f t="shared" si="19"/>
        <v>15.807017543859649</v>
      </c>
      <c r="J33" s="45">
        <f t="shared" si="20"/>
        <v>245731015.48704943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si="21"/>
        <v>KOMATSU HM 400 - 17</v>
      </c>
      <c r="O33" s="15" t="s">
        <v>56</v>
      </c>
    </row>
    <row r="34" spans="2:15" x14ac:dyDescent="0.3">
      <c r="B34" s="41">
        <f t="shared" si="1"/>
        <v>27</v>
      </c>
      <c r="C34" s="41" t="s">
        <v>214</v>
      </c>
      <c r="D34" s="42">
        <v>42</v>
      </c>
      <c r="E34" s="62">
        <f>IF(O34="K",VLOOKUP(M34,Table2[[#All],[UNIT]:[Column7]],10,FALSE),0)</f>
        <v>1424304.3667884208</v>
      </c>
      <c r="F34" s="43">
        <f t="shared" ref="F34:F52" si="22">D34*E34</f>
        <v>59820783.405113675</v>
      </c>
      <c r="G34" s="42">
        <v>632.3149606299213</v>
      </c>
      <c r="H34" s="44">
        <f>G34*$C$61</f>
        <v>7271622.0472440952</v>
      </c>
      <c r="I34" s="42">
        <f t="shared" ref="I34:I52" si="23">IFERROR(G34/D34,0)</f>
        <v>15.055118110236222</v>
      </c>
      <c r="J34" s="45">
        <f t="shared" ref="J34:J52" si="24">F34+H34</f>
        <v>67092405.452357769</v>
      </c>
      <c r="K34" s="36"/>
      <c r="L34" s="41" t="s">
        <v>257</v>
      </c>
      <c r="M34" s="41" t="str">
        <f>VLOOKUP(N34,'list rate unit'!O:P,2,FALSE)</f>
        <v>HM 400-3R</v>
      </c>
      <c r="N34" s="41" t="str">
        <f t="shared" ref="N34:N52" si="25">C34</f>
        <v>KOMATSU HM 400 - 18</v>
      </c>
      <c r="O34" s="15" t="s">
        <v>56</v>
      </c>
    </row>
    <row r="35" spans="2:15" x14ac:dyDescent="0.3">
      <c r="B35" s="41">
        <f t="shared" si="1"/>
        <v>28</v>
      </c>
      <c r="C35" s="41" t="s">
        <v>215</v>
      </c>
      <c r="D35" s="42">
        <v>89</v>
      </c>
      <c r="E35" s="62">
        <f>IF(O35="K",VLOOKUP(M35,Table2[[#All],[UNIT]:[Column7]],10,FALSE),0)</f>
        <v>1424304.3667884208</v>
      </c>
      <c r="F35" s="43">
        <f t="shared" si="22"/>
        <v>126763088.64416945</v>
      </c>
      <c r="G35" s="42">
        <v>1328.7543859649122</v>
      </c>
      <c r="H35" s="44">
        <f>G35*$C$61</f>
        <v>15280675.438596491</v>
      </c>
      <c r="I35" s="42">
        <f t="shared" si="23"/>
        <v>14.929824561403509</v>
      </c>
      <c r="J35" s="45">
        <f t="shared" si="24"/>
        <v>142043764.08276594</v>
      </c>
      <c r="K35" s="36"/>
      <c r="L35" s="41" t="s">
        <v>257</v>
      </c>
      <c r="M35" s="41" t="str">
        <f>VLOOKUP(N35,'list rate unit'!O:P,2,FALSE)</f>
        <v>HM 400-3R</v>
      </c>
      <c r="N35" s="41" t="str">
        <f t="shared" si="25"/>
        <v>KOMATSU HM 400 - 19</v>
      </c>
      <c r="O35" s="15" t="s">
        <v>56</v>
      </c>
    </row>
    <row r="36" spans="2:15" x14ac:dyDescent="0.3">
      <c r="B36" s="41">
        <f t="shared" si="1"/>
        <v>29</v>
      </c>
      <c r="C36" s="41" t="s">
        <v>216</v>
      </c>
      <c r="D36" s="42">
        <v>104</v>
      </c>
      <c r="E36" s="62">
        <f>IF(O36="K",VLOOKUP(M36,Table2[[#All],[UNIT]:[Column7]],10,FALSE),0)</f>
        <v>1424304.3667884208</v>
      </c>
      <c r="F36" s="43">
        <f t="shared" si="22"/>
        <v>148127654.14599577</v>
      </c>
      <c r="G36" s="42">
        <v>1614.516129032258</v>
      </c>
      <c r="H36" s="44">
        <f>G36*$C$61</f>
        <v>18566935.483870968</v>
      </c>
      <c r="I36" s="42">
        <f t="shared" si="23"/>
        <v>15.524193548387096</v>
      </c>
      <c r="J36" s="45">
        <f t="shared" si="24"/>
        <v>166694589.62986672</v>
      </c>
      <c r="K36" s="36"/>
      <c r="L36" s="41" t="s">
        <v>257</v>
      </c>
      <c r="M36" s="41" t="str">
        <f>VLOOKUP(N36,'list rate unit'!O:P,2,FALSE)</f>
        <v>HM 400-3R</v>
      </c>
      <c r="N36" s="41" t="str">
        <f t="shared" si="25"/>
        <v>KOMATSU HM 400 - 20</v>
      </c>
      <c r="O36" s="15" t="s">
        <v>56</v>
      </c>
    </row>
    <row r="37" spans="2:15" x14ac:dyDescent="0.3">
      <c r="B37" s="41">
        <f t="shared" si="1"/>
        <v>30</v>
      </c>
      <c r="C37" s="41" t="s">
        <v>217</v>
      </c>
      <c r="D37" s="42">
        <v>139</v>
      </c>
      <c r="E37" s="62">
        <f>IF(O37="K",VLOOKUP(M37,Table2[[#All],[UNIT]:[Column7]],10,FALSE),0)</f>
        <v>1424304.3667884208</v>
      </c>
      <c r="F37" s="43">
        <f t="shared" si="22"/>
        <v>197978306.98359048</v>
      </c>
      <c r="G37" s="42">
        <v>2448.8024691358028</v>
      </c>
      <c r="H37" s="44">
        <f>G37*$C$61</f>
        <v>28161228.395061731</v>
      </c>
      <c r="I37" s="42">
        <f t="shared" si="23"/>
        <v>17.617283950617285</v>
      </c>
      <c r="J37" s="45">
        <f t="shared" si="24"/>
        <v>226139535.37865222</v>
      </c>
      <c r="K37" s="36"/>
      <c r="L37" s="41" t="s">
        <v>257</v>
      </c>
      <c r="M37" s="41" t="str">
        <f>VLOOKUP(N37,'list rate unit'!O:P,2,FALSE)</f>
        <v>HM 400-3R</v>
      </c>
      <c r="N37" s="41" t="str">
        <f t="shared" si="25"/>
        <v>KOMATSU HM 400 - 21</v>
      </c>
      <c r="O37" s="15" t="s">
        <v>56</v>
      </c>
    </row>
    <row r="38" spans="2:15" x14ac:dyDescent="0.3">
      <c r="B38" s="41">
        <f t="shared" si="1"/>
        <v>31</v>
      </c>
      <c r="C38" s="41" t="s">
        <v>218</v>
      </c>
      <c r="D38" s="42">
        <v>86</v>
      </c>
      <c r="E38" s="62">
        <f>IF(O38="K",VLOOKUP(M38,Table2[[#All],[UNIT]:[Column7]],10,FALSE),0)</f>
        <v>1424304.3667884208</v>
      </c>
      <c r="F38" s="43">
        <f t="shared" si="22"/>
        <v>122490175.5438042</v>
      </c>
      <c r="G38" s="42">
        <v>1591.5329419439008</v>
      </c>
      <c r="H38" s="44">
        <f>G38*$C$61</f>
        <v>18302628.832354859</v>
      </c>
      <c r="I38" s="42">
        <f t="shared" si="23"/>
        <v>18.506196999347683</v>
      </c>
      <c r="J38" s="45">
        <f t="shared" si="24"/>
        <v>140792804.37615907</v>
      </c>
      <c r="K38" s="36"/>
      <c r="L38" s="41" t="s">
        <v>257</v>
      </c>
      <c r="M38" s="41" t="str">
        <f>VLOOKUP(N38,'list rate unit'!O:P,2,FALSE)</f>
        <v>HM 400-3R</v>
      </c>
      <c r="N38" s="41" t="str">
        <f t="shared" si="25"/>
        <v>KOMATSU HM 400 - 22</v>
      </c>
      <c r="O38" s="15" t="s">
        <v>56</v>
      </c>
    </row>
    <row r="39" spans="2:15" x14ac:dyDescent="0.3">
      <c r="B39" s="41">
        <f t="shared" si="1"/>
        <v>32</v>
      </c>
      <c r="C39" s="41" t="s">
        <v>239</v>
      </c>
      <c r="D39" s="42">
        <v>28</v>
      </c>
      <c r="E39" s="62">
        <f>IF(O39="K",VLOOKUP(M39,Table2[[#All],[UNIT]:[Column7]],10,FALSE),0)</f>
        <v>1424304.3667884208</v>
      </c>
      <c r="F39" s="43">
        <f t="shared" si="22"/>
        <v>39880522.270075783</v>
      </c>
      <c r="G39" s="42">
        <v>384.42767295597486</v>
      </c>
      <c r="H39" s="44">
        <f>G39*$C$61</f>
        <v>4420918.2389937108</v>
      </c>
      <c r="I39" s="42">
        <f t="shared" si="23"/>
        <v>13.729559748427674</v>
      </c>
      <c r="J39" s="45">
        <f t="shared" si="24"/>
        <v>44301440.509069495</v>
      </c>
      <c r="K39" s="36"/>
      <c r="L39" s="41" t="s">
        <v>257</v>
      </c>
      <c r="M39" s="41" t="str">
        <f>VLOOKUP(N39,'list rate unit'!O:P,2,FALSE)</f>
        <v>HM 400-3R</v>
      </c>
      <c r="N39" s="41" t="str">
        <f t="shared" si="25"/>
        <v>KOMATSU HM 400 - 23</v>
      </c>
      <c r="O39" s="15" t="s">
        <v>56</v>
      </c>
    </row>
    <row r="40" spans="2:15" x14ac:dyDescent="0.3">
      <c r="B40" s="41">
        <f t="shared" si="1"/>
        <v>33</v>
      </c>
      <c r="C40" s="41" t="s">
        <v>240</v>
      </c>
      <c r="D40" s="42">
        <v>104</v>
      </c>
      <c r="E40" s="62">
        <f>IF(O40="K",VLOOKUP(M40,Table2[[#All],[UNIT]:[Column7]],10,FALSE),0)</f>
        <v>1424304.3667884208</v>
      </c>
      <c r="F40" s="43">
        <f t="shared" si="22"/>
        <v>148127654.14599577</v>
      </c>
      <c r="G40" s="42">
        <v>1556</v>
      </c>
      <c r="H40" s="44">
        <f>G40*$C$61</f>
        <v>17894000</v>
      </c>
      <c r="I40" s="42">
        <f t="shared" si="23"/>
        <v>14.961538461538462</v>
      </c>
      <c r="J40" s="45">
        <f t="shared" si="24"/>
        <v>166021654.14599577</v>
      </c>
      <c r="K40" s="36"/>
      <c r="L40" s="41" t="s">
        <v>257</v>
      </c>
      <c r="M40" s="41" t="str">
        <f>VLOOKUP(N40,'list rate unit'!O:P,2,FALSE)</f>
        <v>HM 400-3R</v>
      </c>
      <c r="N40" s="41" t="str">
        <f t="shared" si="25"/>
        <v>KOMATSU HM 400 - 24</v>
      </c>
      <c r="O40" s="15" t="s">
        <v>56</v>
      </c>
    </row>
    <row r="41" spans="2:15" x14ac:dyDescent="0.3">
      <c r="B41" s="41">
        <f t="shared" si="1"/>
        <v>34</v>
      </c>
      <c r="C41" s="41" t="s">
        <v>241</v>
      </c>
      <c r="D41" s="42">
        <v>141</v>
      </c>
      <c r="E41" s="62">
        <f>IF(O41="K",VLOOKUP(M41,Table2[[#All],[UNIT]:[Column7]],10,FALSE),0)</f>
        <v>1424304.3667884208</v>
      </c>
      <c r="F41" s="43">
        <f t="shared" si="22"/>
        <v>200826915.71716735</v>
      </c>
      <c r="G41" s="42">
        <v>2727.3428571428572</v>
      </c>
      <c r="H41" s="44">
        <f>G41*$C$61</f>
        <v>31364442.857142858</v>
      </c>
      <c r="I41" s="42">
        <f t="shared" si="23"/>
        <v>19.342857142857142</v>
      </c>
      <c r="J41" s="45">
        <f t="shared" si="24"/>
        <v>232191358.57431021</v>
      </c>
      <c r="K41" s="36"/>
      <c r="L41" s="41" t="s">
        <v>257</v>
      </c>
      <c r="M41" s="41" t="str">
        <f>VLOOKUP(N41,'list rate unit'!O:P,2,FALSE)</f>
        <v>HM 400-3R</v>
      </c>
      <c r="N41" s="41" t="str">
        <f t="shared" si="25"/>
        <v>KOMATSU HM 400 - 25</v>
      </c>
      <c r="O41" s="15" t="s">
        <v>56</v>
      </c>
    </row>
    <row r="42" spans="2:15" x14ac:dyDescent="0.3">
      <c r="B42" s="41">
        <f t="shared" si="1"/>
        <v>35</v>
      </c>
      <c r="C42" s="41" t="s">
        <v>253</v>
      </c>
      <c r="D42" s="42">
        <v>24</v>
      </c>
      <c r="E42" s="62">
        <f>IF(O42="K",VLOOKUP(M42,Table2[[#All],[UNIT]:[Column7]],10,FALSE),0)</f>
        <v>425000</v>
      </c>
      <c r="F42" s="43">
        <f t="shared" si="22"/>
        <v>10200000</v>
      </c>
      <c r="G42" s="42">
        <v>193.11627906976744</v>
      </c>
      <c r="H42" s="44">
        <f>G42*$C$61</f>
        <v>2220837.2093023257</v>
      </c>
      <c r="I42" s="42">
        <f t="shared" si="23"/>
        <v>8.0465116279069768</v>
      </c>
      <c r="J42" s="45">
        <f t="shared" si="24"/>
        <v>12420837.209302325</v>
      </c>
      <c r="K42" s="36"/>
      <c r="L42" s="41" t="s">
        <v>257</v>
      </c>
      <c r="M42" s="41" t="str">
        <f>VLOOKUP(N42,'list rate unit'!O:P,2,FALSE)</f>
        <v>D 65 P-12</v>
      </c>
      <c r="N42" s="41" t="str">
        <f t="shared" si="25"/>
        <v>KOMATSU DOZER D65 - 10</v>
      </c>
      <c r="O42" s="15" t="s">
        <v>56</v>
      </c>
    </row>
    <row r="43" spans="2:15" x14ac:dyDescent="0.3">
      <c r="B43" s="41">
        <f t="shared" si="1"/>
        <v>36</v>
      </c>
      <c r="C43" s="41" t="s">
        <v>254</v>
      </c>
      <c r="D43" s="42">
        <v>28</v>
      </c>
      <c r="E43" s="62">
        <f>IF(O43="K",VLOOKUP(M43,Table2[[#All],[UNIT]:[Column7]],10,FALSE),0)</f>
        <v>425000</v>
      </c>
      <c r="F43" s="43">
        <f t="shared" si="22"/>
        <v>11900000</v>
      </c>
      <c r="G43" s="42">
        <v>881</v>
      </c>
      <c r="H43" s="44">
        <f>G43*$C$61</f>
        <v>10131500</v>
      </c>
      <c r="I43" s="42">
        <f t="shared" si="23"/>
        <v>31.464285714285715</v>
      </c>
      <c r="J43" s="45">
        <f t="shared" si="24"/>
        <v>22031500</v>
      </c>
      <c r="K43" s="36"/>
      <c r="L43" s="41" t="s">
        <v>257</v>
      </c>
      <c r="M43" s="41" t="str">
        <f>VLOOKUP(N43,'list rate unit'!O:P,2,FALSE)</f>
        <v>D 65 P-12</v>
      </c>
      <c r="N43" s="41" t="str">
        <f t="shared" si="25"/>
        <v>KOMATSU DOZER D65 - 11</v>
      </c>
      <c r="O43" s="15" t="s">
        <v>56</v>
      </c>
    </row>
    <row r="44" spans="2:15" x14ac:dyDescent="0.3">
      <c r="B44" s="41">
        <f t="shared" si="1"/>
        <v>37</v>
      </c>
      <c r="C44" s="41" t="s">
        <v>220</v>
      </c>
      <c r="D44" s="42">
        <v>139</v>
      </c>
      <c r="E44" s="62">
        <f>IF(O44="K",VLOOKUP(M44,Table2[[#All],[UNIT]:[Column7]],10,FALSE),0)</f>
        <v>425000</v>
      </c>
      <c r="F44" s="43">
        <f t="shared" si="22"/>
        <v>59075000</v>
      </c>
      <c r="G44" s="42">
        <v>2163.6068965517243</v>
      </c>
      <c r="H44" s="44">
        <f>G44*$C$61</f>
        <v>24881479.31034483</v>
      </c>
      <c r="I44" s="42">
        <f t="shared" si="23"/>
        <v>15.565517241379311</v>
      </c>
      <c r="J44" s="45">
        <f t="shared" si="24"/>
        <v>83956479.31034483</v>
      </c>
      <c r="K44" s="36"/>
      <c r="L44" s="41" t="s">
        <v>257</v>
      </c>
      <c r="M44" s="41" t="str">
        <f>VLOOKUP(N44,'list rate unit'!O:P,2,FALSE)</f>
        <v>D 65 P-12</v>
      </c>
      <c r="N44" s="41" t="str">
        <f t="shared" si="25"/>
        <v>KOMATSU DOZER D65 - 13</v>
      </c>
      <c r="O44" s="15" t="s">
        <v>56</v>
      </c>
    </row>
    <row r="45" spans="2:15" x14ac:dyDescent="0.3">
      <c r="B45" s="41">
        <f t="shared" si="1"/>
        <v>38</v>
      </c>
      <c r="C45" s="41" t="s">
        <v>221</v>
      </c>
      <c r="D45" s="42">
        <v>223</v>
      </c>
      <c r="E45" s="62">
        <f>IF(O45="K",VLOOKUP(M45,Table2[[#All],[UNIT]:[Column7]],10,FALSE),0)</f>
        <v>425000</v>
      </c>
      <c r="F45" s="43">
        <f t="shared" si="22"/>
        <v>94775000</v>
      </c>
      <c r="G45" s="42">
        <v>3449</v>
      </c>
      <c r="H45" s="44">
        <f>G45*$C$61</f>
        <v>39663500</v>
      </c>
      <c r="I45" s="42">
        <f t="shared" si="23"/>
        <v>15.466367713004484</v>
      </c>
      <c r="J45" s="45">
        <f t="shared" si="24"/>
        <v>134438500</v>
      </c>
      <c r="K45" s="36"/>
      <c r="L45" s="41" t="s">
        <v>257</v>
      </c>
      <c r="M45" s="41" t="str">
        <f>VLOOKUP(N45,'list rate unit'!O:P,2,FALSE)</f>
        <v>D 65 P-12</v>
      </c>
      <c r="N45" s="41" t="str">
        <f t="shared" si="25"/>
        <v>KOMATSU DOZER D65 - 15</v>
      </c>
      <c r="O45" s="15" t="s">
        <v>56</v>
      </c>
    </row>
    <row r="46" spans="2:15" x14ac:dyDescent="0.3">
      <c r="B46" s="41">
        <f t="shared" si="1"/>
        <v>39</v>
      </c>
      <c r="C46" s="41" t="s">
        <v>222</v>
      </c>
      <c r="D46" s="42">
        <v>207</v>
      </c>
      <c r="E46" s="62">
        <f>IF(O46="K",VLOOKUP(M46,Table2[[#All],[UNIT]:[Column7]],10,FALSE),0)</f>
        <v>425000</v>
      </c>
      <c r="F46" s="43">
        <f t="shared" si="22"/>
        <v>87975000</v>
      </c>
      <c r="G46" s="42">
        <v>3681.0000000000005</v>
      </c>
      <c r="H46" s="44">
        <f>G46*$C$61</f>
        <v>42331500.000000007</v>
      </c>
      <c r="I46" s="42">
        <f t="shared" si="23"/>
        <v>17.782608695652176</v>
      </c>
      <c r="J46" s="45">
        <f t="shared" si="24"/>
        <v>130306500</v>
      </c>
      <c r="K46" s="36"/>
      <c r="L46" s="41" t="s">
        <v>257</v>
      </c>
      <c r="M46" s="41" t="str">
        <f>VLOOKUP(N46,'list rate unit'!O:P,2,FALSE)</f>
        <v>D 65 P-12</v>
      </c>
      <c r="N46" s="41" t="str">
        <f t="shared" si="25"/>
        <v>KOMATSU DOZER D65 - 16</v>
      </c>
      <c r="O46" s="15" t="s">
        <v>56</v>
      </c>
    </row>
    <row r="47" spans="2:15" x14ac:dyDescent="0.3">
      <c r="B47" s="41">
        <f t="shared" si="1"/>
        <v>40</v>
      </c>
      <c r="C47" s="41" t="s">
        <v>242</v>
      </c>
      <c r="D47" s="42">
        <v>179</v>
      </c>
      <c r="E47" s="62">
        <f>IF(O47="K",VLOOKUP(M47,Table2[[#All],[UNIT]:[Column7]],10,FALSE),0)</f>
        <v>425000</v>
      </c>
      <c r="F47" s="43">
        <f t="shared" si="22"/>
        <v>76075000</v>
      </c>
      <c r="G47" s="42">
        <v>3500</v>
      </c>
      <c r="H47" s="44">
        <f>G47*$C$61</f>
        <v>40250000</v>
      </c>
      <c r="I47" s="42">
        <f t="shared" si="23"/>
        <v>19.553072625698324</v>
      </c>
      <c r="J47" s="45">
        <f t="shared" si="24"/>
        <v>116325000</v>
      </c>
      <c r="K47" s="36"/>
      <c r="L47" s="41" t="s">
        <v>257</v>
      </c>
      <c r="M47" s="41" t="str">
        <f>VLOOKUP(N47,'list rate unit'!O:P,2,FALSE)</f>
        <v>D 65 P-12</v>
      </c>
      <c r="N47" s="41" t="str">
        <f t="shared" si="25"/>
        <v>KOMATSU DOZER D65 - 18</v>
      </c>
      <c r="O47" s="15" t="s">
        <v>56</v>
      </c>
    </row>
    <row r="48" spans="2:15" x14ac:dyDescent="0.3">
      <c r="B48" s="41">
        <f t="shared" si="1"/>
        <v>41</v>
      </c>
      <c r="C48" s="41" t="s">
        <v>309</v>
      </c>
      <c r="D48" s="42">
        <v>132</v>
      </c>
      <c r="E48" s="62">
        <f>IF(O48="K",VLOOKUP(M48,Table2[[#All],[UNIT]:[Column7]],10,FALSE),0)</f>
        <v>425000</v>
      </c>
      <c r="F48" s="43">
        <f t="shared" si="22"/>
        <v>56100000</v>
      </c>
      <c r="G48" s="42">
        <v>2038.08</v>
      </c>
      <c r="H48" s="44">
        <f>G48*$C$61</f>
        <v>23437920</v>
      </c>
      <c r="I48" s="42">
        <f t="shared" si="23"/>
        <v>15.44</v>
      </c>
      <c r="J48" s="45">
        <f t="shared" si="24"/>
        <v>79537920</v>
      </c>
      <c r="K48" s="36"/>
      <c r="L48" s="41" t="s">
        <v>257</v>
      </c>
      <c r="M48" s="41" t="str">
        <f>VLOOKUP(N48,'list rate unit'!O:P,2,FALSE)</f>
        <v>D 85 ESS-2</v>
      </c>
      <c r="N48" s="41" t="str">
        <f t="shared" si="25"/>
        <v>KOMATSU DOZER D85SS - 06</v>
      </c>
      <c r="O48" s="15" t="s">
        <v>56</v>
      </c>
    </row>
    <row r="49" spans="2:15" x14ac:dyDescent="0.3">
      <c r="B49" s="41">
        <f t="shared" si="1"/>
        <v>42</v>
      </c>
      <c r="C49" s="41" t="s">
        <v>347</v>
      </c>
      <c r="D49" s="42">
        <v>152</v>
      </c>
      <c r="E49" s="62">
        <f>IF(O49="K",VLOOKUP(M49,Table2[[#All],[UNIT]:[Column7]],10,FALSE),0)</f>
        <v>425000</v>
      </c>
      <c r="F49" s="43">
        <f t="shared" si="22"/>
        <v>64600000</v>
      </c>
      <c r="G49" s="42">
        <v>1870.9818181818182</v>
      </c>
      <c r="H49" s="44">
        <f>G49*$C$61</f>
        <v>21516290.90909091</v>
      </c>
      <c r="I49" s="42">
        <f t="shared" si="23"/>
        <v>12.309090909090909</v>
      </c>
      <c r="J49" s="45">
        <f t="shared" si="24"/>
        <v>86116290.909090906</v>
      </c>
      <c r="K49" s="36"/>
      <c r="L49" s="41" t="s">
        <v>257</v>
      </c>
      <c r="M49" s="41" t="str">
        <f>VLOOKUP(N49,'list rate unit'!O:P,2,FALSE)</f>
        <v>D 85 ESS-2</v>
      </c>
      <c r="N49" s="41" t="str">
        <f t="shared" si="25"/>
        <v>KOMATSU DOZER D85SS - 10</v>
      </c>
      <c r="O49" s="15" t="s">
        <v>56</v>
      </c>
    </row>
    <row r="50" spans="2:15" x14ac:dyDescent="0.3">
      <c r="B50" s="41">
        <f t="shared" si="1"/>
        <v>43</v>
      </c>
      <c r="C50" s="41" t="s">
        <v>255</v>
      </c>
      <c r="D50" s="42">
        <v>33</v>
      </c>
      <c r="E50" s="62">
        <f>IF(O50="K",VLOOKUP(M50,Table2[[#All],[UNIT]:[Column7]],10,FALSE),0)</f>
        <v>425000</v>
      </c>
      <c r="F50" s="43">
        <f t="shared" si="22"/>
        <v>14025000</v>
      </c>
      <c r="G50" s="42">
        <v>2356.3269230769233</v>
      </c>
      <c r="H50" s="44">
        <f>G50*$C$61</f>
        <v>27097759.61538462</v>
      </c>
      <c r="I50" s="42">
        <f t="shared" si="23"/>
        <v>71.40384615384616</v>
      </c>
      <c r="J50" s="45">
        <f t="shared" si="24"/>
        <v>41122759.615384623</v>
      </c>
      <c r="K50" s="36"/>
      <c r="L50" s="41" t="s">
        <v>257</v>
      </c>
      <c r="M50" s="41" t="str">
        <f>VLOOKUP(N50,'list rate unit'!O:P,2,FALSE)</f>
        <v>D 85 ESS-2</v>
      </c>
      <c r="N50" s="41" t="str">
        <f t="shared" si="25"/>
        <v>KOMATSU DOZER D85SS - 17</v>
      </c>
      <c r="O50" s="15" t="s">
        <v>56</v>
      </c>
    </row>
    <row r="51" spans="2:15" x14ac:dyDescent="0.3">
      <c r="B51" s="41">
        <f t="shared" si="1"/>
        <v>44</v>
      </c>
      <c r="C51" s="41" t="s">
        <v>224</v>
      </c>
      <c r="D51" s="42">
        <v>81</v>
      </c>
      <c r="E51" s="62">
        <f>IF(O51="K",VLOOKUP(M51,Table2[[#All],[UNIT]:[Column7]],10,FALSE),0)</f>
        <v>425000</v>
      </c>
      <c r="F51" s="43">
        <f t="shared" si="22"/>
        <v>34425000</v>
      </c>
      <c r="G51" s="42">
        <v>1168.3910614525139</v>
      </c>
      <c r="H51" s="44">
        <f>G51*$C$61</f>
        <v>13436497.206703911</v>
      </c>
      <c r="I51" s="42">
        <f t="shared" si="23"/>
        <v>14.424581005586591</v>
      </c>
      <c r="J51" s="45">
        <f t="shared" si="24"/>
        <v>47861497.206703909</v>
      </c>
      <c r="K51" s="36"/>
      <c r="L51" s="41" t="s">
        <v>257</v>
      </c>
      <c r="M51" s="41" t="str">
        <f>VLOOKUP(N51,'list rate unit'!O:P,2,FALSE)</f>
        <v>D 85 ESS-2</v>
      </c>
      <c r="N51" s="41" t="str">
        <f t="shared" si="25"/>
        <v>KOMATSU DOZER D85SS - 18</v>
      </c>
      <c r="O51" s="15" t="s">
        <v>56</v>
      </c>
    </row>
    <row r="52" spans="2:15" x14ac:dyDescent="0.3">
      <c r="B52" s="41">
        <f t="shared" si="1"/>
        <v>45</v>
      </c>
      <c r="C52" s="41" t="s">
        <v>243</v>
      </c>
      <c r="D52" s="42">
        <v>173</v>
      </c>
      <c r="E52" s="62">
        <f>IF(O52="K",VLOOKUP(M52,Table2[[#All],[UNIT]:[Column7]],10,FALSE),0)</f>
        <v>425000</v>
      </c>
      <c r="F52" s="43">
        <f t="shared" si="22"/>
        <v>73525000</v>
      </c>
      <c r="G52" s="42">
        <v>4204.8105263157895</v>
      </c>
      <c r="H52" s="44">
        <f>G52*$C$61</f>
        <v>48355321.052631579</v>
      </c>
      <c r="I52" s="42">
        <f t="shared" si="23"/>
        <v>24.305263157894736</v>
      </c>
      <c r="J52" s="45">
        <f t="shared" si="24"/>
        <v>121880321.05263159</v>
      </c>
      <c r="K52" s="36"/>
      <c r="L52" s="41" t="s">
        <v>257</v>
      </c>
      <c r="M52" s="41" t="str">
        <f>VLOOKUP(N52,'list rate unit'!O:P,2,FALSE)</f>
        <v>D 85 ESS-2</v>
      </c>
      <c r="N52" s="41" t="str">
        <f t="shared" si="25"/>
        <v>KOMATSU DOZER D85SS - 20</v>
      </c>
      <c r="O52" s="15" t="s">
        <v>56</v>
      </c>
    </row>
    <row r="53" spans="2:15" x14ac:dyDescent="0.3">
      <c r="B53" s="41">
        <f t="shared" si="1"/>
        <v>46</v>
      </c>
      <c r="C53" s="41" t="s">
        <v>354</v>
      </c>
      <c r="D53" s="42">
        <v>69</v>
      </c>
      <c r="E53" s="62">
        <f>IF(O53="K",VLOOKUP(M53,Table2[[#All],[UNIT]:[Column7]],10,FALSE),0)</f>
        <v>350000</v>
      </c>
      <c r="F53" s="43">
        <f t="shared" ref="F53:F56" si="26">D53*E53</f>
        <v>24150000</v>
      </c>
      <c r="G53" s="42">
        <v>924.00000000000011</v>
      </c>
      <c r="H53" s="44">
        <f>G53*$C$61</f>
        <v>10626000.000000002</v>
      </c>
      <c r="I53" s="42">
        <f t="shared" ref="I53:I56" si="27">IFERROR(G53/D53,0)</f>
        <v>13.391304347826088</v>
      </c>
      <c r="J53" s="45">
        <f t="shared" ref="J53:J56" si="28">F53+H53</f>
        <v>34776000</v>
      </c>
      <c r="K53" s="36"/>
      <c r="L53" s="41" t="s">
        <v>257</v>
      </c>
      <c r="M53" s="41" t="str">
        <f>VLOOKUP(N53,'list rate unit'!O:P,2,FALSE)</f>
        <v>GD 511 A-1</v>
      </c>
      <c r="N53" s="41" t="str">
        <f t="shared" ref="N53:N56" si="29">C53</f>
        <v>GRADER GD535 - 10</v>
      </c>
      <c r="O53" s="15" t="s">
        <v>56</v>
      </c>
    </row>
    <row r="54" spans="2:15" x14ac:dyDescent="0.3">
      <c r="B54" s="41">
        <f t="shared" si="1"/>
        <v>47</v>
      </c>
      <c r="C54" s="41" t="s">
        <v>275</v>
      </c>
      <c r="D54" s="42">
        <v>42</v>
      </c>
      <c r="E54" s="62">
        <f>IF(O54="K",VLOOKUP(M54,Table2[[#All],[UNIT]:[Column7]],10,FALSE),0)</f>
        <v>220000</v>
      </c>
      <c r="F54" s="43">
        <f t="shared" si="26"/>
        <v>9240000</v>
      </c>
      <c r="G54" s="42">
        <v>250.22535211267603</v>
      </c>
      <c r="H54" s="44">
        <f>G54*$C$61</f>
        <v>2877591.5492957742</v>
      </c>
      <c r="I54" s="42">
        <f t="shared" si="27"/>
        <v>5.957746478873239</v>
      </c>
      <c r="J54" s="45">
        <f t="shared" si="28"/>
        <v>12117591.549295774</v>
      </c>
      <c r="K54" s="36"/>
      <c r="L54" s="41" t="s">
        <v>257</v>
      </c>
      <c r="M54" s="41" t="str">
        <f>VLOOKUP(N54,'list rate unit'!O:P,2,FALSE)</f>
        <v>SV 525 D</v>
      </c>
      <c r="N54" s="41" t="str">
        <f t="shared" si="29"/>
        <v>SAKAI - 02</v>
      </c>
      <c r="O54" s="15" t="s">
        <v>56</v>
      </c>
    </row>
    <row r="55" spans="2:15" x14ac:dyDescent="0.3">
      <c r="B55" s="41">
        <f t="shared" si="1"/>
        <v>48</v>
      </c>
      <c r="C55" s="41" t="s">
        <v>226</v>
      </c>
      <c r="D55" s="42">
        <v>151</v>
      </c>
      <c r="E55" s="62">
        <f>IF(O55="K",VLOOKUP(M55,Table2[[#All],[UNIT]:[Column7]],10,FALSE),0)</f>
        <v>220000</v>
      </c>
      <c r="F55" s="43">
        <f t="shared" si="26"/>
        <v>33220000</v>
      </c>
      <c r="G55" s="42">
        <v>816</v>
      </c>
      <c r="H55" s="44">
        <f>G55*$C$61</f>
        <v>9384000</v>
      </c>
      <c r="I55" s="42">
        <f t="shared" si="27"/>
        <v>5.4039735099337749</v>
      </c>
      <c r="J55" s="45">
        <f t="shared" si="28"/>
        <v>42604000</v>
      </c>
      <c r="K55" s="36"/>
      <c r="L55" s="41" t="s">
        <v>257</v>
      </c>
      <c r="M55" s="41" t="str">
        <f>VLOOKUP(N55,'list rate unit'!O:P,2,FALSE)</f>
        <v>SV 525 D</v>
      </c>
      <c r="N55" s="41" t="str">
        <f t="shared" si="29"/>
        <v>SAKAI - 07</v>
      </c>
      <c r="O55" s="15" t="s">
        <v>56</v>
      </c>
    </row>
    <row r="56" spans="2:15" x14ac:dyDescent="0.3">
      <c r="B56" s="41">
        <f t="shared" si="1"/>
        <v>49</v>
      </c>
      <c r="C56" s="41" t="s">
        <v>342</v>
      </c>
      <c r="D56" s="42">
        <v>8</v>
      </c>
      <c r="E56" s="62">
        <f>IF(O56="K",VLOOKUP(M56,Table2[[#All],[UNIT]:[Column7]],10,FALSE),0)</f>
        <v>766205.76574775728</v>
      </c>
      <c r="F56" s="43">
        <f t="shared" si="26"/>
        <v>6129646.1259820582</v>
      </c>
      <c r="G56" s="42">
        <v>75.5</v>
      </c>
      <c r="H56" s="44">
        <f>G56*$C$61</f>
        <v>868250</v>
      </c>
      <c r="I56" s="42">
        <f t="shared" si="27"/>
        <v>9.4375</v>
      </c>
      <c r="J56" s="45">
        <f t="shared" si="28"/>
        <v>6997896.1259820582</v>
      </c>
      <c r="K56" s="36"/>
      <c r="L56" s="41" t="s">
        <v>257</v>
      </c>
      <c r="M56" s="41" t="str">
        <f>VLOOKUP(N56,'list rate unit'!O:P,2,FALSE)</f>
        <v>WA 380-3</v>
      </c>
      <c r="N56" s="41" t="str">
        <f t="shared" si="29"/>
        <v>LOADER - 02</v>
      </c>
      <c r="O56" s="15" t="s">
        <v>56</v>
      </c>
    </row>
    <row r="57" spans="2:15" x14ac:dyDescent="0.3">
      <c r="D57" s="18"/>
      <c r="F57" s="32"/>
      <c r="G57" s="18"/>
      <c r="H57" s="30"/>
      <c r="I57" s="18"/>
      <c r="J57" s="33"/>
      <c r="K57" s="18"/>
    </row>
    <row r="58" spans="2:15" s="1" customFormat="1" ht="15.75" customHeight="1" x14ac:dyDescent="0.3">
      <c r="B58" s="249" t="s">
        <v>21</v>
      </c>
      <c r="C58" s="249"/>
      <c r="D58" s="46">
        <f>SUM(D8:D57)</f>
        <v>4083.7</v>
      </c>
      <c r="E58" s="63">
        <f>AVERAGE(E8:E57)</f>
        <v>748383.08709334838</v>
      </c>
      <c r="F58" s="47">
        <f>SUM(F8:F57)</f>
        <v>3368864847.8378072</v>
      </c>
      <c r="G58" s="46">
        <f>SUM(G8:G57)</f>
        <v>72304.221268470646</v>
      </c>
      <c r="H58" s="47">
        <f>SUM(H8:H57)</f>
        <v>831498544.58741248</v>
      </c>
      <c r="I58" s="46">
        <f t="shared" si="0"/>
        <v>17.705566341423378</v>
      </c>
      <c r="J58" s="48">
        <f>SUM(J8:J57)</f>
        <v>4200363392.4252195</v>
      </c>
      <c r="K58" s="37"/>
    </row>
    <row r="60" spans="2:15" x14ac:dyDescent="0.3">
      <c r="B60" s="35" t="s">
        <v>34</v>
      </c>
      <c r="C60" s="29">
        <f>'SUMMARY 2'!I28</f>
        <v>14848</v>
      </c>
    </row>
    <row r="61" spans="2:15" x14ac:dyDescent="0.3">
      <c r="B61" s="35" t="s">
        <v>35</v>
      </c>
      <c r="C61" s="29">
        <f>SUMMARY!J13</f>
        <v>11500</v>
      </c>
      <c r="F61" s="30"/>
      <c r="G61" s="18"/>
    </row>
    <row r="63" spans="2:15" x14ac:dyDescent="0.3">
      <c r="F63" s="18"/>
    </row>
  </sheetData>
  <autoFilter ref="B7:O58" xr:uid="{00000000-0009-0000-0000-000003000000}"/>
  <mergeCells count="13">
    <mergeCell ref="B58:C58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50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K40" sqref="K40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6" t="s">
        <v>169</v>
      </c>
      <c r="C2" s="246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6"/>
      <c r="C3" s="246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50" t="s">
        <v>36</v>
      </c>
      <c r="E5" s="250"/>
      <c r="F5" s="250"/>
      <c r="G5" s="251" t="s">
        <v>37</v>
      </c>
      <c r="H5" s="251"/>
      <c r="I5" s="247" t="s">
        <v>54</v>
      </c>
      <c r="J5" s="248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48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48"/>
      <c r="K7" s="31"/>
      <c r="L7" s="247"/>
      <c r="M7" s="247"/>
      <c r="N7" s="247"/>
    </row>
    <row r="8" spans="2:15" x14ac:dyDescent="0.3">
      <c r="B8" s="41">
        <f t="shared" ref="B8:B16" si="0">ROW(B8)-7</f>
        <v>1</v>
      </c>
      <c r="C8" s="41" t="s">
        <v>186</v>
      </c>
      <c r="D8" s="42">
        <v>50.3</v>
      </c>
      <c r="E8" s="62">
        <f>IF(O8="K",VLOOKUP(M8,Table2[[#All],[UNIT]:[Column7]],10,FALSE),0)</f>
        <v>1000000</v>
      </c>
      <c r="F8" s="43">
        <f>D8*E8</f>
        <v>50300000</v>
      </c>
      <c r="G8" s="42">
        <v>1428.4968336211859</v>
      </c>
      <c r="H8" s="44">
        <f t="shared" ref="H8:H23" si="1">G8*$C$48</f>
        <v>16427713.586643638</v>
      </c>
      <c r="I8" s="42">
        <f t="shared" ref="I8:I9" si="2">IFERROR(G8/D8,0)</f>
        <v>28.399539435808869</v>
      </c>
      <c r="J8" s="45">
        <f>F8+H8</f>
        <v>66727713.586643636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si="0"/>
        <v>2</v>
      </c>
      <c r="C9" s="41" t="s">
        <v>187</v>
      </c>
      <c r="D9" s="42">
        <v>6</v>
      </c>
      <c r="E9" s="62">
        <f>IF(O9="K",VLOOKUP(M9,Table2[[#All],[UNIT]:[Column7]],10,FALSE),0)</f>
        <v>1000000</v>
      </c>
      <c r="F9" s="43">
        <f t="shared" ref="F9" si="3">D9*E9</f>
        <v>6000000</v>
      </c>
      <c r="G9" s="42">
        <v>135.35751295336786</v>
      </c>
      <c r="H9" s="44">
        <f t="shared" si="1"/>
        <v>1556611.3989637303</v>
      </c>
      <c r="I9" s="42">
        <f t="shared" si="2"/>
        <v>22.559585492227978</v>
      </c>
      <c r="J9" s="45">
        <f t="shared" ref="J9" si="4">F9+H9</f>
        <v>7556611.3989637308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" si="5">C9</f>
        <v>KOMATSU PC 500 - 02</v>
      </c>
      <c r="O9" s="15" t="s">
        <v>56</v>
      </c>
    </row>
    <row r="10" spans="2:15" x14ac:dyDescent="0.3">
      <c r="B10" s="41">
        <f t="shared" si="0"/>
        <v>3</v>
      </c>
      <c r="C10" s="41" t="s">
        <v>237</v>
      </c>
      <c r="D10" s="42">
        <v>79</v>
      </c>
      <c r="E10" s="62">
        <f>IF(O10="K",VLOOKUP(M10,Table2[[#All],[UNIT]:[Column7]],10,FALSE),0)</f>
        <v>1000000</v>
      </c>
      <c r="F10" s="43">
        <f t="shared" ref="F10:F43" si="6">D10*E10</f>
        <v>79000000</v>
      </c>
      <c r="G10" s="42">
        <v>2317.4780219780218</v>
      </c>
      <c r="H10" s="44">
        <f t="shared" si="1"/>
        <v>26650997.252747253</v>
      </c>
      <c r="I10" s="42">
        <f t="shared" ref="I10:I43" si="7">IFERROR(G10/D10,0)</f>
        <v>29.335164835164832</v>
      </c>
      <c r="J10" s="45">
        <f t="shared" ref="J10:J43" si="8">F10+H10</f>
        <v>105650997.25274725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ref="N10:N43" si="9">C10</f>
        <v>KOMATSU PC 500 - 04</v>
      </c>
      <c r="O10" s="15" t="s">
        <v>56</v>
      </c>
    </row>
    <row r="11" spans="2:15" x14ac:dyDescent="0.3">
      <c r="B11" s="41">
        <f t="shared" si="0"/>
        <v>4</v>
      </c>
      <c r="C11" s="41" t="s">
        <v>329</v>
      </c>
      <c r="D11" s="42">
        <v>70</v>
      </c>
      <c r="E11" s="62">
        <f>IF(O11="K",VLOOKUP(M11,Table2[[#All],[UNIT]:[Column7]],10,FALSE),0)</f>
        <v>400000</v>
      </c>
      <c r="F11" s="43">
        <f t="shared" si="6"/>
        <v>28000000</v>
      </c>
      <c r="G11" s="42">
        <v>1785</v>
      </c>
      <c r="H11" s="44">
        <f t="shared" si="1"/>
        <v>20527500</v>
      </c>
      <c r="I11" s="42">
        <f t="shared" si="7"/>
        <v>25.5</v>
      </c>
      <c r="J11" s="45">
        <f t="shared" si="8"/>
        <v>48527500</v>
      </c>
      <c r="K11" s="36"/>
      <c r="L11" s="41" t="s">
        <v>257</v>
      </c>
      <c r="M11" s="41" t="str">
        <f>VLOOKUP(N11,'list rate unit'!O:P,2,FALSE)</f>
        <v>PC 300 SE-8</v>
      </c>
      <c r="N11" s="41" t="str">
        <f t="shared" si="9"/>
        <v>KOMATSU PC 300 - 07</v>
      </c>
      <c r="O11" s="15" t="s">
        <v>56</v>
      </c>
    </row>
    <row r="12" spans="2:15" x14ac:dyDescent="0.3">
      <c r="B12" s="41">
        <f t="shared" si="0"/>
        <v>5</v>
      </c>
      <c r="C12" s="41" t="s">
        <v>190</v>
      </c>
      <c r="D12" s="42">
        <v>6</v>
      </c>
      <c r="E12" s="62">
        <f>IF(O12="K",VLOOKUP(M12,Table2[[#All],[UNIT]:[Column7]],10,FALSE),0)</f>
        <v>400000</v>
      </c>
      <c r="F12" s="43">
        <f t="shared" si="6"/>
        <v>2400000</v>
      </c>
      <c r="G12" s="42">
        <v>92.028169014084511</v>
      </c>
      <c r="H12" s="44">
        <f t="shared" si="1"/>
        <v>1058323.9436619719</v>
      </c>
      <c r="I12" s="42">
        <f t="shared" si="7"/>
        <v>15.338028169014086</v>
      </c>
      <c r="J12" s="45">
        <f t="shared" si="8"/>
        <v>3458323.9436619719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9"/>
        <v>KOMATSU PC 300 - 10</v>
      </c>
      <c r="O12" s="15" t="s">
        <v>56</v>
      </c>
    </row>
    <row r="13" spans="2:15" x14ac:dyDescent="0.3">
      <c r="B13" s="41">
        <f t="shared" si="0"/>
        <v>6</v>
      </c>
      <c r="C13" s="41" t="s">
        <v>294</v>
      </c>
      <c r="D13" s="42">
        <v>9</v>
      </c>
      <c r="E13" s="62">
        <f>IF(O13="K",VLOOKUP(M13,Table2[[#All],[UNIT]:[Column7]],10,FALSE),0)</f>
        <v>400000</v>
      </c>
      <c r="F13" s="43">
        <f t="shared" si="6"/>
        <v>3600000</v>
      </c>
      <c r="G13" s="42">
        <v>207.4390243902439</v>
      </c>
      <c r="H13" s="44">
        <f t="shared" si="1"/>
        <v>2385548.7804878047</v>
      </c>
      <c r="I13" s="42">
        <f t="shared" si="7"/>
        <v>23.048780487804876</v>
      </c>
      <c r="J13" s="45">
        <f t="shared" si="8"/>
        <v>5985548.7804878047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9"/>
        <v>KOMATSU PC 300 - 11</v>
      </c>
      <c r="O13" s="15" t="s">
        <v>56</v>
      </c>
    </row>
    <row r="14" spans="2:15" x14ac:dyDescent="0.3">
      <c r="B14" s="41">
        <f t="shared" si="0"/>
        <v>7</v>
      </c>
      <c r="C14" s="41" t="s">
        <v>247</v>
      </c>
      <c r="D14" s="42">
        <v>144</v>
      </c>
      <c r="E14" s="62">
        <f>IF(O14="K",VLOOKUP(M14,Table2[[#All],[UNIT]:[Column7]],10,FALSE),0)</f>
        <v>400000</v>
      </c>
      <c r="F14" s="43">
        <f t="shared" si="6"/>
        <v>57600000</v>
      </c>
      <c r="G14" s="42">
        <v>3459.4615384615381</v>
      </c>
      <c r="H14" s="44">
        <f t="shared" si="1"/>
        <v>39783807.692307688</v>
      </c>
      <c r="I14" s="42">
        <f t="shared" si="7"/>
        <v>24.02403846153846</v>
      </c>
      <c r="J14" s="45">
        <f t="shared" si="8"/>
        <v>97383807.692307681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9"/>
        <v>KOMATSU PC 300 - 14</v>
      </c>
      <c r="O14" s="15" t="s">
        <v>56</v>
      </c>
    </row>
    <row r="15" spans="2:15" x14ac:dyDescent="0.3">
      <c r="B15" s="41">
        <f t="shared" si="0"/>
        <v>8</v>
      </c>
      <c r="C15" s="41" t="s">
        <v>261</v>
      </c>
      <c r="D15" s="42">
        <v>21</v>
      </c>
      <c r="E15" s="62">
        <f>IF(O15="K",VLOOKUP(M15,Table2[[#All],[UNIT]:[Column7]],10,FALSE),0)</f>
        <v>400000</v>
      </c>
      <c r="F15" s="43">
        <f t="shared" si="6"/>
        <v>8400000</v>
      </c>
      <c r="G15" s="42">
        <v>434</v>
      </c>
      <c r="H15" s="44">
        <f t="shared" si="1"/>
        <v>4991000</v>
      </c>
      <c r="I15" s="42">
        <f t="shared" si="7"/>
        <v>20.666666666666668</v>
      </c>
      <c r="J15" s="45">
        <f t="shared" si="8"/>
        <v>13391000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9"/>
        <v>KOMATSU PC 300 - 15</v>
      </c>
      <c r="O15" s="15" t="s">
        <v>56</v>
      </c>
    </row>
    <row r="16" spans="2:15" x14ac:dyDescent="0.3">
      <c r="B16" s="41">
        <f t="shared" si="0"/>
        <v>9</v>
      </c>
      <c r="C16" s="41" t="s">
        <v>192</v>
      </c>
      <c r="D16" s="42">
        <v>3</v>
      </c>
      <c r="E16" s="62">
        <f>IF(O16="K",VLOOKUP(M16,Table2[[#All],[UNIT]:[Column7]],10,FALSE),0)</f>
        <v>400000</v>
      </c>
      <c r="F16" s="43">
        <f t="shared" si="6"/>
        <v>1200000</v>
      </c>
      <c r="G16" s="42">
        <v>49.151515151515156</v>
      </c>
      <c r="H16" s="44">
        <f t="shared" si="1"/>
        <v>565242.42424242431</v>
      </c>
      <c r="I16" s="42">
        <f t="shared" si="7"/>
        <v>16.383838383838384</v>
      </c>
      <c r="J16" s="45">
        <f t="shared" si="8"/>
        <v>1765242.4242424243</v>
      </c>
      <c r="K16" s="36"/>
      <c r="L16" s="41" t="s">
        <v>257</v>
      </c>
      <c r="M16" s="41" t="str">
        <f>VLOOKUP(N16,'list rate unit'!O:P,2,FALSE)</f>
        <v>SK 330-8</v>
      </c>
      <c r="N16" s="41" t="str">
        <f t="shared" si="9"/>
        <v>KOBELCO SK 330 - 11</v>
      </c>
      <c r="O16" s="15" t="s">
        <v>56</v>
      </c>
    </row>
    <row r="17" spans="2:15" x14ac:dyDescent="0.3">
      <c r="B17" s="41">
        <f t="shared" ref="B17:B38" si="10">ROW(B17)-7</f>
        <v>10</v>
      </c>
      <c r="C17" s="41" t="s">
        <v>264</v>
      </c>
      <c r="D17" s="42">
        <v>4</v>
      </c>
      <c r="E17" s="62">
        <f>IF(O17="K",VLOOKUP(M17,Table2[[#All],[UNIT]:[Column7]],10,FALSE),0)</f>
        <v>275000</v>
      </c>
      <c r="F17" s="43">
        <f t="shared" ref="F17:F38" si="11">D17*E17</f>
        <v>1100000</v>
      </c>
      <c r="G17" s="42">
        <v>51.717391304347828</v>
      </c>
      <c r="H17" s="44">
        <f t="shared" si="1"/>
        <v>594750</v>
      </c>
      <c r="I17" s="42">
        <f t="shared" ref="I17:I38" si="12">IFERROR(G17/D17,0)</f>
        <v>12.929347826086957</v>
      </c>
      <c r="J17" s="45">
        <f t="shared" ref="J17:J38" si="13">F17+H17</f>
        <v>1694750</v>
      </c>
      <c r="K17" s="36"/>
      <c r="L17" s="41" t="s">
        <v>257</v>
      </c>
      <c r="M17" s="41" t="str">
        <f>VLOOKUP(N17,'list rate unit'!O:P,2,FALSE)</f>
        <v>PC 200-8 MO</v>
      </c>
      <c r="N17" s="41" t="str">
        <f t="shared" ref="N17:N38" si="14">C17</f>
        <v>KOMATSU PC 200 - 12</v>
      </c>
      <c r="O17" s="15" t="s">
        <v>56</v>
      </c>
    </row>
    <row r="18" spans="2:15" x14ac:dyDescent="0.3">
      <c r="B18" s="41">
        <f t="shared" si="10"/>
        <v>11</v>
      </c>
      <c r="C18" s="41" t="s">
        <v>348</v>
      </c>
      <c r="D18" s="42">
        <v>17</v>
      </c>
      <c r="E18" s="62">
        <f>IF(O18="K",VLOOKUP(M18,Table2[[#All],[UNIT]:[Column7]],10,FALSE),0)</f>
        <v>275000</v>
      </c>
      <c r="F18" s="43">
        <f t="shared" si="11"/>
        <v>4675000</v>
      </c>
      <c r="G18" s="42">
        <v>247.71428571428572</v>
      </c>
      <c r="H18" s="44">
        <f t="shared" si="1"/>
        <v>2848714.2857142859</v>
      </c>
      <c r="I18" s="42">
        <f t="shared" si="12"/>
        <v>14.571428571428571</v>
      </c>
      <c r="J18" s="45">
        <f t="shared" si="13"/>
        <v>7523714.2857142854</v>
      </c>
      <c r="K18" s="36"/>
      <c r="L18" s="41" t="s">
        <v>257</v>
      </c>
      <c r="M18" s="41" t="str">
        <f>VLOOKUP(N18,'list rate unit'!O:P,2,FALSE)</f>
        <v>PC 200-8 MO</v>
      </c>
      <c r="N18" s="41" t="str">
        <f t="shared" si="14"/>
        <v>KOMATSU PC 200 - 20</v>
      </c>
      <c r="O18" s="15" t="s">
        <v>56</v>
      </c>
    </row>
    <row r="19" spans="2:15" x14ac:dyDescent="0.3">
      <c r="B19" s="41">
        <f t="shared" si="10"/>
        <v>12</v>
      </c>
      <c r="C19" s="41" t="s">
        <v>193</v>
      </c>
      <c r="D19" s="42">
        <v>7</v>
      </c>
      <c r="E19" s="62">
        <f>IF(O19="K",VLOOKUP(M19,Table2[[#All],[UNIT]:[Column7]],10,FALSE),0)</f>
        <v>275000</v>
      </c>
      <c r="F19" s="43">
        <f t="shared" si="11"/>
        <v>1925000</v>
      </c>
      <c r="G19" s="42">
        <v>114.92052980132449</v>
      </c>
      <c r="H19" s="44">
        <f t="shared" si="1"/>
        <v>1321586.0927152317</v>
      </c>
      <c r="I19" s="42">
        <f t="shared" si="12"/>
        <v>16.417218543046356</v>
      </c>
      <c r="J19" s="45">
        <f t="shared" si="13"/>
        <v>3246586.0927152317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si="14"/>
        <v>KOMATSU PC 200 - 22</v>
      </c>
      <c r="O19" s="15" t="s">
        <v>56</v>
      </c>
    </row>
    <row r="20" spans="2:15" x14ac:dyDescent="0.3">
      <c r="B20" s="41">
        <f t="shared" si="10"/>
        <v>13</v>
      </c>
      <c r="C20" s="41" t="s">
        <v>199</v>
      </c>
      <c r="D20" s="42">
        <v>27</v>
      </c>
      <c r="E20" s="62">
        <f>IF(O20="K",VLOOKUP(M20,Table2[[#All],[UNIT]:[Column7]],10,FALSE),0)</f>
        <v>275000</v>
      </c>
      <c r="F20" s="43">
        <f t="shared" si="11"/>
        <v>7425000</v>
      </c>
      <c r="G20" s="42">
        <v>303.50892857142856</v>
      </c>
      <c r="H20" s="44">
        <f t="shared" si="1"/>
        <v>3490352.6785714282</v>
      </c>
      <c r="I20" s="42">
        <f t="shared" si="12"/>
        <v>11.241071428571429</v>
      </c>
      <c r="J20" s="45">
        <f t="shared" si="13"/>
        <v>10915352.678571429</v>
      </c>
      <c r="K20" s="36"/>
      <c r="L20" s="41" t="s">
        <v>257</v>
      </c>
      <c r="M20" s="41" t="str">
        <f>VLOOKUP(N20,'list rate unit'!O:P,2,FALSE)</f>
        <v>SK 200-8 SX</v>
      </c>
      <c r="N20" s="41" t="str">
        <f t="shared" si="14"/>
        <v>KOBELCO SK 200 - 13</v>
      </c>
      <c r="O20" s="15" t="s">
        <v>56</v>
      </c>
    </row>
    <row r="21" spans="2:15" x14ac:dyDescent="0.3">
      <c r="B21" s="41">
        <f t="shared" si="10"/>
        <v>14</v>
      </c>
      <c r="C21" s="41" t="s">
        <v>200</v>
      </c>
      <c r="D21" s="42">
        <v>9</v>
      </c>
      <c r="E21" s="62">
        <f>IF(O21="K",VLOOKUP(M21,Table2[[#All],[UNIT]:[Column7]],10,FALSE),0)</f>
        <v>275000</v>
      </c>
      <c r="F21" s="43">
        <f t="shared" si="11"/>
        <v>2475000</v>
      </c>
      <c r="G21" s="42">
        <v>90.142857142857139</v>
      </c>
      <c r="H21" s="44">
        <f t="shared" si="1"/>
        <v>1036642.857142857</v>
      </c>
      <c r="I21" s="42">
        <f t="shared" si="12"/>
        <v>10.015873015873016</v>
      </c>
      <c r="J21" s="45">
        <f t="shared" si="13"/>
        <v>3511642.8571428573</v>
      </c>
      <c r="K21" s="36"/>
      <c r="L21" s="41" t="s">
        <v>257</v>
      </c>
      <c r="M21" s="41" t="str">
        <f>VLOOKUP(N21,'list rate unit'!O:P,2,FALSE)</f>
        <v>SK 200-8 SX</v>
      </c>
      <c r="N21" s="41" t="str">
        <f t="shared" si="14"/>
        <v>KOBELCO SK 200 - 15</v>
      </c>
      <c r="O21" s="15" t="s">
        <v>56</v>
      </c>
    </row>
    <row r="22" spans="2:15" x14ac:dyDescent="0.3">
      <c r="B22" s="41">
        <f t="shared" si="10"/>
        <v>15</v>
      </c>
      <c r="C22" s="41" t="s">
        <v>207</v>
      </c>
      <c r="D22" s="42">
        <v>6</v>
      </c>
      <c r="E22" s="62">
        <f>IF(O22="K",VLOOKUP(M22,Table2[[#All],[UNIT]:[Column7]],10,FALSE),0)</f>
        <v>1424304.3667884208</v>
      </c>
      <c r="F22" s="43">
        <f t="shared" si="11"/>
        <v>8545826.200730525</v>
      </c>
      <c r="G22" s="42">
        <v>107.42068965517241</v>
      </c>
      <c r="H22" s="44">
        <f t="shared" si="1"/>
        <v>1235337.9310344828</v>
      </c>
      <c r="I22" s="42">
        <f t="shared" si="12"/>
        <v>17.903448275862068</v>
      </c>
      <c r="J22" s="45">
        <f t="shared" si="13"/>
        <v>9781164.131765008</v>
      </c>
      <c r="K22" s="36"/>
      <c r="L22" s="41" t="s">
        <v>257</v>
      </c>
      <c r="M22" s="41" t="str">
        <f>VLOOKUP(N22,'list rate unit'!O:P,2,FALSE)</f>
        <v>HM 400-3R</v>
      </c>
      <c r="N22" s="41" t="str">
        <f t="shared" si="14"/>
        <v>KOMATSU HM 400 - 11</v>
      </c>
      <c r="O22" s="15" t="s">
        <v>56</v>
      </c>
    </row>
    <row r="23" spans="2:15" x14ac:dyDescent="0.3">
      <c r="B23" s="41">
        <f t="shared" si="10"/>
        <v>16</v>
      </c>
      <c r="C23" s="41" t="s">
        <v>208</v>
      </c>
      <c r="D23" s="42">
        <v>22</v>
      </c>
      <c r="E23" s="62">
        <f>IF(O23="K",VLOOKUP(M23,Table2[[#All],[UNIT]:[Column7]],10,FALSE),0)</f>
        <v>1424304.3667884208</v>
      </c>
      <c r="F23" s="43">
        <f t="shared" si="11"/>
        <v>31334696.069345258</v>
      </c>
      <c r="G23" s="42">
        <v>460.42857142857139</v>
      </c>
      <c r="H23" s="44">
        <f t="shared" si="1"/>
        <v>5294928.5714285709</v>
      </c>
      <c r="I23" s="42">
        <f t="shared" si="12"/>
        <v>20.928571428571427</v>
      </c>
      <c r="J23" s="45">
        <f t="shared" si="13"/>
        <v>36629624.640773833</v>
      </c>
      <c r="K23" s="36"/>
      <c r="L23" s="41" t="s">
        <v>257</v>
      </c>
      <c r="M23" s="41" t="str">
        <f>VLOOKUP(N23,'list rate unit'!O:P,2,FALSE)</f>
        <v>HM 400-3R</v>
      </c>
      <c r="N23" s="41" t="str">
        <f t="shared" si="14"/>
        <v>KOMATSU HM 400 - 12</v>
      </c>
      <c r="O23" s="15" t="s">
        <v>56</v>
      </c>
    </row>
    <row r="24" spans="2:15" x14ac:dyDescent="0.3">
      <c r="B24" s="41">
        <f t="shared" si="10"/>
        <v>17</v>
      </c>
      <c r="C24" s="41" t="s">
        <v>209</v>
      </c>
      <c r="D24" s="42">
        <v>69</v>
      </c>
      <c r="E24" s="62">
        <f>IF(O24="K",VLOOKUP(M24,Table2[[#All],[UNIT]:[Column7]],10,FALSE),0)</f>
        <v>1424304.3667884208</v>
      </c>
      <c r="F24" s="43">
        <f t="shared" ref="F24:F37" si="15">D24*E24</f>
        <v>98277001.308401033</v>
      </c>
      <c r="G24" s="42">
        <v>1095.0705882352941</v>
      </c>
      <c r="H24" s="44">
        <f t="shared" ref="H24:H37" si="16">G24*$C$48</f>
        <v>12593311.764705881</v>
      </c>
      <c r="I24" s="42">
        <f t="shared" ref="I24:I37" si="17">IFERROR(G24/D24,0)</f>
        <v>15.870588235294116</v>
      </c>
      <c r="J24" s="45">
        <f t="shared" ref="J24:J37" si="18">F24+H24</f>
        <v>110870313.07310691</v>
      </c>
      <c r="K24" s="36"/>
      <c r="L24" s="41" t="s">
        <v>257</v>
      </c>
      <c r="M24" s="41" t="str">
        <f>VLOOKUP(N24,'list rate unit'!O:P,2,FALSE)</f>
        <v>HM 400-3R</v>
      </c>
      <c r="N24" s="41" t="str">
        <f t="shared" ref="N24:N37" si="19">C24</f>
        <v>KOMATSU HM 400 - 13</v>
      </c>
      <c r="O24" s="15" t="s">
        <v>56</v>
      </c>
    </row>
    <row r="25" spans="2:15" x14ac:dyDescent="0.3">
      <c r="B25" s="41">
        <f t="shared" si="10"/>
        <v>18</v>
      </c>
      <c r="C25" s="41" t="s">
        <v>210</v>
      </c>
      <c r="D25" s="42">
        <v>35</v>
      </c>
      <c r="E25" s="62">
        <f>IF(O25="K",VLOOKUP(M25,Table2[[#All],[UNIT]:[Column7]],10,FALSE),0)</f>
        <v>1424304.3667884208</v>
      </c>
      <c r="F25" s="43">
        <f t="shared" si="15"/>
        <v>49850652.837594733</v>
      </c>
      <c r="G25" s="42">
        <v>651.0546875</v>
      </c>
      <c r="H25" s="44">
        <f t="shared" si="16"/>
        <v>7487128.90625</v>
      </c>
      <c r="I25" s="42">
        <f t="shared" si="17"/>
        <v>18.6015625</v>
      </c>
      <c r="J25" s="45">
        <f t="shared" si="18"/>
        <v>57337781.743844733</v>
      </c>
      <c r="K25" s="36"/>
      <c r="L25" s="41" t="s">
        <v>257</v>
      </c>
      <c r="M25" s="41" t="str">
        <f>VLOOKUP(N25,'list rate unit'!O:P,2,FALSE)</f>
        <v>HM 400-3R</v>
      </c>
      <c r="N25" s="41" t="str">
        <f t="shared" si="19"/>
        <v>KOMATSU HM 400 - 14</v>
      </c>
      <c r="O25" s="15" t="s">
        <v>56</v>
      </c>
    </row>
    <row r="26" spans="2:15" x14ac:dyDescent="0.3">
      <c r="B26" s="41">
        <f t="shared" si="10"/>
        <v>19</v>
      </c>
      <c r="C26" s="41" t="s">
        <v>211</v>
      </c>
      <c r="D26" s="42">
        <v>82</v>
      </c>
      <c r="E26" s="62">
        <f>IF(O26="K",VLOOKUP(M26,Table2[[#All],[UNIT]:[Column7]],10,FALSE),0)</f>
        <v>1424304.3667884208</v>
      </c>
      <c r="F26" s="43">
        <f t="shared" si="15"/>
        <v>116792958.0766505</v>
      </c>
      <c r="G26" s="42">
        <v>1087.1612903225807</v>
      </c>
      <c r="H26" s="44">
        <f t="shared" si="16"/>
        <v>12502354.838709679</v>
      </c>
      <c r="I26" s="42">
        <f t="shared" si="17"/>
        <v>13.258064516129034</v>
      </c>
      <c r="J26" s="45">
        <f t="shared" si="18"/>
        <v>129295312.91536018</v>
      </c>
      <c r="K26" s="36"/>
      <c r="L26" s="41" t="s">
        <v>257</v>
      </c>
      <c r="M26" s="41" t="str">
        <f>VLOOKUP(N26,'list rate unit'!O:P,2,FALSE)</f>
        <v>HM 400-3R</v>
      </c>
      <c r="N26" s="41" t="str">
        <f t="shared" si="19"/>
        <v>KOMATSU HM 400 - 15</v>
      </c>
      <c r="O26" s="15" t="s">
        <v>56</v>
      </c>
    </row>
    <row r="27" spans="2:15" x14ac:dyDescent="0.3">
      <c r="B27" s="41">
        <f t="shared" si="10"/>
        <v>20</v>
      </c>
      <c r="C27" s="41" t="s">
        <v>212</v>
      </c>
      <c r="D27" s="42">
        <v>7</v>
      </c>
      <c r="E27" s="62">
        <f>IF(O27="K",VLOOKUP(M27,Table2[[#All],[UNIT]:[Column7]],10,FALSE),0)</f>
        <v>1424304.3667884208</v>
      </c>
      <c r="F27" s="43">
        <f t="shared" si="15"/>
        <v>9970130.5675189458</v>
      </c>
      <c r="G27" s="42">
        <v>137.73913043478262</v>
      </c>
      <c r="H27" s="44">
        <f t="shared" si="16"/>
        <v>1584000.0000000002</v>
      </c>
      <c r="I27" s="42">
        <f t="shared" si="17"/>
        <v>19.677018633540374</v>
      </c>
      <c r="J27" s="45">
        <f t="shared" si="18"/>
        <v>11554130.567518946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19"/>
        <v>KOMATSU HM 400 - 16</v>
      </c>
      <c r="O27" s="15" t="s">
        <v>56</v>
      </c>
    </row>
    <row r="28" spans="2:15" x14ac:dyDescent="0.3">
      <c r="B28" s="41">
        <f t="shared" si="10"/>
        <v>21</v>
      </c>
      <c r="C28" s="41" t="s">
        <v>213</v>
      </c>
      <c r="D28" s="42">
        <v>18</v>
      </c>
      <c r="E28" s="62">
        <f>IF(O28="K",VLOOKUP(M28,Table2[[#All],[UNIT]:[Column7]],10,FALSE),0)</f>
        <v>1424304.3667884208</v>
      </c>
      <c r="F28" s="43">
        <f t="shared" si="15"/>
        <v>25637478.602191575</v>
      </c>
      <c r="G28" s="42">
        <v>284.5263157894737</v>
      </c>
      <c r="H28" s="44">
        <f t="shared" si="16"/>
        <v>3272052.6315789474</v>
      </c>
      <c r="I28" s="42">
        <f t="shared" si="17"/>
        <v>15.807017543859651</v>
      </c>
      <c r="J28" s="45">
        <f t="shared" si="18"/>
        <v>28909531.233770523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9"/>
        <v>KOMATSU HM 400 - 17</v>
      </c>
      <c r="O28" s="15" t="s">
        <v>56</v>
      </c>
    </row>
    <row r="29" spans="2:15" x14ac:dyDescent="0.3">
      <c r="B29" s="41">
        <f t="shared" si="10"/>
        <v>22</v>
      </c>
      <c r="C29" s="41" t="s">
        <v>214</v>
      </c>
      <c r="D29" s="42">
        <v>85</v>
      </c>
      <c r="E29" s="62">
        <f>IF(O29="K",VLOOKUP(M29,Table2[[#All],[UNIT]:[Column7]],10,FALSE),0)</f>
        <v>1424304.3667884208</v>
      </c>
      <c r="F29" s="43">
        <f t="shared" si="15"/>
        <v>121065871.17701577</v>
      </c>
      <c r="G29" s="42">
        <v>1279.6850393700788</v>
      </c>
      <c r="H29" s="44">
        <f t="shared" si="16"/>
        <v>14716377.952755906</v>
      </c>
      <c r="I29" s="42">
        <f t="shared" si="17"/>
        <v>15.055118110236222</v>
      </c>
      <c r="J29" s="45">
        <f t="shared" si="18"/>
        <v>135782249.12977168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9"/>
        <v>KOMATSU HM 400 - 18</v>
      </c>
      <c r="O29" s="15" t="s">
        <v>56</v>
      </c>
    </row>
    <row r="30" spans="2:15" x14ac:dyDescent="0.3">
      <c r="B30" s="41">
        <f t="shared" si="10"/>
        <v>23</v>
      </c>
      <c r="C30" s="41" t="s">
        <v>215</v>
      </c>
      <c r="D30" s="42">
        <v>25</v>
      </c>
      <c r="E30" s="62">
        <f>IF(O30="K",VLOOKUP(M30,Table2[[#All],[UNIT]:[Column7]],10,FALSE),0)</f>
        <v>1424304.3667884208</v>
      </c>
      <c r="F30" s="43">
        <f t="shared" si="15"/>
        <v>35607609.169710517</v>
      </c>
      <c r="G30" s="42">
        <v>373.24561403508773</v>
      </c>
      <c r="H30" s="44">
        <f t="shared" si="16"/>
        <v>4292324.5614035092</v>
      </c>
      <c r="I30" s="42">
        <f t="shared" si="17"/>
        <v>14.929824561403509</v>
      </c>
      <c r="J30" s="45">
        <f t="shared" si="18"/>
        <v>39899933.73111403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si="19"/>
        <v>KOMATSU HM 400 - 19</v>
      </c>
      <c r="O30" s="15" t="s">
        <v>56</v>
      </c>
    </row>
    <row r="31" spans="2:15" x14ac:dyDescent="0.3">
      <c r="B31" s="41">
        <f t="shared" si="10"/>
        <v>24</v>
      </c>
      <c r="C31" s="41" t="s">
        <v>216</v>
      </c>
      <c r="D31" s="42">
        <v>20</v>
      </c>
      <c r="E31" s="62">
        <f>IF(O31="K",VLOOKUP(M31,Table2[[#All],[UNIT]:[Column7]],10,FALSE),0)</f>
        <v>1424304.3667884208</v>
      </c>
      <c r="F31" s="43">
        <f t="shared" si="15"/>
        <v>28486087.335768417</v>
      </c>
      <c r="G31" s="42">
        <v>310.48387096774195</v>
      </c>
      <c r="H31" s="44">
        <f t="shared" si="16"/>
        <v>3570564.5161290322</v>
      </c>
      <c r="I31" s="42">
        <f t="shared" si="17"/>
        <v>15.524193548387098</v>
      </c>
      <c r="J31" s="45">
        <f t="shared" si="18"/>
        <v>32056651.851897448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19"/>
        <v>KOMATSU HM 400 - 20</v>
      </c>
      <c r="O31" s="15" t="s">
        <v>56</v>
      </c>
    </row>
    <row r="32" spans="2:15" x14ac:dyDescent="0.3">
      <c r="B32" s="41">
        <f t="shared" si="10"/>
        <v>25</v>
      </c>
      <c r="C32" s="41" t="s">
        <v>217</v>
      </c>
      <c r="D32" s="42">
        <v>23</v>
      </c>
      <c r="E32" s="62">
        <f>IF(O32="K",VLOOKUP(M32,Table2[[#All],[UNIT]:[Column7]],10,FALSE),0)</f>
        <v>1424304.3667884208</v>
      </c>
      <c r="F32" s="43">
        <f t="shared" si="15"/>
        <v>32759000.436133679</v>
      </c>
      <c r="G32" s="42">
        <v>405.19753086419757</v>
      </c>
      <c r="H32" s="44">
        <f t="shared" si="16"/>
        <v>4659771.6049382724</v>
      </c>
      <c r="I32" s="42">
        <f t="shared" si="17"/>
        <v>17.617283950617285</v>
      </c>
      <c r="J32" s="45">
        <f t="shared" si="18"/>
        <v>37418772.041071951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19"/>
        <v>KOMATSU HM 400 - 21</v>
      </c>
      <c r="O32" s="15" t="s">
        <v>56</v>
      </c>
    </row>
    <row r="33" spans="2:15" x14ac:dyDescent="0.3">
      <c r="B33" s="41">
        <f t="shared" si="10"/>
        <v>26</v>
      </c>
      <c r="C33" s="41" t="s">
        <v>218</v>
      </c>
      <c r="D33" s="42">
        <v>67.3</v>
      </c>
      <c r="E33" s="62">
        <f>IF(O33="K",VLOOKUP(M33,Table2[[#All],[UNIT]:[Column7]],10,FALSE),0)</f>
        <v>1424304.3667884208</v>
      </c>
      <c r="F33" s="43">
        <f t="shared" ref="F33:F36" si="20">D33*E33</f>
        <v>95855683.884860724</v>
      </c>
      <c r="G33" s="42">
        <v>1245.4670580560989</v>
      </c>
      <c r="H33" s="44">
        <f t="shared" ref="H33:H36" si="21">G33*$C$48</f>
        <v>14322871.167645138</v>
      </c>
      <c r="I33" s="42">
        <f t="shared" ref="I33:I36" si="22">IFERROR(G33/D33,0)</f>
        <v>18.506196999347683</v>
      </c>
      <c r="J33" s="45">
        <f t="shared" ref="J33:J36" si="23">F33+H33</f>
        <v>110178555.05250587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ref="N33:N36" si="24">C33</f>
        <v>KOMATSU HM 400 - 22</v>
      </c>
      <c r="O33" s="15" t="s">
        <v>56</v>
      </c>
    </row>
    <row r="34" spans="2:15" x14ac:dyDescent="0.3">
      <c r="B34" s="41">
        <f t="shared" si="10"/>
        <v>27</v>
      </c>
      <c r="C34" s="41" t="s">
        <v>239</v>
      </c>
      <c r="D34" s="42">
        <v>131</v>
      </c>
      <c r="E34" s="62">
        <f>IF(O34="K",VLOOKUP(M34,Table2[[#All],[UNIT]:[Column7]],10,FALSE),0)</f>
        <v>1424304.3667884208</v>
      </c>
      <c r="F34" s="43">
        <f t="shared" si="20"/>
        <v>186583872.04928312</v>
      </c>
      <c r="G34" s="42">
        <v>1798.5723270440253</v>
      </c>
      <c r="H34" s="44">
        <f t="shared" si="21"/>
        <v>20683581.761006292</v>
      </c>
      <c r="I34" s="42">
        <f t="shared" si="22"/>
        <v>13.729559748427674</v>
      </c>
      <c r="J34" s="45">
        <f t="shared" si="23"/>
        <v>207267453.81028941</v>
      </c>
      <c r="K34" s="36"/>
      <c r="L34" s="41" t="s">
        <v>257</v>
      </c>
      <c r="M34" s="41" t="str">
        <f>VLOOKUP(N34,'list rate unit'!O:P,2,FALSE)</f>
        <v>HM 400-3R</v>
      </c>
      <c r="N34" s="41" t="str">
        <f t="shared" si="24"/>
        <v>KOMATSU HM 400 - 23</v>
      </c>
      <c r="O34" s="15" t="s">
        <v>56</v>
      </c>
    </row>
    <row r="35" spans="2:15" x14ac:dyDescent="0.3">
      <c r="B35" s="41">
        <f t="shared" si="10"/>
        <v>28</v>
      </c>
      <c r="C35" s="41" t="s">
        <v>241</v>
      </c>
      <c r="D35" s="42">
        <v>34</v>
      </c>
      <c r="E35" s="62">
        <f>IF(O35="K",VLOOKUP(M35,Table2[[#All],[UNIT]:[Column7]],10,FALSE),0)</f>
        <v>1424304.3667884208</v>
      </c>
      <c r="F35" s="43">
        <f t="shared" si="20"/>
        <v>48426348.470806308</v>
      </c>
      <c r="G35" s="42">
        <v>657.65714285714284</v>
      </c>
      <c r="H35" s="44">
        <f t="shared" si="21"/>
        <v>7563057.1428571427</v>
      </c>
      <c r="I35" s="42">
        <f t="shared" si="22"/>
        <v>19.342857142857142</v>
      </c>
      <c r="J35" s="45">
        <f t="shared" si="23"/>
        <v>55989405.61366345</v>
      </c>
      <c r="K35" s="36"/>
      <c r="L35" s="41" t="s">
        <v>257</v>
      </c>
      <c r="M35" s="41" t="str">
        <f>VLOOKUP(N35,'list rate unit'!O:P,2,FALSE)</f>
        <v>HM 400-3R</v>
      </c>
      <c r="N35" s="41" t="str">
        <f t="shared" si="24"/>
        <v>KOMATSU HM 400 - 25</v>
      </c>
      <c r="O35" s="15" t="s">
        <v>56</v>
      </c>
    </row>
    <row r="36" spans="2:15" x14ac:dyDescent="0.3">
      <c r="B36" s="41">
        <f t="shared" si="10"/>
        <v>29</v>
      </c>
      <c r="C36" s="41" t="s">
        <v>220</v>
      </c>
      <c r="D36" s="42">
        <v>6</v>
      </c>
      <c r="E36" s="62">
        <f>IF(O36="K",VLOOKUP(M36,Table2[[#All],[UNIT]:[Column7]],10,FALSE),0)</f>
        <v>425000</v>
      </c>
      <c r="F36" s="43">
        <f t="shared" si="20"/>
        <v>2550000</v>
      </c>
      <c r="G36" s="42">
        <v>93.393103448275866</v>
      </c>
      <c r="H36" s="44">
        <f t="shared" si="21"/>
        <v>1074020.6896551724</v>
      </c>
      <c r="I36" s="42">
        <f t="shared" si="22"/>
        <v>15.565517241379311</v>
      </c>
      <c r="J36" s="45">
        <f t="shared" si="23"/>
        <v>3624020.6896551726</v>
      </c>
      <c r="K36" s="36"/>
      <c r="L36" s="41" t="s">
        <v>257</v>
      </c>
      <c r="M36" s="41" t="str">
        <f>VLOOKUP(N36,'list rate unit'!O:P,2,FALSE)</f>
        <v>D 65 P-12</v>
      </c>
      <c r="N36" s="41" t="str">
        <f t="shared" si="24"/>
        <v>KOMATSU DOZER D65 - 13</v>
      </c>
      <c r="O36" s="15" t="s">
        <v>56</v>
      </c>
    </row>
    <row r="37" spans="2:15" x14ac:dyDescent="0.3">
      <c r="B37" s="41">
        <f t="shared" si="10"/>
        <v>30</v>
      </c>
      <c r="C37" s="41" t="s">
        <v>309</v>
      </c>
      <c r="D37" s="42">
        <v>18</v>
      </c>
      <c r="E37" s="62">
        <f>IF(O37="K",VLOOKUP(M37,Table2[[#All],[UNIT]:[Column7]],10,FALSE),0)</f>
        <v>425000</v>
      </c>
      <c r="F37" s="43">
        <f t="shared" si="15"/>
        <v>7650000</v>
      </c>
      <c r="G37" s="42">
        <v>277.92</v>
      </c>
      <c r="H37" s="44">
        <f t="shared" si="16"/>
        <v>3196080</v>
      </c>
      <c r="I37" s="42">
        <f t="shared" si="17"/>
        <v>15.440000000000001</v>
      </c>
      <c r="J37" s="45">
        <f t="shared" si="18"/>
        <v>10846080</v>
      </c>
      <c r="K37" s="36"/>
      <c r="L37" s="41" t="s">
        <v>257</v>
      </c>
      <c r="M37" s="41" t="str">
        <f>VLOOKUP(N37,'list rate unit'!O:P,2,FALSE)</f>
        <v>D 85 ESS-2</v>
      </c>
      <c r="N37" s="41" t="str">
        <f t="shared" si="19"/>
        <v>KOMATSU DOZER D85SS - 06</v>
      </c>
      <c r="O37" s="15" t="s">
        <v>56</v>
      </c>
    </row>
    <row r="38" spans="2:15" x14ac:dyDescent="0.3">
      <c r="B38" s="41">
        <f t="shared" si="10"/>
        <v>31</v>
      </c>
      <c r="C38" s="41" t="s">
        <v>347</v>
      </c>
      <c r="D38" s="42">
        <v>13</v>
      </c>
      <c r="E38" s="62">
        <f>IF(O38="K",VLOOKUP(M38,Table2[[#All],[UNIT]:[Column7]],10,FALSE),0)</f>
        <v>425000</v>
      </c>
      <c r="F38" s="43">
        <f t="shared" si="11"/>
        <v>5525000</v>
      </c>
      <c r="G38" s="42">
        <v>160.0181818181818</v>
      </c>
      <c r="H38" s="44">
        <f t="shared" ref="H38:H43" si="25">G38*$C$48</f>
        <v>1840209.0909090908</v>
      </c>
      <c r="I38" s="42">
        <f t="shared" si="12"/>
        <v>12.309090909090909</v>
      </c>
      <c r="J38" s="45">
        <f t="shared" si="13"/>
        <v>7365209.0909090908</v>
      </c>
      <c r="K38" s="36"/>
      <c r="L38" s="41" t="s">
        <v>257</v>
      </c>
      <c r="M38" s="41" t="str">
        <f>VLOOKUP(N38,'list rate unit'!O:P,2,FALSE)</f>
        <v>D 85 ESS-2</v>
      </c>
      <c r="N38" s="41" t="str">
        <f t="shared" si="14"/>
        <v>KOMATSU DOZER D85SS - 10</v>
      </c>
      <c r="O38" s="15" t="s">
        <v>56</v>
      </c>
    </row>
    <row r="39" spans="2:15" x14ac:dyDescent="0.3">
      <c r="B39" s="41">
        <f t="shared" ref="B39:B43" si="26">ROW(B39)-7</f>
        <v>32</v>
      </c>
      <c r="C39" s="41" t="s">
        <v>255</v>
      </c>
      <c r="D39" s="42">
        <v>19</v>
      </c>
      <c r="E39" s="62">
        <f>IF(O39="K",VLOOKUP(M39,Table2[[#All],[UNIT]:[Column7]],10,FALSE),0)</f>
        <v>425000</v>
      </c>
      <c r="F39" s="43">
        <f t="shared" ref="F39:F42" si="27">D39*E39</f>
        <v>8075000</v>
      </c>
      <c r="G39" s="42">
        <v>1356.6730769230771</v>
      </c>
      <c r="H39" s="44">
        <f t="shared" si="25"/>
        <v>15601740.384615388</v>
      </c>
      <c r="I39" s="42">
        <f t="shared" ref="I39:I42" si="28">IFERROR(G39/D39,0)</f>
        <v>71.40384615384616</v>
      </c>
      <c r="J39" s="45">
        <f t="shared" ref="J39:J42" si="29">F39+H39</f>
        <v>23676740.384615388</v>
      </c>
      <c r="K39" s="36"/>
      <c r="L39" s="41" t="s">
        <v>257</v>
      </c>
      <c r="M39" s="41" t="str">
        <f>VLOOKUP(N39,'list rate unit'!O:P,2,FALSE)</f>
        <v>D 85 ESS-2</v>
      </c>
      <c r="N39" s="41" t="str">
        <f t="shared" ref="N39:N42" si="30">C39</f>
        <v>KOMATSU DOZER D85SS - 17</v>
      </c>
      <c r="O39" s="15" t="s">
        <v>56</v>
      </c>
    </row>
    <row r="40" spans="2:15" x14ac:dyDescent="0.3">
      <c r="B40" s="41">
        <f t="shared" si="26"/>
        <v>33</v>
      </c>
      <c r="C40" s="41" t="s">
        <v>224</v>
      </c>
      <c r="D40" s="42">
        <v>98</v>
      </c>
      <c r="E40" s="62">
        <f>IF(O40="K",VLOOKUP(M40,Table2[[#All],[UNIT]:[Column7]],10,FALSE),0)</f>
        <v>425000</v>
      </c>
      <c r="F40" s="43">
        <f t="shared" si="27"/>
        <v>41650000</v>
      </c>
      <c r="G40" s="42">
        <v>1413.6089385474861</v>
      </c>
      <c r="H40" s="44">
        <f t="shared" si="25"/>
        <v>16256502.793296089</v>
      </c>
      <c r="I40" s="42">
        <f t="shared" si="28"/>
        <v>14.424581005586592</v>
      </c>
      <c r="J40" s="45">
        <f t="shared" si="29"/>
        <v>57906502.793296091</v>
      </c>
      <c r="K40" s="36"/>
      <c r="L40" s="41" t="s">
        <v>257</v>
      </c>
      <c r="M40" s="41" t="str">
        <f>VLOOKUP(N40,'list rate unit'!O:P,2,FALSE)</f>
        <v>D 85 ESS-2</v>
      </c>
      <c r="N40" s="41" t="str">
        <f t="shared" si="30"/>
        <v>KOMATSU DOZER D85SS - 18</v>
      </c>
      <c r="O40" s="15" t="s">
        <v>56</v>
      </c>
    </row>
    <row r="41" spans="2:15" x14ac:dyDescent="0.3">
      <c r="B41" s="41">
        <f t="shared" si="26"/>
        <v>34</v>
      </c>
      <c r="C41" s="41" t="s">
        <v>243</v>
      </c>
      <c r="D41" s="42">
        <v>17</v>
      </c>
      <c r="E41" s="62">
        <f>IF(O41="K",VLOOKUP(M41,Table2[[#All],[UNIT]:[Column7]],10,FALSE),0)</f>
        <v>425000</v>
      </c>
      <c r="F41" s="43">
        <f t="shared" si="27"/>
        <v>7225000</v>
      </c>
      <c r="G41" s="42">
        <v>413.1894736842105</v>
      </c>
      <c r="H41" s="44">
        <f t="shared" si="25"/>
        <v>4751678.9473684207</v>
      </c>
      <c r="I41" s="42">
        <f t="shared" si="28"/>
        <v>24.305263157894736</v>
      </c>
      <c r="J41" s="45">
        <f t="shared" si="29"/>
        <v>11976678.947368421</v>
      </c>
      <c r="K41" s="36"/>
      <c r="L41" s="41" t="s">
        <v>257</v>
      </c>
      <c r="M41" s="41" t="str">
        <f>VLOOKUP(N41,'list rate unit'!O:P,2,FALSE)</f>
        <v>D 85 ESS-2</v>
      </c>
      <c r="N41" s="41" t="str">
        <f t="shared" si="30"/>
        <v>KOMATSU DOZER D85SS - 20</v>
      </c>
      <c r="O41" s="15" t="s">
        <v>56</v>
      </c>
    </row>
    <row r="42" spans="2:15" x14ac:dyDescent="0.3">
      <c r="B42" s="41">
        <f t="shared" si="26"/>
        <v>35</v>
      </c>
      <c r="C42" s="41" t="s">
        <v>275</v>
      </c>
      <c r="D42" s="42">
        <v>100</v>
      </c>
      <c r="E42" s="62">
        <f>IF(O42="K",VLOOKUP(M42,Table2[[#All],[UNIT]:[Column7]],10,FALSE),0)</f>
        <v>220000</v>
      </c>
      <c r="F42" s="43">
        <f t="shared" si="27"/>
        <v>22000000</v>
      </c>
      <c r="G42" s="42">
        <v>595.77464788732391</v>
      </c>
      <c r="H42" s="44">
        <f t="shared" si="25"/>
        <v>6851408.4507042253</v>
      </c>
      <c r="I42" s="42">
        <f t="shared" si="28"/>
        <v>5.957746478873239</v>
      </c>
      <c r="J42" s="45">
        <f t="shared" si="29"/>
        <v>28851408.450704224</v>
      </c>
      <c r="K42" s="36"/>
      <c r="L42" s="41" t="s">
        <v>257</v>
      </c>
      <c r="M42" s="41" t="str">
        <f>VLOOKUP(N42,'list rate unit'!O:P,2,FALSE)</f>
        <v>SV 525 D</v>
      </c>
      <c r="N42" s="41" t="str">
        <f t="shared" si="30"/>
        <v>SAKAI - 02</v>
      </c>
      <c r="O42" s="15" t="s">
        <v>56</v>
      </c>
    </row>
    <row r="43" spans="2:15" x14ac:dyDescent="0.3">
      <c r="B43" s="41">
        <f t="shared" si="26"/>
        <v>36</v>
      </c>
      <c r="C43" s="41" t="s">
        <v>342</v>
      </c>
      <c r="D43" s="42">
        <v>8</v>
      </c>
      <c r="E43" s="62">
        <f>IF(O43="K",VLOOKUP(M43,Table2[[#All],[UNIT]:[Column7]],10,FALSE),0)</f>
        <v>766205.76574775728</v>
      </c>
      <c r="F43" s="43">
        <f t="shared" si="6"/>
        <v>6129646.1259820582</v>
      </c>
      <c r="G43" s="42">
        <v>75.5</v>
      </c>
      <c r="H43" s="44">
        <f t="shared" si="25"/>
        <v>868250</v>
      </c>
      <c r="I43" s="42">
        <f t="shared" si="7"/>
        <v>9.4375</v>
      </c>
      <c r="J43" s="45">
        <f t="shared" si="8"/>
        <v>6997896.1259820582</v>
      </c>
      <c r="K43" s="36"/>
      <c r="L43" s="41" t="s">
        <v>257</v>
      </c>
      <c r="M43" s="41" t="str">
        <f>VLOOKUP(N43,'list rate unit'!O:P,2,FALSE)</f>
        <v>WA 380-3</v>
      </c>
      <c r="N43" s="41" t="str">
        <f t="shared" si="9"/>
        <v>LOADER - 02</v>
      </c>
      <c r="O43" s="15" t="s">
        <v>56</v>
      </c>
    </row>
    <row r="44" spans="2:15" x14ac:dyDescent="0.3">
      <c r="D44" s="18"/>
      <c r="F44" s="32"/>
      <c r="G44" s="18"/>
      <c r="H44" s="30"/>
      <c r="I44" s="18"/>
      <c r="J44" s="33"/>
      <c r="K44" s="18"/>
    </row>
    <row r="45" spans="2:15" s="1" customFormat="1" ht="15.75" customHeight="1" x14ac:dyDescent="0.3">
      <c r="B45" s="249" t="s">
        <v>21</v>
      </c>
      <c r="C45" s="249"/>
      <c r="D45" s="46">
        <f>SUM(D8:D44)</f>
        <v>1355.6</v>
      </c>
      <c r="E45" s="63">
        <f>AVERAGE(E8:E44)</f>
        <v>840318.52502182359</v>
      </c>
      <c r="F45" s="47">
        <f>SUM(F8:F44)</f>
        <v>1244097862.3119931</v>
      </c>
      <c r="G45" s="46">
        <f>SUM(G8:G44)</f>
        <v>24996.203886973006</v>
      </c>
      <c r="H45" s="47">
        <f>SUM(H8:H44)</f>
        <v>287456344.70018959</v>
      </c>
      <c r="I45" s="46">
        <f t="shared" ref="I45" si="31">IFERROR(G45/D45,0)</f>
        <v>18.439217975046478</v>
      </c>
      <c r="J45" s="48">
        <f>SUM(J8:J44)</f>
        <v>1531554207.0121827</v>
      </c>
      <c r="K45" s="37"/>
    </row>
    <row r="47" spans="2:15" x14ac:dyDescent="0.3">
      <c r="B47" s="35" t="s">
        <v>34</v>
      </c>
      <c r="C47" s="29">
        <f>'SUMMARY 2'!I28</f>
        <v>14848</v>
      </c>
    </row>
    <row r="48" spans="2:15" x14ac:dyDescent="0.3">
      <c r="B48" s="35" t="s">
        <v>35</v>
      </c>
      <c r="C48" s="29">
        <f>'SUMMARY 2'!I13</f>
        <v>11500</v>
      </c>
      <c r="F48" s="30"/>
      <c r="G48" s="18"/>
    </row>
    <row r="50" spans="6:6" x14ac:dyDescent="0.3">
      <c r="F50" s="18"/>
    </row>
  </sheetData>
  <autoFilter ref="B7:O43" xr:uid="{00000000-0009-0000-0000-000003000000}"/>
  <mergeCells count="13">
    <mergeCell ref="B45:C45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G18" sqref="G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6" t="s">
        <v>288</v>
      </c>
      <c r="C2" s="246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6"/>
      <c r="C3" s="246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50" t="s">
        <v>36</v>
      </c>
      <c r="E5" s="250"/>
      <c r="F5" s="250"/>
      <c r="G5" s="251" t="s">
        <v>37</v>
      </c>
      <c r="H5" s="251"/>
      <c r="I5" s="247" t="s">
        <v>54</v>
      </c>
      <c r="J5" s="248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48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48"/>
      <c r="K7" s="31"/>
      <c r="L7" s="247"/>
      <c r="M7" s="247"/>
      <c r="N7" s="247"/>
    </row>
    <row r="8" spans="2:15" x14ac:dyDescent="0.3">
      <c r="B8" s="41">
        <f>ROW(B8)-7</f>
        <v>1</v>
      </c>
      <c r="C8" s="41" t="s">
        <v>265</v>
      </c>
      <c r="D8" s="42"/>
      <c r="E8" s="62">
        <f>IF(O8="K",VLOOKUP(M8,Table2[[#All],[UNIT]:[Column7]],10,FALSE),0)</f>
        <v>275000</v>
      </c>
      <c r="F8" s="43">
        <f>D8*E8</f>
        <v>0</v>
      </c>
      <c r="G8" s="42"/>
      <c r="H8" s="44">
        <f>G8*$C$14</f>
        <v>0</v>
      </c>
      <c r="I8" s="42">
        <f t="shared" ref="I8" si="0">IFERROR(G8/D8,0)</f>
        <v>0</v>
      </c>
      <c r="J8" s="45">
        <f>F8+H8</f>
        <v>0</v>
      </c>
      <c r="K8" s="36"/>
      <c r="L8" s="41" t="s">
        <v>257</v>
      </c>
      <c r="M8" s="41" t="str">
        <f>VLOOKUP(N8,'list rate unit'!O:P,2,FALSE)</f>
        <v>PC 200-8 MO</v>
      </c>
      <c r="N8" s="41" t="str">
        <f>C8</f>
        <v>KOMATSU PC 200 - 14</v>
      </c>
      <c r="O8" s="15" t="s">
        <v>56</v>
      </c>
    </row>
    <row r="9" spans="2:15" x14ac:dyDescent="0.3">
      <c r="B9" s="41">
        <f>ROW(B9)-7</f>
        <v>2</v>
      </c>
      <c r="C9" s="41" t="s">
        <v>255</v>
      </c>
      <c r="D9" s="42"/>
      <c r="E9" s="62">
        <f>IF(O9="K",VLOOKUP(M9,Table2[[#All],[UNIT]:[Column7]],10,FALSE),0)</f>
        <v>425000</v>
      </c>
      <c r="F9" s="43">
        <f>D9*E9</f>
        <v>0</v>
      </c>
      <c r="G9" s="42"/>
      <c r="H9" s="44">
        <f>G9*$C$14</f>
        <v>0</v>
      </c>
      <c r="I9" s="42">
        <f t="shared" ref="I9" si="1">IFERROR(G9/D9,0)</f>
        <v>0</v>
      </c>
      <c r="J9" s="45">
        <f>F9+H9</f>
        <v>0</v>
      </c>
      <c r="K9" s="36"/>
      <c r="L9" s="41" t="s">
        <v>257</v>
      </c>
      <c r="M9" s="41" t="str">
        <f>VLOOKUP(N9,'list rate unit'!O:P,2,FALSE)</f>
        <v>D 85 ESS-2</v>
      </c>
      <c r="N9" s="41" t="str">
        <f>C9</f>
        <v>KOMATSU DOZER D85SS - 17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49" t="s">
        <v>21</v>
      </c>
      <c r="C11" s="249"/>
      <c r="D11" s="46">
        <f>SUM(D8:D9)</f>
        <v>0</v>
      </c>
      <c r="E11" s="63">
        <f>AVERAGE(E8:E9)</f>
        <v>350000</v>
      </c>
      <c r="F11" s="47">
        <f>SUM(F8:F9)</f>
        <v>0</v>
      </c>
      <c r="G11" s="46">
        <f>SUM(G8:G9)</f>
        <v>0</v>
      </c>
      <c r="H11" s="47">
        <f>SUM(H8:H9)</f>
        <v>0</v>
      </c>
      <c r="I11" s="46">
        <f t="shared" ref="I11" si="2">IFERROR(G11/D11,0)</f>
        <v>0</v>
      </c>
      <c r="J11" s="48">
        <f>SUM(J8:J9)</f>
        <v>0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B11:C11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6"/>
  <sheetViews>
    <sheetView zoomScaleNormal="100" workbookViewId="0">
      <pane xSplit="3" ySplit="7" topLeftCell="D14" activePane="bottomRight" state="frozenSplit"/>
      <selection activeCell="B47" sqref="B47"/>
      <selection pane="topRight" activeCell="B47" sqref="B47"/>
      <selection pane="bottomLeft" activeCell="B47" sqref="B47"/>
      <selection pane="bottomRight" activeCell="H35" sqref="H3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46" t="s">
        <v>170</v>
      </c>
      <c r="C2" s="246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46"/>
      <c r="C3" s="246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50" t="s">
        <v>36</v>
      </c>
      <c r="E5" s="250"/>
      <c r="F5" s="250"/>
      <c r="G5" s="251" t="s">
        <v>37</v>
      </c>
      <c r="H5" s="251"/>
      <c r="I5" s="247" t="s">
        <v>54</v>
      </c>
      <c r="J5" s="248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48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48"/>
      <c r="K7" s="31"/>
      <c r="L7" s="247"/>
      <c r="M7" s="247"/>
      <c r="N7" s="247"/>
    </row>
    <row r="8" spans="2:15" x14ac:dyDescent="0.3">
      <c r="B8" s="41">
        <f t="shared" ref="B8:B17" si="0">ROW(B8)-7</f>
        <v>1</v>
      </c>
      <c r="C8" s="41" t="s">
        <v>186</v>
      </c>
      <c r="D8" s="42">
        <v>6</v>
      </c>
      <c r="E8" s="62">
        <f>IF(O8="K",VLOOKUP(M8,Table2[[#All],[UNIT]:[Column7]],10,FALSE),0)</f>
        <v>1000000</v>
      </c>
      <c r="F8" s="43">
        <f>D8*E8</f>
        <v>6000000</v>
      </c>
      <c r="G8" s="42">
        <v>170.39723661485323</v>
      </c>
      <c r="H8" s="44">
        <f>G8*$C$34</f>
        <v>1959568.2210708121</v>
      </c>
      <c r="I8" s="42">
        <f t="shared" ref="I8:I29" si="1">IFERROR(G8/D8,0)</f>
        <v>28.399539435808872</v>
      </c>
      <c r="J8" s="45">
        <f>F8+H8</f>
        <v>7959568.2210708121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si="0"/>
        <v>2</v>
      </c>
      <c r="C9" s="41" t="s">
        <v>340</v>
      </c>
      <c r="D9" s="42">
        <v>12</v>
      </c>
      <c r="E9" s="62">
        <f>IF(O9="K",VLOOKUP(M9,Table2[[#All],[UNIT]:[Column7]],10,FALSE),0)</f>
        <v>950000</v>
      </c>
      <c r="F9" s="43">
        <f t="shared" ref="F9:F28" si="2">D9*E9</f>
        <v>11400000</v>
      </c>
      <c r="G9" s="42">
        <v>214.64150943396226</v>
      </c>
      <c r="H9" s="44">
        <f>G9*$C$34</f>
        <v>2468377.3584905658</v>
      </c>
      <c r="I9" s="42">
        <f t="shared" si="1"/>
        <v>17.886792452830189</v>
      </c>
      <c r="J9" s="45">
        <f t="shared" ref="J9:J28" si="3">F9+H9</f>
        <v>13868377.358490566</v>
      </c>
      <c r="K9" s="36"/>
      <c r="L9" s="41" t="s">
        <v>257</v>
      </c>
      <c r="M9" s="41" t="str">
        <f>VLOOKUP(N9,'list rate unit'!O:P,2,FALSE)</f>
        <v>PC 400 LC SE-8</v>
      </c>
      <c r="N9" s="41" t="str">
        <f t="shared" ref="N9:N28" si="4">C9</f>
        <v>KOMATSU PC 400 - 02</v>
      </c>
      <c r="O9" s="15" t="s">
        <v>56</v>
      </c>
    </row>
    <row r="10" spans="2:15" x14ac:dyDescent="0.3">
      <c r="B10" s="41">
        <f t="shared" si="0"/>
        <v>3</v>
      </c>
      <c r="C10" s="41" t="s">
        <v>329</v>
      </c>
      <c r="D10" s="42">
        <v>3</v>
      </c>
      <c r="E10" s="62">
        <f>IF(O10="K",VLOOKUP(M10,Table2[[#All],[UNIT]:[Column7]],10,FALSE),0)</f>
        <v>400000</v>
      </c>
      <c r="F10" s="43">
        <f t="shared" si="2"/>
        <v>1200000</v>
      </c>
      <c r="G10" s="42">
        <v>76.5</v>
      </c>
      <c r="H10" s="44">
        <f>G10*$C$34</f>
        <v>879750</v>
      </c>
      <c r="I10" s="42">
        <f t="shared" si="1"/>
        <v>25.5</v>
      </c>
      <c r="J10" s="45">
        <f t="shared" si="3"/>
        <v>2079750</v>
      </c>
      <c r="K10" s="36"/>
      <c r="L10" s="41" t="s">
        <v>257</v>
      </c>
      <c r="M10" s="41" t="str">
        <f>VLOOKUP(N10,'list rate unit'!O:P,2,FALSE)</f>
        <v>PC 300 SE-8</v>
      </c>
      <c r="N10" s="41" t="str">
        <f t="shared" si="4"/>
        <v>KOMATSU PC 300 - 07</v>
      </c>
      <c r="O10" s="15" t="s">
        <v>56</v>
      </c>
    </row>
    <row r="11" spans="2:15" x14ac:dyDescent="0.3">
      <c r="B11" s="41">
        <f t="shared" si="0"/>
        <v>4</v>
      </c>
      <c r="C11" s="41" t="s">
        <v>190</v>
      </c>
      <c r="D11" s="42">
        <v>26</v>
      </c>
      <c r="E11" s="62">
        <f>IF(O11="K",VLOOKUP(M11,Table2[[#All],[UNIT]:[Column7]],10,FALSE),0)</f>
        <v>400000</v>
      </c>
      <c r="F11" s="43">
        <f t="shared" si="2"/>
        <v>10400000</v>
      </c>
      <c r="G11" s="42">
        <v>398.78873239436621</v>
      </c>
      <c r="H11" s="44">
        <f>G11*$C$34</f>
        <v>4586070.4225352118</v>
      </c>
      <c r="I11" s="42">
        <f t="shared" si="1"/>
        <v>15.338028169014084</v>
      </c>
      <c r="J11" s="45">
        <f t="shared" si="3"/>
        <v>14986070.422535211</v>
      </c>
      <c r="K11" s="36"/>
      <c r="L11" s="41" t="s">
        <v>257</v>
      </c>
      <c r="M11" s="41" t="str">
        <f>VLOOKUP(N11,'list rate unit'!O:P,2,FALSE)</f>
        <v>PC 300 SE-8</v>
      </c>
      <c r="N11" s="41" t="str">
        <f t="shared" si="4"/>
        <v>KOMATSU PC 300 - 10</v>
      </c>
      <c r="O11" s="15" t="s">
        <v>56</v>
      </c>
    </row>
    <row r="12" spans="2:15" x14ac:dyDescent="0.3">
      <c r="B12" s="41">
        <f t="shared" si="0"/>
        <v>5</v>
      </c>
      <c r="C12" s="41" t="s">
        <v>294</v>
      </c>
      <c r="D12" s="42">
        <v>43</v>
      </c>
      <c r="E12" s="62">
        <f>IF(O12="K",VLOOKUP(M12,Table2[[#All],[UNIT]:[Column7]],10,FALSE),0)</f>
        <v>400000</v>
      </c>
      <c r="F12" s="43">
        <f t="shared" si="2"/>
        <v>17200000</v>
      </c>
      <c r="G12" s="42">
        <v>991.09756097560967</v>
      </c>
      <c r="H12" s="44">
        <f>G12*$C$34</f>
        <v>11397621.95121951</v>
      </c>
      <c r="I12" s="42">
        <f t="shared" si="1"/>
        <v>23.048780487804876</v>
      </c>
      <c r="J12" s="45">
        <f t="shared" si="3"/>
        <v>28597621.95121951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4"/>
        <v>KOMATSU PC 300 - 11</v>
      </c>
      <c r="O12" s="15" t="s">
        <v>56</v>
      </c>
    </row>
    <row r="13" spans="2:15" x14ac:dyDescent="0.3">
      <c r="B13" s="41">
        <f t="shared" si="0"/>
        <v>6</v>
      </c>
      <c r="C13" s="41" t="s">
        <v>247</v>
      </c>
      <c r="D13" s="42">
        <v>56</v>
      </c>
      <c r="E13" s="62">
        <f>IF(O13="K",VLOOKUP(M13,Table2[[#All],[UNIT]:[Column7]],10,FALSE),0)</f>
        <v>400000</v>
      </c>
      <c r="F13" s="43">
        <f t="shared" si="2"/>
        <v>22400000</v>
      </c>
      <c r="G13" s="42">
        <v>1345.3461538461538</v>
      </c>
      <c r="H13" s="44">
        <f>G13*$C$34</f>
        <v>15471480.769230768</v>
      </c>
      <c r="I13" s="42">
        <f t="shared" si="1"/>
        <v>24.02403846153846</v>
      </c>
      <c r="J13" s="45">
        <f t="shared" si="3"/>
        <v>37871480.769230768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4"/>
        <v>KOMATSU PC 300 - 14</v>
      </c>
      <c r="O13" s="15" t="s">
        <v>56</v>
      </c>
    </row>
    <row r="14" spans="2:15" x14ac:dyDescent="0.3">
      <c r="B14" s="41">
        <f t="shared" si="0"/>
        <v>7</v>
      </c>
      <c r="C14" s="41" t="s">
        <v>261</v>
      </c>
      <c r="D14" s="42">
        <v>156</v>
      </c>
      <c r="E14" s="62">
        <f>IF(O14="K",VLOOKUP(M14,Table2[[#All],[UNIT]:[Column7]],10,FALSE),0)</f>
        <v>400000</v>
      </c>
      <c r="F14" s="43">
        <f t="shared" si="2"/>
        <v>62400000</v>
      </c>
      <c r="G14" s="42">
        <v>3224</v>
      </c>
      <c r="H14" s="44">
        <f>G14*$C$34</f>
        <v>37076000</v>
      </c>
      <c r="I14" s="42">
        <f t="shared" si="1"/>
        <v>20.666666666666668</v>
      </c>
      <c r="J14" s="45">
        <f t="shared" si="3"/>
        <v>99476000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4"/>
        <v>KOMATSU PC 300 - 15</v>
      </c>
      <c r="O14" s="15" t="s">
        <v>56</v>
      </c>
    </row>
    <row r="15" spans="2:15" x14ac:dyDescent="0.3">
      <c r="B15" s="41">
        <f t="shared" si="0"/>
        <v>8</v>
      </c>
      <c r="C15" s="41" t="s">
        <v>191</v>
      </c>
      <c r="D15" s="42">
        <v>20</v>
      </c>
      <c r="E15" s="62">
        <f>IF(O15="K",VLOOKUP(M15,Table2[[#All],[UNIT]:[Column7]],10,FALSE),0)</f>
        <v>400000</v>
      </c>
      <c r="F15" s="43">
        <f t="shared" si="2"/>
        <v>8000000</v>
      </c>
      <c r="G15" s="42">
        <v>319.65517241379308</v>
      </c>
      <c r="H15" s="44">
        <f>G15*$C$34</f>
        <v>3676034.4827586203</v>
      </c>
      <c r="I15" s="42">
        <f t="shared" si="1"/>
        <v>15.982758620689655</v>
      </c>
      <c r="J15" s="45">
        <f t="shared" si="3"/>
        <v>11676034.482758621</v>
      </c>
      <c r="K15" s="36"/>
      <c r="L15" s="41" t="s">
        <v>257</v>
      </c>
      <c r="M15" s="41" t="str">
        <f>VLOOKUP(N15,'list rate unit'!O:P,2,FALSE)</f>
        <v>SK 330-8</v>
      </c>
      <c r="N15" s="41" t="str">
        <f t="shared" si="4"/>
        <v>KOBELCO SK 330 - 10</v>
      </c>
      <c r="O15" s="15" t="s">
        <v>56</v>
      </c>
    </row>
    <row r="16" spans="2:15" x14ac:dyDescent="0.3">
      <c r="B16" s="41">
        <f t="shared" si="0"/>
        <v>9</v>
      </c>
      <c r="C16" s="41" t="s">
        <v>192</v>
      </c>
      <c r="D16" s="42">
        <v>58</v>
      </c>
      <c r="E16" s="62">
        <f>IF(O16="K",VLOOKUP(M16,Table2[[#All],[UNIT]:[Column7]],10,FALSE),0)</f>
        <v>400000</v>
      </c>
      <c r="F16" s="43">
        <f t="shared" si="2"/>
        <v>23200000</v>
      </c>
      <c r="G16" s="42">
        <v>950.26262626262633</v>
      </c>
      <c r="H16" s="44">
        <f>G16*$C$34</f>
        <v>10928020.202020202</v>
      </c>
      <c r="I16" s="42">
        <f t="shared" si="1"/>
        <v>16.383838383838384</v>
      </c>
      <c r="J16" s="45">
        <f t="shared" si="3"/>
        <v>34128020.202020198</v>
      </c>
      <c r="K16" s="36"/>
      <c r="L16" s="41" t="s">
        <v>257</v>
      </c>
      <c r="M16" s="41" t="str">
        <f>VLOOKUP(N16,'list rate unit'!O:P,2,FALSE)</f>
        <v>SK 330-8</v>
      </c>
      <c r="N16" s="41" t="str">
        <f t="shared" si="4"/>
        <v>KOBELCO SK 330 - 11</v>
      </c>
      <c r="O16" s="15" t="s">
        <v>56</v>
      </c>
    </row>
    <row r="17" spans="2:15" x14ac:dyDescent="0.3">
      <c r="B17" s="41">
        <f t="shared" si="0"/>
        <v>10</v>
      </c>
      <c r="C17" s="41" t="s">
        <v>330</v>
      </c>
      <c r="D17" s="42">
        <v>80</v>
      </c>
      <c r="E17" s="62">
        <f>IF(O17="K",VLOOKUP(M17,Table2[[#All],[UNIT]:[Column7]],10,FALSE),0)</f>
        <v>400000</v>
      </c>
      <c r="F17" s="43">
        <f t="shared" si="2"/>
        <v>32000000</v>
      </c>
      <c r="G17" s="42">
        <v>1554.8650858544561</v>
      </c>
      <c r="H17" s="44">
        <f>G17*$C$34</f>
        <v>17880948.487326246</v>
      </c>
      <c r="I17" s="42">
        <f t="shared" si="1"/>
        <v>19.435813573180702</v>
      </c>
      <c r="J17" s="45">
        <f t="shared" si="3"/>
        <v>49880948.487326249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si="4"/>
        <v>KOBELCO SK 330 - 12</v>
      </c>
      <c r="O17" s="15" t="s">
        <v>56</v>
      </c>
    </row>
    <row r="18" spans="2:15" x14ac:dyDescent="0.3">
      <c r="B18" s="41">
        <f t="shared" ref="B18:B25" si="5">ROW(B18)-7</f>
        <v>11</v>
      </c>
      <c r="C18" s="41" t="s">
        <v>264</v>
      </c>
      <c r="D18" s="42">
        <v>180</v>
      </c>
      <c r="E18" s="62">
        <f>IF(O18="K",VLOOKUP(M18,Table2[[#All],[UNIT]:[Column7]],10,FALSE),0)</f>
        <v>275000</v>
      </c>
      <c r="F18" s="43">
        <f t="shared" ref="F18:F25" si="6">D18*E18</f>
        <v>49500000</v>
      </c>
      <c r="G18" s="42">
        <v>2327.2826086956525</v>
      </c>
      <c r="H18" s="44">
        <f>G18*$C$34</f>
        <v>26763750.000000004</v>
      </c>
      <c r="I18" s="42">
        <f t="shared" ref="I18:I25" si="7">IFERROR(G18/D18,0)</f>
        <v>12.929347826086959</v>
      </c>
      <c r="J18" s="45">
        <f t="shared" ref="J18:J25" si="8">F18+H18</f>
        <v>76263750</v>
      </c>
      <c r="K18" s="36"/>
      <c r="L18" s="41" t="s">
        <v>257</v>
      </c>
      <c r="M18" s="41" t="str">
        <f>VLOOKUP(N18,'list rate unit'!O:P,2,FALSE)</f>
        <v>PC 200-8 MO</v>
      </c>
      <c r="N18" s="41" t="str">
        <f t="shared" ref="N18:N25" si="9">C18</f>
        <v>KOMATSU PC 200 - 12</v>
      </c>
      <c r="O18" s="15" t="s">
        <v>56</v>
      </c>
    </row>
    <row r="19" spans="2:15" x14ac:dyDescent="0.3">
      <c r="B19" s="41">
        <f t="shared" si="5"/>
        <v>12</v>
      </c>
      <c r="C19" s="41" t="s">
        <v>265</v>
      </c>
      <c r="D19" s="42">
        <v>46</v>
      </c>
      <c r="E19" s="62">
        <f>IF(O19="K",VLOOKUP(M19,Table2[[#All],[UNIT]:[Column7]],10,FALSE),0)</f>
        <v>275000</v>
      </c>
      <c r="F19" s="43">
        <f t="shared" si="6"/>
        <v>12650000</v>
      </c>
      <c r="G19" s="42">
        <v>619</v>
      </c>
      <c r="H19" s="44">
        <f>G19*$C$34</f>
        <v>7118500</v>
      </c>
      <c r="I19" s="42">
        <f t="shared" si="7"/>
        <v>13.456521739130435</v>
      </c>
      <c r="J19" s="45">
        <f t="shared" si="8"/>
        <v>19768500</v>
      </c>
      <c r="K19" s="36"/>
      <c r="L19" s="41" t="s">
        <v>257</v>
      </c>
      <c r="M19" s="41" t="str">
        <f>VLOOKUP(N19,'list rate unit'!O:P,2,FALSE)</f>
        <v>PC 200-8 MO</v>
      </c>
      <c r="N19" s="41" t="str">
        <f t="shared" si="9"/>
        <v>KOMATSU PC 200 - 14</v>
      </c>
      <c r="O19" s="15" t="s">
        <v>56</v>
      </c>
    </row>
    <row r="20" spans="2:15" x14ac:dyDescent="0.3">
      <c r="B20" s="41">
        <f t="shared" si="5"/>
        <v>13</v>
      </c>
      <c r="C20" s="41" t="s">
        <v>267</v>
      </c>
      <c r="D20" s="42">
        <v>104</v>
      </c>
      <c r="E20" s="62">
        <f>IF(O20="K",VLOOKUP(M20,Table2[[#All],[UNIT]:[Column7]],10,FALSE),0)</f>
        <v>275000</v>
      </c>
      <c r="F20" s="43">
        <f t="shared" si="6"/>
        <v>28600000</v>
      </c>
      <c r="G20" s="42">
        <v>1485.8235294117646</v>
      </c>
      <c r="H20" s="44">
        <f>G20*$C$34</f>
        <v>17086970.588235293</v>
      </c>
      <c r="I20" s="42">
        <f t="shared" si="7"/>
        <v>14.286764705882351</v>
      </c>
      <c r="J20" s="45">
        <f t="shared" si="8"/>
        <v>45686970.588235289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si="9"/>
        <v>KOMATSU PC 200 - 16</v>
      </c>
      <c r="O20" s="15" t="s">
        <v>56</v>
      </c>
    </row>
    <row r="21" spans="2:15" x14ac:dyDescent="0.3">
      <c r="B21" s="41">
        <f t="shared" si="5"/>
        <v>14</v>
      </c>
      <c r="C21" s="41" t="s">
        <v>348</v>
      </c>
      <c r="D21" s="42">
        <v>177</v>
      </c>
      <c r="E21" s="62">
        <f>IF(O21="K",VLOOKUP(M21,Table2[[#All],[UNIT]:[Column7]],10,FALSE),0)</f>
        <v>275000</v>
      </c>
      <c r="F21" s="43">
        <f t="shared" si="6"/>
        <v>48675000</v>
      </c>
      <c r="G21" s="42">
        <v>2579.1428571428569</v>
      </c>
      <c r="H21" s="44">
        <f>G21*$C$34</f>
        <v>29660142.857142854</v>
      </c>
      <c r="I21" s="42">
        <f t="shared" si="7"/>
        <v>14.571428571428569</v>
      </c>
      <c r="J21" s="45">
        <f t="shared" si="8"/>
        <v>78335142.857142851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9"/>
        <v>KOMATSU PC 200 - 20</v>
      </c>
      <c r="O21" s="15" t="s">
        <v>56</v>
      </c>
    </row>
    <row r="22" spans="2:15" x14ac:dyDescent="0.3">
      <c r="B22" s="41">
        <f t="shared" si="5"/>
        <v>15</v>
      </c>
      <c r="C22" s="41" t="s">
        <v>193</v>
      </c>
      <c r="D22" s="42">
        <v>88</v>
      </c>
      <c r="E22" s="62">
        <f>IF(O22="K",VLOOKUP(M22,Table2[[#All],[UNIT]:[Column7]],10,FALSE),0)</f>
        <v>275000</v>
      </c>
      <c r="F22" s="43">
        <f t="shared" si="6"/>
        <v>24200000</v>
      </c>
      <c r="G22" s="42">
        <v>1444.7152317880793</v>
      </c>
      <c r="H22" s="44">
        <f>G22*$C$34</f>
        <v>16614225.165562913</v>
      </c>
      <c r="I22" s="42">
        <f t="shared" si="7"/>
        <v>16.417218543046356</v>
      </c>
      <c r="J22" s="45">
        <f t="shared" si="8"/>
        <v>40814225.165562913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9"/>
        <v>KOMATSU PC 200 - 22</v>
      </c>
      <c r="O22" s="15" t="s">
        <v>56</v>
      </c>
    </row>
    <row r="23" spans="2:15" x14ac:dyDescent="0.3">
      <c r="B23" s="41">
        <f t="shared" si="5"/>
        <v>16</v>
      </c>
      <c r="C23" s="41" t="s">
        <v>197</v>
      </c>
      <c r="D23" s="42">
        <v>141</v>
      </c>
      <c r="E23" s="62">
        <f>IF(O23="K",VLOOKUP(M23,Table2[[#All],[UNIT]:[Column7]],10,FALSE),0)</f>
        <v>275000</v>
      </c>
      <c r="F23" s="43">
        <f t="shared" si="6"/>
        <v>38775000</v>
      </c>
      <c r="G23" s="42">
        <v>1755</v>
      </c>
      <c r="H23" s="44">
        <f>G23*$C$34</f>
        <v>20182500</v>
      </c>
      <c r="I23" s="42">
        <f t="shared" si="7"/>
        <v>12.446808510638299</v>
      </c>
      <c r="J23" s="45">
        <f t="shared" si="8"/>
        <v>58957500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9"/>
        <v>KOBELCO SK 200 - 10</v>
      </c>
      <c r="O23" s="15" t="s">
        <v>56</v>
      </c>
    </row>
    <row r="24" spans="2:15" x14ac:dyDescent="0.3">
      <c r="B24" s="41">
        <f t="shared" si="5"/>
        <v>17</v>
      </c>
      <c r="C24" s="41" t="s">
        <v>198</v>
      </c>
      <c r="D24" s="42">
        <v>130</v>
      </c>
      <c r="E24" s="62">
        <f>IF(O24="K",VLOOKUP(M24,Table2[[#All],[UNIT]:[Column7]],10,FALSE),0)</f>
        <v>275000</v>
      </c>
      <c r="F24" s="43">
        <f t="shared" si="6"/>
        <v>35750000</v>
      </c>
      <c r="G24" s="42">
        <v>1270.3355704697988</v>
      </c>
      <c r="H24" s="44">
        <f>G24*$C$34</f>
        <v>14608859.060402686</v>
      </c>
      <c r="I24" s="42">
        <f t="shared" si="7"/>
        <v>9.7718120805369129</v>
      </c>
      <c r="J24" s="45">
        <f t="shared" si="8"/>
        <v>50358859.060402684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9"/>
        <v>KOBELCO SK 200 - 11</v>
      </c>
      <c r="O24" s="15" t="s">
        <v>56</v>
      </c>
    </row>
    <row r="25" spans="2:15" x14ac:dyDescent="0.3">
      <c r="B25" s="41">
        <f t="shared" si="5"/>
        <v>18</v>
      </c>
      <c r="C25" s="41" t="s">
        <v>199</v>
      </c>
      <c r="D25" s="42">
        <v>108</v>
      </c>
      <c r="E25" s="62">
        <f>IF(O25="K",VLOOKUP(M25,Table2[[#All],[UNIT]:[Column7]],10,FALSE),0)</f>
        <v>275000</v>
      </c>
      <c r="F25" s="43">
        <f t="shared" si="6"/>
        <v>29700000</v>
      </c>
      <c r="G25" s="42">
        <v>1214.0357142857142</v>
      </c>
      <c r="H25" s="44">
        <f>G25*$C$34</f>
        <v>13961410.714285713</v>
      </c>
      <c r="I25" s="42">
        <f t="shared" si="7"/>
        <v>11.241071428571429</v>
      </c>
      <c r="J25" s="45">
        <f t="shared" si="8"/>
        <v>43661410.714285716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9"/>
        <v>KOBELCO SK 200 - 13</v>
      </c>
      <c r="O25" s="15" t="s">
        <v>56</v>
      </c>
    </row>
    <row r="26" spans="2:15" x14ac:dyDescent="0.3">
      <c r="B26" s="41">
        <f t="shared" ref="B26:B29" si="10">ROW(B26)-7</f>
        <v>19</v>
      </c>
      <c r="C26" s="41" t="s">
        <v>200</v>
      </c>
      <c r="D26" s="42">
        <v>171</v>
      </c>
      <c r="E26" s="62">
        <f>IF(O26="K",VLOOKUP(M26,Table2[[#All],[UNIT]:[Column7]],10,FALSE),0)</f>
        <v>275000</v>
      </c>
      <c r="F26" s="43">
        <f t="shared" si="2"/>
        <v>47025000</v>
      </c>
      <c r="G26" s="42">
        <v>1712.7142857142858</v>
      </c>
      <c r="H26" s="44">
        <f>G26*$C$34</f>
        <v>19696214.285714287</v>
      </c>
      <c r="I26" s="42">
        <f t="shared" si="1"/>
        <v>10.015873015873016</v>
      </c>
      <c r="J26" s="45">
        <f t="shared" si="3"/>
        <v>66721214.285714284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4"/>
        <v>KOBELCO SK 200 - 15</v>
      </c>
      <c r="O26" s="15" t="s">
        <v>56</v>
      </c>
    </row>
    <row r="27" spans="2:15" x14ac:dyDescent="0.3">
      <c r="B27" s="41">
        <f t="shared" si="10"/>
        <v>20</v>
      </c>
      <c r="C27" s="41" t="s">
        <v>202</v>
      </c>
      <c r="D27" s="42">
        <v>57</v>
      </c>
      <c r="E27" s="62">
        <f>IF(O27="K",VLOOKUP(M27,Table2[[#All],[UNIT]:[Column7]],10,FALSE),0)</f>
        <v>275000</v>
      </c>
      <c r="F27" s="43">
        <f t="shared" si="2"/>
        <v>15675000</v>
      </c>
      <c r="G27" s="42">
        <v>516</v>
      </c>
      <c r="H27" s="44">
        <f>G27*$C$34</f>
        <v>5934000</v>
      </c>
      <c r="I27" s="42">
        <f t="shared" si="1"/>
        <v>9.0526315789473681</v>
      </c>
      <c r="J27" s="45">
        <f t="shared" si="3"/>
        <v>21609000</v>
      </c>
      <c r="K27" s="36"/>
      <c r="L27" s="41" t="s">
        <v>257</v>
      </c>
      <c r="M27" s="41" t="str">
        <f>VLOOKUP(N27,'list rate unit'!O:P,2,FALSE)</f>
        <v>SK 200-8 SX</v>
      </c>
      <c r="N27" s="41" t="str">
        <f t="shared" si="4"/>
        <v>KOBELCO SK 200 - 18</v>
      </c>
      <c r="O27" s="15" t="s">
        <v>56</v>
      </c>
    </row>
    <row r="28" spans="2:15" x14ac:dyDescent="0.3">
      <c r="B28" s="41">
        <f t="shared" si="10"/>
        <v>21</v>
      </c>
      <c r="C28" s="41" t="s">
        <v>203</v>
      </c>
      <c r="D28" s="42">
        <v>81</v>
      </c>
      <c r="E28" s="62">
        <f>IF(O28="K",VLOOKUP(M28,Table2[[#All],[UNIT]:[Column7]],10,FALSE),0)</f>
        <v>275000</v>
      </c>
      <c r="F28" s="43">
        <f t="shared" si="2"/>
        <v>22275000</v>
      </c>
      <c r="G28" s="42">
        <v>757</v>
      </c>
      <c r="H28" s="44">
        <f>G28*$C$34</f>
        <v>8705500</v>
      </c>
      <c r="I28" s="42">
        <f t="shared" si="1"/>
        <v>9.3456790123456788</v>
      </c>
      <c r="J28" s="45">
        <f t="shared" si="3"/>
        <v>30980500</v>
      </c>
      <c r="K28" s="36"/>
      <c r="L28" s="41" t="s">
        <v>257</v>
      </c>
      <c r="M28" s="41" t="str">
        <f>VLOOKUP(N28,'list rate unit'!O:P,2,FALSE)</f>
        <v>SK 200-8 SX</v>
      </c>
      <c r="N28" s="41" t="str">
        <f t="shared" si="4"/>
        <v>KOBELCO SK 200 - 19</v>
      </c>
      <c r="O28" s="15" t="s">
        <v>56</v>
      </c>
    </row>
    <row r="29" spans="2:15" x14ac:dyDescent="0.3">
      <c r="B29" s="41">
        <f t="shared" si="10"/>
        <v>22</v>
      </c>
      <c r="C29" s="41" t="s">
        <v>204</v>
      </c>
      <c r="D29" s="42">
        <v>112</v>
      </c>
      <c r="E29" s="62">
        <f>IF(O29="K",VLOOKUP(M29,Table2[[#All],[UNIT]:[Column7]],10,FALSE),0)</f>
        <v>275000</v>
      </c>
      <c r="F29" s="43">
        <f t="shared" ref="F29" si="11">D29*E29</f>
        <v>30800000</v>
      </c>
      <c r="G29" s="42">
        <v>1159.0872483221476</v>
      </c>
      <c r="H29" s="44">
        <f>G29*$C$34</f>
        <v>13329503.355704697</v>
      </c>
      <c r="I29" s="42">
        <f t="shared" si="1"/>
        <v>10.348993288590604</v>
      </c>
      <c r="J29" s="45">
        <f t="shared" ref="J29" si="12">F29+H29</f>
        <v>44129503.355704695</v>
      </c>
      <c r="K29" s="36"/>
      <c r="L29" s="41" t="s">
        <v>257</v>
      </c>
      <c r="M29" s="41" t="str">
        <f>VLOOKUP(N29,'list rate unit'!O:P,2,FALSE)</f>
        <v>SK 200-8 SX</v>
      </c>
      <c r="N29" s="41" t="str">
        <f t="shared" ref="N29" si="13">C29</f>
        <v>KOBELCO SK 200 - 20</v>
      </c>
      <c r="O29" s="15" t="s">
        <v>56</v>
      </c>
    </row>
    <row r="30" spans="2:15" x14ac:dyDescent="0.3">
      <c r="D30" s="18"/>
      <c r="F30" s="32"/>
      <c r="G30" s="18"/>
      <c r="H30" s="30"/>
      <c r="I30" s="18"/>
      <c r="J30" s="33"/>
      <c r="K30" s="18"/>
    </row>
    <row r="31" spans="2:15" s="1" customFormat="1" ht="15.75" customHeight="1" x14ac:dyDescent="0.3">
      <c r="B31" s="249" t="s">
        <v>21</v>
      </c>
      <c r="C31" s="249"/>
      <c r="D31" s="46">
        <f>SUM(D8:D30)</f>
        <v>1855</v>
      </c>
      <c r="E31" s="63">
        <f>AVERAGE(E8:E30)</f>
        <v>384090.90909090912</v>
      </c>
      <c r="F31" s="47">
        <f>SUM(F8:F30)</f>
        <v>577825000</v>
      </c>
      <c r="G31" s="46">
        <f>SUM(G8:G30)</f>
        <v>26085.691123626122</v>
      </c>
      <c r="H31" s="47">
        <f>SUM(H8:H30)</f>
        <v>299985447.92170042</v>
      </c>
      <c r="I31" s="46">
        <f t="shared" ref="I31" si="14">IFERROR(G31/D31,0)</f>
        <v>14.062367182547774</v>
      </c>
      <c r="J31" s="48">
        <f>SUM(J8:J30)</f>
        <v>877810447.92170036</v>
      </c>
      <c r="K31" s="37"/>
    </row>
    <row r="33" spans="2:7" x14ac:dyDescent="0.3">
      <c r="B33" s="35" t="s">
        <v>34</v>
      </c>
      <c r="C33" s="29">
        <f>'SUMMARY 2'!I28</f>
        <v>14848</v>
      </c>
      <c r="G33" s="18"/>
    </row>
    <row r="34" spans="2:7" x14ac:dyDescent="0.3">
      <c r="B34" s="35" t="s">
        <v>35</v>
      </c>
      <c r="C34" s="29">
        <f>'SUMMARY 2'!I13</f>
        <v>11500</v>
      </c>
      <c r="F34" s="30"/>
      <c r="G34" s="18"/>
    </row>
    <row r="36" spans="2:7" x14ac:dyDescent="0.3">
      <c r="F36" s="18"/>
      <c r="G36" s="18">
        <f>G31+'REPORT unit DT HAUL'!H41</f>
        <v>61069.691123626122</v>
      </c>
    </row>
  </sheetData>
  <autoFilter ref="B7:O29" xr:uid="{00000000-0009-0000-0000-000003000000}"/>
  <mergeCells count="13">
    <mergeCell ref="B31:C31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33"/>
  <sheetViews>
    <sheetView workbookViewId="0">
      <pane xSplit="3" ySplit="7" topLeftCell="D8" activePane="bottomRight" state="frozenSplit"/>
      <selection pane="topRight" activeCell="C1" sqref="C1"/>
      <selection pane="bottomLeft" activeCell="A8" sqref="A8"/>
      <selection pane="bottomRight" activeCell="C11" sqref="C1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0.777343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24.6640625" style="15" bestFit="1" customWidth="1"/>
    <col min="16" max="16" width="12.109375" style="15" bestFit="1" customWidth="1"/>
    <col min="17" max="17" width="20.77734375" style="15" bestFit="1" customWidth="1"/>
    <col min="18" max="16384" width="9.109375" style="15"/>
  </cols>
  <sheetData>
    <row r="2" spans="2:17" x14ac:dyDescent="0.3">
      <c r="B2" s="246" t="s">
        <v>84</v>
      </c>
      <c r="C2" s="246"/>
    </row>
    <row r="3" spans="2:17" x14ac:dyDescent="0.3">
      <c r="B3" s="246"/>
      <c r="C3" s="246"/>
    </row>
    <row r="4" spans="2:17" x14ac:dyDescent="0.3">
      <c r="D4" s="30"/>
      <c r="E4" s="30"/>
    </row>
    <row r="5" spans="2:17" ht="15" customHeight="1" x14ac:dyDescent="0.3">
      <c r="B5" s="247" t="s">
        <v>1</v>
      </c>
      <c r="C5" s="247" t="s">
        <v>88</v>
      </c>
      <c r="D5" s="250" t="s">
        <v>39</v>
      </c>
      <c r="E5" s="250"/>
      <c r="F5" s="251" t="s">
        <v>52</v>
      </c>
      <c r="G5" s="251"/>
      <c r="H5" s="251" t="s">
        <v>37</v>
      </c>
      <c r="I5" s="251"/>
      <c r="J5" s="247" t="s">
        <v>90</v>
      </c>
      <c r="K5" s="247"/>
      <c r="L5" s="247"/>
      <c r="M5" s="248" t="s">
        <v>82</v>
      </c>
      <c r="N5" s="31"/>
      <c r="O5" s="247" t="s">
        <v>47</v>
      </c>
      <c r="P5" s="247" t="s">
        <v>89</v>
      </c>
      <c r="Q5" s="247"/>
    </row>
    <row r="6" spans="2:17" ht="15" customHeight="1" x14ac:dyDescent="0.3">
      <c r="B6" s="247"/>
      <c r="C6" s="247"/>
      <c r="D6" s="247" t="s">
        <v>41</v>
      </c>
      <c r="E6" s="247"/>
      <c r="F6" s="39" t="s">
        <v>48</v>
      </c>
      <c r="G6" s="247" t="s">
        <v>28</v>
      </c>
      <c r="H6" s="39" t="s">
        <v>27</v>
      </c>
      <c r="I6" s="247" t="s">
        <v>28</v>
      </c>
      <c r="J6" s="247"/>
      <c r="K6" s="247"/>
      <c r="L6" s="247"/>
      <c r="M6" s="248"/>
      <c r="N6" s="31"/>
      <c r="O6" s="247"/>
      <c r="P6" s="247"/>
      <c r="Q6" s="247"/>
    </row>
    <row r="7" spans="2:17" ht="15" customHeight="1" x14ac:dyDescent="0.3">
      <c r="B7" s="247"/>
      <c r="C7" s="247"/>
      <c r="D7" s="39" t="s">
        <v>42</v>
      </c>
      <c r="E7" s="39" t="s">
        <v>43</v>
      </c>
      <c r="F7" s="39" t="s">
        <v>30</v>
      </c>
      <c r="G7" s="247"/>
      <c r="H7" s="39" t="s">
        <v>32</v>
      </c>
      <c r="I7" s="247"/>
      <c r="J7" s="39" t="s">
        <v>40</v>
      </c>
      <c r="K7" s="39" t="s">
        <v>44</v>
      </c>
      <c r="L7" s="39" t="s">
        <v>55</v>
      </c>
      <c r="M7" s="248"/>
      <c r="N7" s="31"/>
      <c r="O7" s="247"/>
      <c r="P7" s="247"/>
      <c r="Q7" s="247"/>
    </row>
    <row r="8" spans="2:17" x14ac:dyDescent="0.3">
      <c r="B8" s="41">
        <f t="shared" ref="B8:B39" si="0">ROW(B8)-7</f>
        <v>1</v>
      </c>
      <c r="C8" s="41" t="s">
        <v>364</v>
      </c>
      <c r="D8" s="42">
        <v>1503.6399999999999</v>
      </c>
      <c r="E8" s="42">
        <v>28</v>
      </c>
      <c r="F8" s="49">
        <f>VLOOKUP(P8,'list rate unit'!$B$3:$K$41,10,FALSE)</f>
        <v>500000</v>
      </c>
      <c r="G8" s="44">
        <f>IF(D8=0,0,F8*$C$46)</f>
        <v>105000000</v>
      </c>
      <c r="H8" s="42">
        <v>934</v>
      </c>
      <c r="I8" s="44">
        <f t="shared" ref="I8:I39" si="1">H8*$C$45</f>
        <v>10741000</v>
      </c>
      <c r="J8" s="42">
        <f>IFERROR(H8/D8,0)</f>
        <v>0.62115932005001206</v>
      </c>
      <c r="K8" s="42">
        <f t="shared" ref="K8:K12" si="2">IFERROR(D8/E8,0)</f>
        <v>53.701428571428565</v>
      </c>
      <c r="L8" s="42">
        <f>H8/E8</f>
        <v>33.357142857142854</v>
      </c>
      <c r="M8" s="45">
        <f>G8+I8</f>
        <v>115741000</v>
      </c>
      <c r="N8" s="18">
        <f>D8*'SUMMARY 2'!$I$29*'SUMMARY 2'!$I$28</f>
        <v>234423490.56</v>
      </c>
      <c r="O8" s="41" t="s">
        <v>269</v>
      </c>
      <c r="P8" s="41" t="s">
        <v>346</v>
      </c>
      <c r="Q8" s="41" t="str">
        <f t="shared" ref="Q8:Q22" si="3">C8</f>
        <v>HONGYANG 501</v>
      </c>
    </row>
    <row r="9" spans="2:17" x14ac:dyDescent="0.3">
      <c r="B9" s="41">
        <f t="shared" si="0"/>
        <v>2</v>
      </c>
      <c r="C9" s="41" t="s">
        <v>365</v>
      </c>
      <c r="D9" s="42">
        <v>889.22</v>
      </c>
      <c r="E9" s="42">
        <v>16</v>
      </c>
      <c r="F9" s="49">
        <f>VLOOKUP(P9,'list rate unit'!$B$3:$K$41,10,FALSE)</f>
        <v>500000</v>
      </c>
      <c r="G9" s="44">
        <f>IF(D9=0,0,F9*$C$46)</f>
        <v>105000000</v>
      </c>
      <c r="H9" s="42">
        <v>892</v>
      </c>
      <c r="I9" s="44">
        <f t="shared" si="1"/>
        <v>10258000</v>
      </c>
      <c r="J9" s="42">
        <f t="shared" ref="J9:J12" si="4">IFERROR(H9/D9,0)</f>
        <v>1.0031263354400486</v>
      </c>
      <c r="K9" s="42">
        <f t="shared" si="2"/>
        <v>55.576250000000002</v>
      </c>
      <c r="L9" s="42">
        <f t="shared" ref="L9:L12" si="5">H9/E9</f>
        <v>55.75</v>
      </c>
      <c r="M9" s="45">
        <f t="shared" ref="M9:M12" si="6">G9+I9</f>
        <v>115258000</v>
      </c>
      <c r="N9" s="18">
        <f>D9*'SUMMARY 2'!$I$29*'SUMMARY 2'!$I$28</f>
        <v>138632954.88</v>
      </c>
      <c r="O9" s="41" t="s">
        <v>269</v>
      </c>
      <c r="P9" s="41" t="s">
        <v>346</v>
      </c>
      <c r="Q9" s="41" t="str">
        <f t="shared" si="3"/>
        <v>HONGYANG 502</v>
      </c>
    </row>
    <row r="10" spans="2:17" x14ac:dyDescent="0.3">
      <c r="B10" s="41">
        <f t="shared" si="0"/>
        <v>3</v>
      </c>
      <c r="C10" s="41" t="s">
        <v>366</v>
      </c>
      <c r="D10" s="42">
        <v>1448.26</v>
      </c>
      <c r="E10" s="42">
        <v>27</v>
      </c>
      <c r="F10" s="49">
        <f>VLOOKUP(P10,'list rate unit'!$B$3:$K$41,10,FALSE)</f>
        <v>500000</v>
      </c>
      <c r="G10" s="44">
        <f>IF(D10=0,0,F10*$C$46)</f>
        <v>105000000</v>
      </c>
      <c r="H10" s="42">
        <v>1302</v>
      </c>
      <c r="I10" s="44">
        <f t="shared" si="1"/>
        <v>14973000</v>
      </c>
      <c r="J10" s="42">
        <f t="shared" si="4"/>
        <v>0.8990098462983166</v>
      </c>
      <c r="K10" s="42">
        <f t="shared" si="2"/>
        <v>53.639259259259262</v>
      </c>
      <c r="L10" s="42">
        <f t="shared" si="5"/>
        <v>48.222222222222221</v>
      </c>
      <c r="M10" s="45">
        <f t="shared" si="6"/>
        <v>119973000</v>
      </c>
      <c r="N10" s="18">
        <f>D10*'SUMMARY 2'!$I$29*'SUMMARY 2'!$I$28</f>
        <v>225789527.03999999</v>
      </c>
      <c r="O10" s="41" t="s">
        <v>269</v>
      </c>
      <c r="P10" s="41" t="s">
        <v>346</v>
      </c>
      <c r="Q10" s="41" t="str">
        <f t="shared" si="3"/>
        <v>HONGYANG 503</v>
      </c>
    </row>
    <row r="11" spans="2:17" x14ac:dyDescent="0.3">
      <c r="B11" s="41">
        <f t="shared" si="0"/>
        <v>4</v>
      </c>
      <c r="C11" s="41" t="s">
        <v>367</v>
      </c>
      <c r="D11" s="42">
        <v>743.27</v>
      </c>
      <c r="E11" s="42">
        <v>14</v>
      </c>
      <c r="F11" s="49">
        <f>VLOOKUP(P11,'list rate unit'!$B$3:$K$41,10,FALSE)</f>
        <v>500000</v>
      </c>
      <c r="G11" s="44">
        <f>IF(D11=0,0,F11*$C$46)</f>
        <v>105000000</v>
      </c>
      <c r="H11" s="42">
        <v>746</v>
      </c>
      <c r="I11" s="44">
        <f t="shared" si="1"/>
        <v>8579000</v>
      </c>
      <c r="J11" s="42">
        <f t="shared" si="4"/>
        <v>1.0036729586825783</v>
      </c>
      <c r="K11" s="42">
        <f t="shared" si="2"/>
        <v>53.090714285714284</v>
      </c>
      <c r="L11" s="42">
        <f t="shared" si="5"/>
        <v>53.285714285714285</v>
      </c>
      <c r="M11" s="45">
        <f t="shared" si="6"/>
        <v>113579000</v>
      </c>
      <c r="N11" s="18">
        <f>D11*'SUMMARY 2'!$I$29*'SUMMARY 2'!$I$28</f>
        <v>115878766.08</v>
      </c>
      <c r="O11" s="41" t="s">
        <v>269</v>
      </c>
      <c r="P11" s="41" t="s">
        <v>346</v>
      </c>
      <c r="Q11" s="41" t="str">
        <f t="shared" si="3"/>
        <v>HONGYANG 504</v>
      </c>
    </row>
    <row r="12" spans="2:17" x14ac:dyDescent="0.3">
      <c r="B12" s="41">
        <f t="shared" si="0"/>
        <v>5</v>
      </c>
      <c r="C12" s="41" t="s">
        <v>368</v>
      </c>
      <c r="D12" s="42">
        <v>1098.3</v>
      </c>
      <c r="E12" s="42">
        <v>20</v>
      </c>
      <c r="F12" s="49">
        <f>VLOOKUP(P12,'list rate unit'!$B$3:$K$41,10,FALSE)</f>
        <v>500000</v>
      </c>
      <c r="G12" s="44">
        <f>IF(D12=0,0,F12*$C$46)</f>
        <v>105000000</v>
      </c>
      <c r="H12" s="42">
        <v>1120</v>
      </c>
      <c r="I12" s="44">
        <f t="shared" si="1"/>
        <v>12880000</v>
      </c>
      <c r="J12" s="42">
        <f t="shared" si="4"/>
        <v>1.0197578075207139</v>
      </c>
      <c r="K12" s="42">
        <f t="shared" si="2"/>
        <v>54.914999999999999</v>
      </c>
      <c r="L12" s="42">
        <f t="shared" si="5"/>
        <v>56</v>
      </c>
      <c r="M12" s="45">
        <f t="shared" si="6"/>
        <v>117880000</v>
      </c>
      <c r="N12" s="18">
        <f>D12*'SUMMARY 2'!$I$29*'SUMMARY 2'!$I$28</f>
        <v>171229363.19999999</v>
      </c>
      <c r="O12" s="41" t="s">
        <v>269</v>
      </c>
      <c r="P12" s="41" t="s">
        <v>346</v>
      </c>
      <c r="Q12" s="41" t="str">
        <f t="shared" si="3"/>
        <v>HONGYANG 505</v>
      </c>
    </row>
    <row r="13" spans="2:17" x14ac:dyDescent="0.3">
      <c r="B13" s="41">
        <f t="shared" si="0"/>
        <v>6</v>
      </c>
      <c r="C13" s="41" t="s">
        <v>369</v>
      </c>
      <c r="D13" s="42">
        <v>1555.01</v>
      </c>
      <c r="E13" s="42">
        <v>29</v>
      </c>
      <c r="F13" s="49">
        <f>VLOOKUP(P13,'list rate unit'!$B$3:$K$41,10,FALSE)</f>
        <v>500000</v>
      </c>
      <c r="G13" s="44">
        <f>IF(D13=0,0,F13*$C$46)</f>
        <v>105000000</v>
      </c>
      <c r="H13" s="42">
        <v>1526</v>
      </c>
      <c r="I13" s="44">
        <f t="shared" si="1"/>
        <v>17549000</v>
      </c>
      <c r="J13" s="42">
        <f t="shared" ref="J13:J22" si="7">IFERROR(H13/D13,0)</f>
        <v>0.98134417142011954</v>
      </c>
      <c r="K13" s="42">
        <f t="shared" ref="K13:K22" si="8">IFERROR(D13/E13,0)</f>
        <v>53.621034482758617</v>
      </c>
      <c r="L13" s="42">
        <f t="shared" ref="L13:L22" si="9">H13/E13</f>
        <v>52.620689655172413</v>
      </c>
      <c r="M13" s="45">
        <f t="shared" ref="M13:M22" si="10">G13+I13</f>
        <v>122549000</v>
      </c>
      <c r="N13" s="18">
        <f>D13*'SUMMARY 2'!$I$29*'SUMMARY 2'!$I$28</f>
        <v>242432279.03999999</v>
      </c>
      <c r="O13" s="41" t="s">
        <v>269</v>
      </c>
      <c r="P13" s="41" t="s">
        <v>346</v>
      </c>
      <c r="Q13" s="41" t="str">
        <f t="shared" si="3"/>
        <v>HONGYANG 506</v>
      </c>
    </row>
    <row r="14" spans="2:17" x14ac:dyDescent="0.3">
      <c r="B14" s="41">
        <f t="shared" si="0"/>
        <v>7</v>
      </c>
      <c r="C14" s="41" t="s">
        <v>370</v>
      </c>
      <c r="D14" s="42">
        <v>983.13</v>
      </c>
      <c r="E14" s="42">
        <v>18</v>
      </c>
      <c r="F14" s="49">
        <f>VLOOKUP(P14,'list rate unit'!$B$3:$K$41,10,FALSE)</f>
        <v>500000</v>
      </c>
      <c r="G14" s="44">
        <f>IF(D14=0,0,F14*$C$46)</f>
        <v>105000000</v>
      </c>
      <c r="H14" s="42">
        <v>954</v>
      </c>
      <c r="I14" s="44">
        <f t="shared" si="1"/>
        <v>10971000</v>
      </c>
      <c r="J14" s="42">
        <f t="shared" si="7"/>
        <v>0.9703701443349303</v>
      </c>
      <c r="K14" s="42">
        <f t="shared" si="8"/>
        <v>54.618333333333332</v>
      </c>
      <c r="L14" s="42">
        <f t="shared" si="9"/>
        <v>53</v>
      </c>
      <c r="M14" s="45">
        <f t="shared" si="10"/>
        <v>115971000</v>
      </c>
      <c r="N14" s="18">
        <f>D14*'SUMMARY 2'!$I$29*'SUMMARY 2'!$I$28</f>
        <v>153273899.52000001</v>
      </c>
      <c r="O14" s="41" t="s">
        <v>269</v>
      </c>
      <c r="P14" s="41" t="s">
        <v>346</v>
      </c>
      <c r="Q14" s="41" t="str">
        <f t="shared" si="3"/>
        <v>HONGYANG 507</v>
      </c>
    </row>
    <row r="15" spans="2:17" x14ac:dyDescent="0.3">
      <c r="B15" s="41">
        <f t="shared" si="0"/>
        <v>8</v>
      </c>
      <c r="C15" s="41" t="s">
        <v>371</v>
      </c>
      <c r="D15" s="42">
        <v>2127.71</v>
      </c>
      <c r="E15" s="42">
        <v>39</v>
      </c>
      <c r="F15" s="49">
        <f>VLOOKUP(P15,'list rate unit'!$B$3:$K$41,10,FALSE)</f>
        <v>500000</v>
      </c>
      <c r="G15" s="44">
        <f>IF(D15=0,0,F15*$C$46)</f>
        <v>105000000</v>
      </c>
      <c r="H15" s="42">
        <v>1854</v>
      </c>
      <c r="I15" s="44">
        <f t="shared" si="1"/>
        <v>21321000</v>
      </c>
      <c r="J15" s="42">
        <f t="shared" si="7"/>
        <v>0.8713593487834338</v>
      </c>
      <c r="K15" s="42">
        <f t="shared" si="8"/>
        <v>54.556666666666665</v>
      </c>
      <c r="L15" s="42">
        <f t="shared" si="9"/>
        <v>47.53846153846154</v>
      </c>
      <c r="M15" s="45">
        <f t="shared" si="10"/>
        <v>126321000</v>
      </c>
      <c r="N15" s="18">
        <f>D15*'SUMMARY 2'!$I$29*'SUMMARY 2'!$I$28</f>
        <v>331718499.84000003</v>
      </c>
      <c r="O15" s="41" t="s">
        <v>269</v>
      </c>
      <c r="P15" s="41" t="s">
        <v>346</v>
      </c>
      <c r="Q15" s="41" t="str">
        <f t="shared" si="3"/>
        <v>HONGYANG 508</v>
      </c>
    </row>
    <row r="16" spans="2:17" x14ac:dyDescent="0.3">
      <c r="B16" s="41">
        <f t="shared" si="0"/>
        <v>9</v>
      </c>
      <c r="C16" s="41" t="s">
        <v>372</v>
      </c>
      <c r="D16" s="42">
        <v>837.72</v>
      </c>
      <c r="E16" s="42">
        <v>16</v>
      </c>
      <c r="F16" s="49">
        <f>VLOOKUP(P16,'list rate unit'!$B$3:$K$41,10,FALSE)</f>
        <v>500000</v>
      </c>
      <c r="G16" s="44">
        <f>IF(D16=0,0,F16*$C$46)</f>
        <v>105000000</v>
      </c>
      <c r="H16" s="42">
        <v>800</v>
      </c>
      <c r="I16" s="44">
        <f t="shared" si="1"/>
        <v>9200000</v>
      </c>
      <c r="J16" s="42">
        <f t="shared" si="7"/>
        <v>0.95497302201212808</v>
      </c>
      <c r="K16" s="42">
        <f t="shared" si="8"/>
        <v>52.357500000000002</v>
      </c>
      <c r="L16" s="42">
        <f t="shared" si="9"/>
        <v>50</v>
      </c>
      <c r="M16" s="45">
        <f t="shared" si="10"/>
        <v>114200000</v>
      </c>
      <c r="N16" s="18">
        <f>D16*'SUMMARY 2'!$I$29*'SUMMARY 2'!$I$28</f>
        <v>130603898.88</v>
      </c>
      <c r="O16" s="41" t="s">
        <v>269</v>
      </c>
      <c r="P16" s="41" t="s">
        <v>346</v>
      </c>
      <c r="Q16" s="41" t="str">
        <f t="shared" si="3"/>
        <v>HONGYANG 509</v>
      </c>
    </row>
    <row r="17" spans="2:17" x14ac:dyDescent="0.3">
      <c r="B17" s="41">
        <f t="shared" si="0"/>
        <v>10</v>
      </c>
      <c r="C17" s="41" t="s">
        <v>373</v>
      </c>
      <c r="D17" s="42">
        <v>1091.4000000000001</v>
      </c>
      <c r="E17" s="42">
        <v>20</v>
      </c>
      <c r="F17" s="49">
        <f>VLOOKUP(P17,'list rate unit'!$B$3:$K$41,10,FALSE)</f>
        <v>500000</v>
      </c>
      <c r="G17" s="44">
        <f>IF(D17=0,0,F17*$C$46)</f>
        <v>105000000</v>
      </c>
      <c r="H17" s="42">
        <v>1003</v>
      </c>
      <c r="I17" s="44">
        <f t="shared" si="1"/>
        <v>11534500</v>
      </c>
      <c r="J17" s="42">
        <f t="shared" si="7"/>
        <v>0.91900311526479739</v>
      </c>
      <c r="K17" s="42">
        <f t="shared" si="8"/>
        <v>54.570000000000007</v>
      </c>
      <c r="L17" s="42">
        <f t="shared" si="9"/>
        <v>50.15</v>
      </c>
      <c r="M17" s="45">
        <f t="shared" si="10"/>
        <v>116534500</v>
      </c>
      <c r="N17" s="18">
        <f>D17*'SUMMARY 2'!$I$29*'SUMMARY 2'!$I$28</f>
        <v>170153625.60000002</v>
      </c>
      <c r="O17" s="41" t="s">
        <v>269</v>
      </c>
      <c r="P17" s="41" t="s">
        <v>346</v>
      </c>
      <c r="Q17" s="41" t="str">
        <f t="shared" si="3"/>
        <v>HONGYANG 510</v>
      </c>
    </row>
    <row r="18" spans="2:17" x14ac:dyDescent="0.3">
      <c r="B18" s="41">
        <f t="shared" si="0"/>
        <v>11</v>
      </c>
      <c r="C18" s="41" t="s">
        <v>374</v>
      </c>
      <c r="D18" s="42">
        <v>851.31</v>
      </c>
      <c r="E18" s="42">
        <v>16</v>
      </c>
      <c r="F18" s="49">
        <f>VLOOKUP(P18,'list rate unit'!$B$3:$K$41,10,FALSE)</f>
        <v>500000</v>
      </c>
      <c r="G18" s="44">
        <f>IF(D18=0,0,F18*$C$46)</f>
        <v>105000000</v>
      </c>
      <c r="H18" s="42">
        <v>824</v>
      </c>
      <c r="I18" s="44">
        <f t="shared" si="1"/>
        <v>9476000</v>
      </c>
      <c r="J18" s="42">
        <f t="shared" si="7"/>
        <v>0.96792002913157371</v>
      </c>
      <c r="K18" s="42">
        <f t="shared" si="8"/>
        <v>53.206874999999997</v>
      </c>
      <c r="L18" s="42">
        <f t="shared" si="9"/>
        <v>51.5</v>
      </c>
      <c r="M18" s="45">
        <f t="shared" si="10"/>
        <v>114476000</v>
      </c>
      <c r="N18" s="18">
        <f>D18*'SUMMARY 2'!$I$29*'SUMMARY 2'!$I$28</f>
        <v>132722634.23999999</v>
      </c>
      <c r="O18" s="41" t="s">
        <v>269</v>
      </c>
      <c r="P18" s="41" t="s">
        <v>346</v>
      </c>
      <c r="Q18" s="41" t="str">
        <f t="shared" si="3"/>
        <v>HONGYANG 511</v>
      </c>
    </row>
    <row r="19" spans="2:17" x14ac:dyDescent="0.3">
      <c r="B19" s="41">
        <f t="shared" si="0"/>
        <v>12</v>
      </c>
      <c r="C19" s="41" t="s">
        <v>375</v>
      </c>
      <c r="D19" s="42">
        <v>163.76</v>
      </c>
      <c r="E19" s="42">
        <v>3</v>
      </c>
      <c r="F19" s="49">
        <f>VLOOKUP(P19,'list rate unit'!$B$3:$K$41,10,FALSE)</f>
        <v>500000</v>
      </c>
      <c r="G19" s="44">
        <f>IF(D19=0,0,F19*$C$46)</f>
        <v>105000000</v>
      </c>
      <c r="H19" s="42">
        <v>171</v>
      </c>
      <c r="I19" s="44">
        <f t="shared" si="1"/>
        <v>1966500</v>
      </c>
      <c r="J19" s="42">
        <f t="shared" si="7"/>
        <v>1.0442110405471423</v>
      </c>
      <c r="K19" s="42">
        <f t="shared" si="8"/>
        <v>54.586666666666666</v>
      </c>
      <c r="L19" s="42">
        <f t="shared" si="9"/>
        <v>57</v>
      </c>
      <c r="M19" s="45">
        <f t="shared" si="10"/>
        <v>106966500</v>
      </c>
      <c r="N19" s="18">
        <f>D19*'SUMMARY 2'!$I$29*'SUMMARY 2'!$I$28</f>
        <v>25530839.039999999</v>
      </c>
      <c r="O19" s="41" t="s">
        <v>269</v>
      </c>
      <c r="P19" s="41" t="s">
        <v>346</v>
      </c>
      <c r="Q19" s="41" t="str">
        <f t="shared" si="3"/>
        <v>HONGYANG 513</v>
      </c>
    </row>
    <row r="20" spans="2:17" x14ac:dyDescent="0.3">
      <c r="B20" s="41">
        <f t="shared" si="0"/>
        <v>13</v>
      </c>
      <c r="C20" s="41" t="s">
        <v>376</v>
      </c>
      <c r="D20" s="42">
        <v>1517.9099999999999</v>
      </c>
      <c r="E20" s="42">
        <v>29</v>
      </c>
      <c r="F20" s="49">
        <f>VLOOKUP(P20,'list rate unit'!$B$3:$K$41,10,FALSE)</f>
        <v>500000</v>
      </c>
      <c r="G20" s="44">
        <f>IF(D20=0,0,F20*$C$46)</f>
        <v>105000000</v>
      </c>
      <c r="H20" s="42">
        <v>1551</v>
      </c>
      <c r="I20" s="44">
        <f t="shared" si="1"/>
        <v>17836500</v>
      </c>
      <c r="J20" s="42">
        <f t="shared" si="7"/>
        <v>1.0217997114453428</v>
      </c>
      <c r="K20" s="42">
        <f t="shared" si="8"/>
        <v>52.341724137931031</v>
      </c>
      <c r="L20" s="42">
        <f t="shared" si="9"/>
        <v>53.482758620689658</v>
      </c>
      <c r="M20" s="45">
        <f t="shared" si="10"/>
        <v>122836500</v>
      </c>
      <c r="N20" s="18">
        <f>D20*'SUMMARY 2'!$I$29*'SUMMARY 2'!$I$28</f>
        <v>236648240.63999999</v>
      </c>
      <c r="O20" s="41" t="s">
        <v>269</v>
      </c>
      <c r="P20" s="41" t="s">
        <v>346</v>
      </c>
      <c r="Q20" s="41" t="str">
        <f t="shared" si="3"/>
        <v>HONGYANG 514</v>
      </c>
    </row>
    <row r="21" spans="2:17" x14ac:dyDescent="0.3">
      <c r="B21" s="41">
        <f t="shared" si="0"/>
        <v>14</v>
      </c>
      <c r="C21" s="41" t="s">
        <v>377</v>
      </c>
      <c r="D21" s="42">
        <v>899.29000000000008</v>
      </c>
      <c r="E21" s="42">
        <v>17</v>
      </c>
      <c r="F21" s="49">
        <f>VLOOKUP(P21,'list rate unit'!$B$3:$K$41,10,FALSE)</f>
        <v>500000</v>
      </c>
      <c r="G21" s="44">
        <f>IF(D21=0,0,F21*$C$46)</f>
        <v>105000000</v>
      </c>
      <c r="H21" s="42">
        <v>801</v>
      </c>
      <c r="I21" s="44">
        <f t="shared" si="1"/>
        <v>9211500</v>
      </c>
      <c r="J21" s="42">
        <f t="shared" si="7"/>
        <v>0.89070266543606613</v>
      </c>
      <c r="K21" s="42">
        <f t="shared" si="8"/>
        <v>52.899411764705889</v>
      </c>
      <c r="L21" s="42">
        <f t="shared" si="9"/>
        <v>47.117647058823529</v>
      </c>
      <c r="M21" s="45">
        <f t="shared" si="10"/>
        <v>114211500</v>
      </c>
      <c r="N21" s="18">
        <f>D21*'SUMMARY 2'!$I$29*'SUMMARY 2'!$I$28</f>
        <v>140202908.16</v>
      </c>
      <c r="O21" s="41" t="s">
        <v>269</v>
      </c>
      <c r="P21" s="41" t="s">
        <v>346</v>
      </c>
      <c r="Q21" s="41" t="str">
        <f t="shared" si="3"/>
        <v>HONGYANG 517</v>
      </c>
    </row>
    <row r="22" spans="2:17" x14ac:dyDescent="0.3">
      <c r="B22" s="41">
        <f t="shared" si="0"/>
        <v>15</v>
      </c>
      <c r="C22" s="41" t="s">
        <v>378</v>
      </c>
      <c r="D22" s="42">
        <v>1363.45</v>
      </c>
      <c r="E22" s="42">
        <v>26</v>
      </c>
      <c r="F22" s="49">
        <f>VLOOKUP(P22,'list rate unit'!$B$3:$K$41,10,FALSE)</f>
        <v>500000</v>
      </c>
      <c r="G22" s="44">
        <f>IF(D22=0,0,F22*$C$46)</f>
        <v>105000000</v>
      </c>
      <c r="H22" s="42">
        <v>1307</v>
      </c>
      <c r="I22" s="44">
        <f t="shared" si="1"/>
        <v>15030500</v>
      </c>
      <c r="J22" s="42">
        <f t="shared" si="7"/>
        <v>0.95859767501558546</v>
      </c>
      <c r="K22" s="42">
        <f t="shared" si="8"/>
        <v>52.440384615384616</v>
      </c>
      <c r="L22" s="42">
        <f t="shared" si="9"/>
        <v>50.269230769230766</v>
      </c>
      <c r="M22" s="45">
        <f t="shared" si="10"/>
        <v>120030500</v>
      </c>
      <c r="N22" s="18">
        <f>D22*'SUMMARY 2'!$I$29*'SUMMARY 2'!$I$28</f>
        <v>212567308.80000001</v>
      </c>
      <c r="O22" s="41" t="s">
        <v>269</v>
      </c>
      <c r="P22" s="41" t="s">
        <v>346</v>
      </c>
      <c r="Q22" s="41" t="str">
        <f t="shared" si="3"/>
        <v>HONGYANG 518</v>
      </c>
    </row>
    <row r="23" spans="2:17" x14ac:dyDescent="0.3">
      <c r="B23" s="41">
        <f t="shared" si="0"/>
        <v>16</v>
      </c>
      <c r="C23" s="41" t="s">
        <v>379</v>
      </c>
      <c r="D23" s="42">
        <v>1737.4600000000003</v>
      </c>
      <c r="E23" s="42">
        <v>32</v>
      </c>
      <c r="F23" s="49">
        <f>VLOOKUP(P23,'list rate unit'!$B$3:$K$41,10,FALSE)</f>
        <v>500000</v>
      </c>
      <c r="G23" s="44">
        <f>IF(D23=0,0,F23*$C$46)</f>
        <v>105000000</v>
      </c>
      <c r="H23" s="42">
        <v>1609</v>
      </c>
      <c r="I23" s="44">
        <f t="shared" si="1"/>
        <v>18503500</v>
      </c>
      <c r="J23" s="42">
        <f t="shared" ref="J23:J39" si="11">IFERROR(H23/D23,0)</f>
        <v>0.92606448493778259</v>
      </c>
      <c r="K23" s="42">
        <f t="shared" ref="K23:K39" si="12">IFERROR(D23/E23,0)</f>
        <v>54.295625000000008</v>
      </c>
      <c r="L23" s="42">
        <f t="shared" ref="L23:L39" si="13">H23/E23</f>
        <v>50.28125</v>
      </c>
      <c r="M23" s="45">
        <f t="shared" ref="M23:M39" si="14">G23+I23</f>
        <v>123503500</v>
      </c>
      <c r="N23" s="18">
        <f>D23*'SUMMARY 2'!$I$29*'SUMMARY 2'!$I$28</f>
        <v>270876963.84000003</v>
      </c>
      <c r="O23" s="41" t="s">
        <v>269</v>
      </c>
      <c r="P23" s="41" t="s">
        <v>346</v>
      </c>
      <c r="Q23" s="41" t="str">
        <f t="shared" ref="Q23:Q39" si="15">C23</f>
        <v>HONGYANG 519</v>
      </c>
    </row>
    <row r="24" spans="2:17" x14ac:dyDescent="0.3">
      <c r="B24" s="41">
        <f t="shared" si="0"/>
        <v>17</v>
      </c>
      <c r="C24" s="41" t="s">
        <v>380</v>
      </c>
      <c r="D24" s="42">
        <v>1266.0899999999999</v>
      </c>
      <c r="E24" s="42">
        <v>24</v>
      </c>
      <c r="F24" s="49">
        <f>VLOOKUP(P24,'list rate unit'!$B$3:$K$41,10,FALSE)</f>
        <v>500000</v>
      </c>
      <c r="G24" s="44">
        <f>IF(D24=0,0,F24*$C$46)</f>
        <v>105000000</v>
      </c>
      <c r="H24" s="42">
        <v>1290</v>
      </c>
      <c r="I24" s="44">
        <f t="shared" si="1"/>
        <v>14835000</v>
      </c>
      <c r="J24" s="42">
        <f t="shared" si="11"/>
        <v>1.0188849133947824</v>
      </c>
      <c r="K24" s="42">
        <f t="shared" si="12"/>
        <v>52.753749999999997</v>
      </c>
      <c r="L24" s="42">
        <f t="shared" si="13"/>
        <v>53.75</v>
      </c>
      <c r="M24" s="45">
        <f t="shared" si="14"/>
        <v>119835000</v>
      </c>
      <c r="N24" s="18">
        <f>D24*'SUMMARY 2'!$I$29*'SUMMARY 2'!$I$28</f>
        <v>197388495.35999998</v>
      </c>
      <c r="O24" s="41" t="s">
        <v>269</v>
      </c>
      <c r="P24" s="41" t="s">
        <v>346</v>
      </c>
      <c r="Q24" s="41" t="str">
        <f t="shared" si="15"/>
        <v>HONGYANG 520</v>
      </c>
    </row>
    <row r="25" spans="2:17" x14ac:dyDescent="0.3">
      <c r="B25" s="41">
        <f t="shared" si="0"/>
        <v>18</v>
      </c>
      <c r="C25" s="41" t="s">
        <v>381</v>
      </c>
      <c r="D25" s="42">
        <v>1761.41</v>
      </c>
      <c r="E25" s="42">
        <v>33</v>
      </c>
      <c r="F25" s="49">
        <f>VLOOKUP(P25,'list rate unit'!$B$3:$K$41,10,FALSE)</f>
        <v>500000</v>
      </c>
      <c r="G25" s="44">
        <f>IF(D25=0,0,F25*$C$46)</f>
        <v>105000000</v>
      </c>
      <c r="H25" s="42">
        <v>1446</v>
      </c>
      <c r="I25" s="44">
        <f t="shared" si="1"/>
        <v>16629000</v>
      </c>
      <c r="J25" s="42">
        <f t="shared" si="11"/>
        <v>0.82093322962853621</v>
      </c>
      <c r="K25" s="42">
        <f t="shared" si="12"/>
        <v>53.376060606060605</v>
      </c>
      <c r="L25" s="42">
        <f t="shared" si="13"/>
        <v>43.81818181818182</v>
      </c>
      <c r="M25" s="45">
        <f t="shared" si="14"/>
        <v>121629000</v>
      </c>
      <c r="N25" s="18">
        <f>D25*'SUMMARY 2'!$I$29*'SUMMARY 2'!$I$28</f>
        <v>274610864.63999999</v>
      </c>
      <c r="O25" s="41" t="s">
        <v>269</v>
      </c>
      <c r="P25" s="41" t="s">
        <v>346</v>
      </c>
      <c r="Q25" s="41" t="str">
        <f t="shared" si="15"/>
        <v>HONGYANG 521</v>
      </c>
    </row>
    <row r="26" spans="2:17" x14ac:dyDescent="0.3">
      <c r="B26" s="41">
        <f t="shared" si="0"/>
        <v>19</v>
      </c>
      <c r="C26" s="41" t="s">
        <v>382</v>
      </c>
      <c r="D26" s="42">
        <v>1980.97</v>
      </c>
      <c r="E26" s="42">
        <v>37</v>
      </c>
      <c r="F26" s="49">
        <f>VLOOKUP(P26,'list rate unit'!$B$3:$K$41,10,FALSE)</f>
        <v>500000</v>
      </c>
      <c r="G26" s="44">
        <f>IF(D26=0,0,F26*$C$46)</f>
        <v>105000000</v>
      </c>
      <c r="H26" s="42">
        <v>1969</v>
      </c>
      <c r="I26" s="44">
        <f t="shared" si="1"/>
        <v>22643500</v>
      </c>
      <c r="J26" s="42">
        <f t="shared" si="11"/>
        <v>0.99395750566641594</v>
      </c>
      <c r="K26" s="42">
        <f t="shared" si="12"/>
        <v>53.539729729729729</v>
      </c>
      <c r="L26" s="42">
        <f t="shared" si="13"/>
        <v>53.216216216216218</v>
      </c>
      <c r="M26" s="45">
        <f t="shared" si="14"/>
        <v>127643500</v>
      </c>
      <c r="N26" s="18">
        <f>D26*'SUMMARY 2'!$I$29*'SUMMARY 2'!$I$28</f>
        <v>308841146.88</v>
      </c>
      <c r="O26" s="41" t="s">
        <v>269</v>
      </c>
      <c r="P26" s="41" t="s">
        <v>346</v>
      </c>
      <c r="Q26" s="41" t="str">
        <f t="shared" si="15"/>
        <v>HONGYANG 522</v>
      </c>
    </row>
    <row r="27" spans="2:17" x14ac:dyDescent="0.3">
      <c r="B27" s="41">
        <f t="shared" si="0"/>
        <v>20</v>
      </c>
      <c r="C27" s="41" t="s">
        <v>383</v>
      </c>
      <c r="D27" s="42">
        <v>217.1</v>
      </c>
      <c r="E27" s="42">
        <v>4</v>
      </c>
      <c r="F27" s="49">
        <f>VLOOKUP(P27,'list rate unit'!$B$3:$K$41,10,FALSE)</f>
        <v>500000</v>
      </c>
      <c r="G27" s="44">
        <f>IF(D27=0,0,F27*$C$46)</f>
        <v>105000000</v>
      </c>
      <c r="H27" s="42">
        <v>171</v>
      </c>
      <c r="I27" s="44">
        <f t="shared" si="1"/>
        <v>1966500</v>
      </c>
      <c r="J27" s="42">
        <f t="shared" si="11"/>
        <v>0.78765545831414097</v>
      </c>
      <c r="K27" s="42">
        <f t="shared" si="12"/>
        <v>54.274999999999999</v>
      </c>
      <c r="L27" s="42">
        <f t="shared" si="13"/>
        <v>42.75</v>
      </c>
      <c r="M27" s="45">
        <f t="shared" si="14"/>
        <v>106966500</v>
      </c>
      <c r="N27" s="18">
        <f>D27*'SUMMARY 2'!$I$29*'SUMMARY 2'!$I$28</f>
        <v>33846758.399999999</v>
      </c>
      <c r="O27" s="41" t="s">
        <v>269</v>
      </c>
      <c r="P27" s="41" t="s">
        <v>346</v>
      </c>
      <c r="Q27" s="41" t="str">
        <f t="shared" si="15"/>
        <v>HONGYANG 523</v>
      </c>
    </row>
    <row r="28" spans="2:17" x14ac:dyDescent="0.3">
      <c r="B28" s="41">
        <f t="shared" si="0"/>
        <v>21</v>
      </c>
      <c r="C28" s="41" t="s">
        <v>384</v>
      </c>
      <c r="D28" s="42">
        <v>1126.52</v>
      </c>
      <c r="E28" s="42">
        <v>21</v>
      </c>
      <c r="F28" s="49">
        <f>VLOOKUP(P28,'list rate unit'!$B$3:$K$41,10,FALSE)</f>
        <v>500000</v>
      </c>
      <c r="G28" s="44">
        <f>IF(D28=0,0,F28*$C$46)</f>
        <v>105000000</v>
      </c>
      <c r="H28" s="42">
        <v>1109</v>
      </c>
      <c r="I28" s="44">
        <f t="shared" si="1"/>
        <v>12753500</v>
      </c>
      <c r="J28" s="42">
        <f t="shared" si="11"/>
        <v>0.98444767957959023</v>
      </c>
      <c r="K28" s="42">
        <f t="shared" si="12"/>
        <v>53.643809523809523</v>
      </c>
      <c r="L28" s="42">
        <f t="shared" si="13"/>
        <v>52.80952380952381</v>
      </c>
      <c r="M28" s="45">
        <f t="shared" si="14"/>
        <v>117753500</v>
      </c>
      <c r="N28" s="18">
        <f>D28*'SUMMARY 2'!$I$29*'SUMMARY 2'!$I$28</f>
        <v>175628974.07999998</v>
      </c>
      <c r="O28" s="41" t="s">
        <v>269</v>
      </c>
      <c r="P28" s="41" t="s">
        <v>346</v>
      </c>
      <c r="Q28" s="41" t="str">
        <f t="shared" si="15"/>
        <v>HONGYANG 524</v>
      </c>
    </row>
    <row r="29" spans="2:17" x14ac:dyDescent="0.3">
      <c r="B29" s="41">
        <f t="shared" si="0"/>
        <v>22</v>
      </c>
      <c r="C29" s="41" t="s">
        <v>385</v>
      </c>
      <c r="D29" s="42">
        <v>809.82</v>
      </c>
      <c r="E29" s="42">
        <v>15</v>
      </c>
      <c r="F29" s="49">
        <f>VLOOKUP(P29,'list rate unit'!$B$3:$K$41,10,FALSE)</f>
        <v>500000</v>
      </c>
      <c r="G29" s="44">
        <f>IF(D29=0,0,F29*$C$46)</f>
        <v>105000000</v>
      </c>
      <c r="H29" s="42">
        <v>842</v>
      </c>
      <c r="I29" s="44">
        <f t="shared" si="1"/>
        <v>9683000</v>
      </c>
      <c r="J29" s="42">
        <f t="shared" si="11"/>
        <v>1.0397372255562964</v>
      </c>
      <c r="K29" s="42">
        <f t="shared" si="12"/>
        <v>53.988000000000007</v>
      </c>
      <c r="L29" s="42">
        <f t="shared" si="13"/>
        <v>56.133333333333333</v>
      </c>
      <c r="M29" s="45">
        <f t="shared" si="14"/>
        <v>114683000</v>
      </c>
      <c r="N29" s="18">
        <f>D29*'SUMMARY 2'!$I$29*'SUMMARY 2'!$I$28</f>
        <v>126254177.28</v>
      </c>
      <c r="O29" s="41" t="s">
        <v>269</v>
      </c>
      <c r="P29" s="41" t="s">
        <v>346</v>
      </c>
      <c r="Q29" s="41" t="str">
        <f t="shared" si="15"/>
        <v>HONGYANG 525</v>
      </c>
    </row>
    <row r="30" spans="2:17" x14ac:dyDescent="0.3">
      <c r="B30" s="41">
        <f t="shared" si="0"/>
        <v>23</v>
      </c>
      <c r="C30" s="41" t="s">
        <v>386</v>
      </c>
      <c r="D30" s="42">
        <v>1335.26</v>
      </c>
      <c r="E30" s="42">
        <v>24</v>
      </c>
      <c r="F30" s="49">
        <f>VLOOKUP(P30,'list rate unit'!$B$3:$K$41,10,FALSE)</f>
        <v>500000</v>
      </c>
      <c r="G30" s="44">
        <f>IF(D30=0,0,F30*$C$46)</f>
        <v>105000000</v>
      </c>
      <c r="H30" s="42">
        <v>1168</v>
      </c>
      <c r="I30" s="44">
        <f t="shared" si="1"/>
        <v>13432000</v>
      </c>
      <c r="J30" s="42">
        <f t="shared" si="11"/>
        <v>0.87473600647064986</v>
      </c>
      <c r="K30" s="42">
        <f t="shared" si="12"/>
        <v>55.635833333333331</v>
      </c>
      <c r="L30" s="42">
        <f t="shared" si="13"/>
        <v>48.666666666666664</v>
      </c>
      <c r="M30" s="45">
        <f t="shared" si="14"/>
        <v>118432000</v>
      </c>
      <c r="N30" s="18">
        <f>D30*'SUMMARY 2'!$I$29*'SUMMARY 2'!$I$28</f>
        <v>208172375.03999999</v>
      </c>
      <c r="O30" s="41" t="s">
        <v>269</v>
      </c>
      <c r="P30" s="41" t="s">
        <v>346</v>
      </c>
      <c r="Q30" s="41" t="str">
        <f t="shared" si="15"/>
        <v>HONGYANG 526</v>
      </c>
    </row>
    <row r="31" spans="2:17" x14ac:dyDescent="0.3">
      <c r="B31" s="41">
        <f t="shared" si="0"/>
        <v>24</v>
      </c>
      <c r="C31" s="41" t="s">
        <v>387</v>
      </c>
      <c r="D31" s="42">
        <v>1555.13</v>
      </c>
      <c r="E31" s="42">
        <v>29</v>
      </c>
      <c r="F31" s="49">
        <f>VLOOKUP(P31,'list rate unit'!$B$3:$K$41,10,FALSE)</f>
        <v>500000</v>
      </c>
      <c r="G31" s="44">
        <f>IF(D31=0,0,F31*$C$46)</f>
        <v>105000000</v>
      </c>
      <c r="H31" s="42">
        <v>1712</v>
      </c>
      <c r="I31" s="44">
        <f t="shared" si="1"/>
        <v>19688000</v>
      </c>
      <c r="J31" s="42">
        <f t="shared" si="11"/>
        <v>1.1008725958601531</v>
      </c>
      <c r="K31" s="42">
        <f t="shared" si="12"/>
        <v>53.625172413793109</v>
      </c>
      <c r="L31" s="42">
        <f t="shared" si="13"/>
        <v>59.03448275862069</v>
      </c>
      <c r="M31" s="45">
        <f t="shared" si="14"/>
        <v>124688000</v>
      </c>
      <c r="N31" s="18">
        <f>D31*'SUMMARY 2'!$I$29*'SUMMARY 2'!$I$28</f>
        <v>242450987.52000001</v>
      </c>
      <c r="O31" s="41" t="s">
        <v>269</v>
      </c>
      <c r="P31" s="41" t="s">
        <v>346</v>
      </c>
      <c r="Q31" s="41" t="str">
        <f t="shared" si="15"/>
        <v>HONGYANG 527</v>
      </c>
    </row>
    <row r="32" spans="2:17" x14ac:dyDescent="0.3">
      <c r="B32" s="41">
        <f t="shared" si="0"/>
        <v>25</v>
      </c>
      <c r="C32" s="41" t="s">
        <v>388</v>
      </c>
      <c r="D32" s="42">
        <v>750.25</v>
      </c>
      <c r="E32" s="42">
        <v>14</v>
      </c>
      <c r="F32" s="49">
        <f>VLOOKUP(P32,'list rate unit'!$B$3:$K$41,10,FALSE)</f>
        <v>500000</v>
      </c>
      <c r="G32" s="44">
        <f>IF(D32=0,0,F32*$C$46)</f>
        <v>105000000</v>
      </c>
      <c r="H32" s="42">
        <v>699</v>
      </c>
      <c r="I32" s="44">
        <f t="shared" si="1"/>
        <v>8038500</v>
      </c>
      <c r="J32" s="42">
        <f t="shared" si="11"/>
        <v>0.93168943685438188</v>
      </c>
      <c r="K32" s="42">
        <f t="shared" si="12"/>
        <v>53.589285714285715</v>
      </c>
      <c r="L32" s="42">
        <f t="shared" si="13"/>
        <v>49.928571428571431</v>
      </c>
      <c r="M32" s="45">
        <f t="shared" si="14"/>
        <v>113038500</v>
      </c>
      <c r="N32" s="18">
        <f>D32*'SUMMARY 2'!$I$29*'SUMMARY 2'!$I$28</f>
        <v>116966976</v>
      </c>
      <c r="O32" s="41" t="s">
        <v>269</v>
      </c>
      <c r="P32" s="41" t="s">
        <v>346</v>
      </c>
      <c r="Q32" s="41" t="str">
        <f t="shared" si="15"/>
        <v>HONGYANG 528</v>
      </c>
    </row>
    <row r="33" spans="2:17" x14ac:dyDescent="0.3">
      <c r="B33" s="41">
        <f t="shared" si="0"/>
        <v>26</v>
      </c>
      <c r="C33" s="41" t="s">
        <v>389</v>
      </c>
      <c r="D33" s="42">
        <v>479.20000000000005</v>
      </c>
      <c r="E33" s="42">
        <v>9</v>
      </c>
      <c r="F33" s="49">
        <f>VLOOKUP(P33,'list rate unit'!$B$3:$K$41,10,FALSE)</f>
        <v>500000</v>
      </c>
      <c r="G33" s="44">
        <f>IF(D33=0,0,F33*$C$46)</f>
        <v>105000000</v>
      </c>
      <c r="H33" s="42">
        <v>466</v>
      </c>
      <c r="I33" s="44">
        <f t="shared" si="1"/>
        <v>5359000</v>
      </c>
      <c r="J33" s="42">
        <f t="shared" si="11"/>
        <v>0.97245409015025031</v>
      </c>
      <c r="K33" s="42">
        <f t="shared" si="12"/>
        <v>53.244444444444447</v>
      </c>
      <c r="L33" s="42">
        <f t="shared" si="13"/>
        <v>51.777777777777779</v>
      </c>
      <c r="M33" s="45">
        <f t="shared" si="14"/>
        <v>110359000</v>
      </c>
      <c r="N33" s="18">
        <f>D33*'SUMMARY 2'!$I$29*'SUMMARY 2'!$I$28</f>
        <v>74709196.800000012</v>
      </c>
      <c r="O33" s="41" t="s">
        <v>269</v>
      </c>
      <c r="P33" s="41" t="s">
        <v>346</v>
      </c>
      <c r="Q33" s="41" t="str">
        <f t="shared" si="15"/>
        <v>HONGYANG 529</v>
      </c>
    </row>
    <row r="34" spans="2:17" x14ac:dyDescent="0.3">
      <c r="B34" s="41">
        <f t="shared" si="0"/>
        <v>27</v>
      </c>
      <c r="C34" s="41" t="s">
        <v>390</v>
      </c>
      <c r="D34" s="42">
        <v>1030.44</v>
      </c>
      <c r="E34" s="42">
        <v>19</v>
      </c>
      <c r="F34" s="49">
        <f>VLOOKUP(P34,'list rate unit'!$B$3:$K$41,10,FALSE)</f>
        <v>500000</v>
      </c>
      <c r="G34" s="44">
        <f>IF(D34=0,0,F34*$C$46)</f>
        <v>105000000</v>
      </c>
      <c r="H34" s="42">
        <v>1018</v>
      </c>
      <c r="I34" s="44">
        <f t="shared" si="1"/>
        <v>11707000</v>
      </c>
      <c r="J34" s="42">
        <f t="shared" si="11"/>
        <v>0.9879274872869841</v>
      </c>
      <c r="K34" s="42">
        <f t="shared" si="12"/>
        <v>54.23368421052632</v>
      </c>
      <c r="L34" s="42">
        <f t="shared" si="13"/>
        <v>53.578947368421055</v>
      </c>
      <c r="M34" s="45">
        <f t="shared" si="14"/>
        <v>116707000</v>
      </c>
      <c r="N34" s="18">
        <f>D34*'SUMMARY 2'!$I$29*'SUMMARY 2'!$I$28</f>
        <v>160649717.76000002</v>
      </c>
      <c r="O34" s="41" t="s">
        <v>269</v>
      </c>
      <c r="P34" s="41" t="s">
        <v>346</v>
      </c>
      <c r="Q34" s="41" t="str">
        <f t="shared" si="15"/>
        <v>HONGYANG 530</v>
      </c>
    </row>
    <row r="35" spans="2:17" x14ac:dyDescent="0.3">
      <c r="B35" s="41">
        <f t="shared" si="0"/>
        <v>28</v>
      </c>
      <c r="C35" s="41" t="s">
        <v>391</v>
      </c>
      <c r="D35" s="42">
        <v>1855.56</v>
      </c>
      <c r="E35" s="42">
        <v>34</v>
      </c>
      <c r="F35" s="49">
        <f>VLOOKUP(P35,'list rate unit'!$B$3:$K$41,10,FALSE)</f>
        <v>500000</v>
      </c>
      <c r="G35" s="44">
        <f>IF(D35=0,0,F35*$C$46)</f>
        <v>105000000</v>
      </c>
      <c r="H35" s="42">
        <v>1623</v>
      </c>
      <c r="I35" s="44">
        <f t="shared" si="1"/>
        <v>18664500</v>
      </c>
      <c r="J35" s="42">
        <f t="shared" si="11"/>
        <v>0.87466856366811097</v>
      </c>
      <c r="K35" s="42">
        <f t="shared" si="12"/>
        <v>54.575294117647054</v>
      </c>
      <c r="L35" s="42">
        <f t="shared" si="13"/>
        <v>47.735294117647058</v>
      </c>
      <c r="M35" s="45">
        <f t="shared" si="14"/>
        <v>123664500</v>
      </c>
      <c r="N35" s="18">
        <f>D35*'SUMMARY 2'!$I$29*'SUMMARY 2'!$I$28</f>
        <v>289289226.24000001</v>
      </c>
      <c r="O35" s="41" t="s">
        <v>269</v>
      </c>
      <c r="P35" s="41" t="s">
        <v>346</v>
      </c>
      <c r="Q35" s="41" t="str">
        <f t="shared" si="15"/>
        <v>HONGYANG 531</v>
      </c>
    </row>
    <row r="36" spans="2:17" x14ac:dyDescent="0.3">
      <c r="B36" s="41">
        <f t="shared" si="0"/>
        <v>29</v>
      </c>
      <c r="C36" s="41" t="s">
        <v>392</v>
      </c>
      <c r="D36" s="42">
        <v>1294.77</v>
      </c>
      <c r="E36" s="42">
        <v>24</v>
      </c>
      <c r="F36" s="49">
        <f>VLOOKUP(P36,'list rate unit'!$B$3:$K$41,10,FALSE)</f>
        <v>500000</v>
      </c>
      <c r="G36" s="44">
        <f>IF(D36=0,0,F36*$C$46)</f>
        <v>105000000</v>
      </c>
      <c r="H36" s="42">
        <v>1144</v>
      </c>
      <c r="I36" s="44">
        <f t="shared" si="1"/>
        <v>13156000</v>
      </c>
      <c r="J36" s="42">
        <f t="shared" si="11"/>
        <v>0.88355460815434406</v>
      </c>
      <c r="K36" s="42">
        <f t="shared" si="12"/>
        <v>53.948749999999997</v>
      </c>
      <c r="L36" s="42">
        <f t="shared" si="13"/>
        <v>47.666666666666664</v>
      </c>
      <c r="M36" s="45">
        <f t="shared" si="14"/>
        <v>118156000</v>
      </c>
      <c r="N36" s="18">
        <f>D36*'SUMMARY 2'!$I$29*'SUMMARY 2'!$I$28</f>
        <v>201859822.07999998</v>
      </c>
      <c r="O36" s="41" t="s">
        <v>269</v>
      </c>
      <c r="P36" s="41" t="s">
        <v>346</v>
      </c>
      <c r="Q36" s="41" t="str">
        <f t="shared" si="15"/>
        <v>HONGYANG 532</v>
      </c>
    </row>
    <row r="37" spans="2:17" x14ac:dyDescent="0.3">
      <c r="B37" s="41">
        <f t="shared" si="0"/>
        <v>30</v>
      </c>
      <c r="C37" s="41" t="s">
        <v>393</v>
      </c>
      <c r="D37" s="42">
        <v>1305.04</v>
      </c>
      <c r="E37" s="42">
        <v>24</v>
      </c>
      <c r="F37" s="49">
        <f>VLOOKUP(P37,'list rate unit'!$B$3:$K$41,10,FALSE)</f>
        <v>500000</v>
      </c>
      <c r="G37" s="44">
        <f>IF(D37=0,0,F37*$C$46)</f>
        <v>105000000</v>
      </c>
      <c r="H37" s="42">
        <v>1270</v>
      </c>
      <c r="I37" s="44">
        <f t="shared" si="1"/>
        <v>14605000</v>
      </c>
      <c r="J37" s="42">
        <f t="shared" si="11"/>
        <v>0.97315024826825236</v>
      </c>
      <c r="K37" s="42">
        <f t="shared" si="12"/>
        <v>54.376666666666665</v>
      </c>
      <c r="L37" s="42">
        <f t="shared" si="13"/>
        <v>52.916666666666664</v>
      </c>
      <c r="M37" s="45">
        <f t="shared" si="14"/>
        <v>119605000</v>
      </c>
      <c r="N37" s="18">
        <f>D37*'SUMMARY 2'!$I$29*'SUMMARY 2'!$I$28</f>
        <v>203460956.16</v>
      </c>
      <c r="O37" s="41" t="s">
        <v>269</v>
      </c>
      <c r="P37" s="41" t="s">
        <v>346</v>
      </c>
      <c r="Q37" s="41" t="str">
        <f t="shared" si="15"/>
        <v>HONGYANG 533</v>
      </c>
    </row>
    <row r="38" spans="2:17" x14ac:dyDescent="0.3">
      <c r="B38" s="41">
        <f t="shared" si="0"/>
        <v>31</v>
      </c>
      <c r="C38" s="41" t="s">
        <v>394</v>
      </c>
      <c r="D38" s="42">
        <v>585.9</v>
      </c>
      <c r="E38" s="42">
        <v>11</v>
      </c>
      <c r="F38" s="49">
        <f>VLOOKUP(P38,'list rate unit'!$B$3:$K$41,10,FALSE)</f>
        <v>500000</v>
      </c>
      <c r="G38" s="44">
        <f>IF(D38=0,0,F38*$C$46)</f>
        <v>105000000</v>
      </c>
      <c r="H38" s="42">
        <v>560</v>
      </c>
      <c r="I38" s="44">
        <f t="shared" si="1"/>
        <v>6440000</v>
      </c>
      <c r="J38" s="42">
        <f t="shared" si="11"/>
        <v>0.95579450418160095</v>
      </c>
      <c r="K38" s="42">
        <f t="shared" si="12"/>
        <v>53.263636363636358</v>
      </c>
      <c r="L38" s="42">
        <f t="shared" si="13"/>
        <v>50.909090909090907</v>
      </c>
      <c r="M38" s="45">
        <f t="shared" si="14"/>
        <v>111440000</v>
      </c>
      <c r="N38" s="18">
        <f>D38*'SUMMARY 2'!$I$29*'SUMMARY 2'!$I$28</f>
        <v>91344153.599999994</v>
      </c>
      <c r="O38" s="41" t="s">
        <v>269</v>
      </c>
      <c r="P38" s="41" t="s">
        <v>346</v>
      </c>
      <c r="Q38" s="41" t="str">
        <f t="shared" si="15"/>
        <v>HONGYANG 534</v>
      </c>
    </row>
    <row r="39" spans="2:17" x14ac:dyDescent="0.3">
      <c r="B39" s="41">
        <f t="shared" si="0"/>
        <v>32</v>
      </c>
      <c r="C39" s="41" t="s">
        <v>395</v>
      </c>
      <c r="D39" s="42">
        <v>1150.42</v>
      </c>
      <c r="E39" s="42">
        <v>22</v>
      </c>
      <c r="F39" s="49">
        <f>VLOOKUP(P39,'list rate unit'!$B$3:$K$41,10,FALSE)</f>
        <v>500000</v>
      </c>
      <c r="G39" s="44">
        <f>IF(D39=0,0,F39*$C$46)</f>
        <v>105000000</v>
      </c>
      <c r="H39" s="42">
        <v>1103</v>
      </c>
      <c r="I39" s="44">
        <f t="shared" si="1"/>
        <v>12684500</v>
      </c>
      <c r="J39" s="42">
        <f t="shared" si="11"/>
        <v>0.95878027155299794</v>
      </c>
      <c r="K39" s="42">
        <f t="shared" si="12"/>
        <v>52.291818181818186</v>
      </c>
      <c r="L39" s="42">
        <f t="shared" si="13"/>
        <v>50.136363636363633</v>
      </c>
      <c r="M39" s="45">
        <f t="shared" si="14"/>
        <v>117684500</v>
      </c>
      <c r="N39" s="18">
        <f>D39*'SUMMARY 2'!$I$29*'SUMMARY 2'!$I$28</f>
        <v>179355079.68000001</v>
      </c>
      <c r="O39" s="41" t="s">
        <v>269</v>
      </c>
      <c r="P39" s="41" t="s">
        <v>346</v>
      </c>
      <c r="Q39" s="41" t="str">
        <f t="shared" si="15"/>
        <v>HONGYANG 535</v>
      </c>
    </row>
    <row r="40" spans="2:17" x14ac:dyDescent="0.3">
      <c r="D40" s="18"/>
      <c r="E40" s="18"/>
      <c r="H40" s="18"/>
      <c r="I40" s="30"/>
      <c r="J40" s="18"/>
      <c r="K40" s="18"/>
      <c r="L40" s="18"/>
      <c r="M40" s="33"/>
      <c r="N40" s="18"/>
    </row>
    <row r="41" spans="2:17" ht="15.75" customHeight="1" x14ac:dyDescent="0.3">
      <c r="B41" s="249" t="s">
        <v>21</v>
      </c>
      <c r="C41" s="249"/>
      <c r="D41" s="46">
        <f>SUM(D8:D40)</f>
        <v>37314.719999999994</v>
      </c>
      <c r="E41" s="46">
        <f>SUM(E8:E40)</f>
        <v>694</v>
      </c>
      <c r="F41" s="50"/>
      <c r="G41" s="51">
        <f>SUM(G8:G40)</f>
        <v>3360000000</v>
      </c>
      <c r="H41" s="46">
        <f>SUM(H8:H40)</f>
        <v>34984</v>
      </c>
      <c r="I41" s="47">
        <f>SUM(I8:I40)</f>
        <v>402316000</v>
      </c>
      <c r="J41" s="46">
        <f>IFERROR(H41/D41,0)</f>
        <v>0.93753885865953179</v>
      </c>
      <c r="K41" s="46">
        <f>IFERROR(D41/E41,0)</f>
        <v>53.767608069164254</v>
      </c>
      <c r="L41" s="46">
        <f>IFERROR(H41/E41,0)</f>
        <v>50.409221902017293</v>
      </c>
      <c r="M41" s="48">
        <f>SUM(M8:M40)</f>
        <v>3762316000</v>
      </c>
      <c r="N41" s="17">
        <f>SUM(N8:N39)</f>
        <v>5817514106.8800011</v>
      </c>
    </row>
    <row r="43" spans="2:17" x14ac:dyDescent="0.3">
      <c r="B43" s="28"/>
      <c r="C43" s="15" t="s">
        <v>58</v>
      </c>
      <c r="L43" s="18"/>
      <c r="M43" s="18"/>
      <c r="N43" s="18"/>
    </row>
    <row r="44" spans="2:17" x14ac:dyDescent="0.3">
      <c r="B44" s="35" t="s">
        <v>34</v>
      </c>
      <c r="C44" s="29">
        <f>'REPORT unit OB'!C60</f>
        <v>14848</v>
      </c>
      <c r="D44" s="30"/>
      <c r="H44" s="18">
        <f>H41+'REPORT unit ORE GETTING'!G31</f>
        <v>61069.691123626122</v>
      </c>
    </row>
    <row r="45" spans="2:17" x14ac:dyDescent="0.3">
      <c r="B45" s="35" t="s">
        <v>35</v>
      </c>
      <c r="C45" s="29">
        <f>'SUMMARY 2'!I13</f>
        <v>11500</v>
      </c>
      <c r="D45" s="30"/>
    </row>
    <row r="46" spans="2:17" x14ac:dyDescent="0.3">
      <c r="B46" s="35" t="s">
        <v>50</v>
      </c>
      <c r="C46" s="34">
        <v>210</v>
      </c>
      <c r="D46" s="29" t="s">
        <v>51</v>
      </c>
      <c r="G46" s="161"/>
    </row>
    <row r="47" spans="2:17" x14ac:dyDescent="0.3">
      <c r="D47" s="18"/>
    </row>
    <row r="48" spans="2:17" x14ac:dyDescent="0.3">
      <c r="G48" s="161"/>
    </row>
    <row r="50" spans="4:5" x14ac:dyDescent="0.3">
      <c r="D50" s="18"/>
    </row>
    <row r="52" spans="4:5" x14ac:dyDescent="0.3">
      <c r="E52" s="18"/>
    </row>
    <row r="53" spans="4:5" x14ac:dyDescent="0.3">
      <c r="E53" s="18"/>
    </row>
    <row r="54" spans="4:5" x14ac:dyDescent="0.3">
      <c r="E54" s="18"/>
    </row>
    <row r="55" spans="4:5" x14ac:dyDescent="0.3">
      <c r="E55" s="18"/>
    </row>
    <row r="56" spans="4:5" x14ac:dyDescent="0.3">
      <c r="E56" s="18"/>
    </row>
    <row r="57" spans="4:5" x14ac:dyDescent="0.3">
      <c r="E57" s="18"/>
    </row>
    <row r="58" spans="4:5" x14ac:dyDescent="0.3">
      <c r="E58" s="18"/>
    </row>
    <row r="59" spans="4:5" x14ac:dyDescent="0.3">
      <c r="E59" s="18"/>
    </row>
    <row r="60" spans="4:5" x14ac:dyDescent="0.3">
      <c r="E60" s="18"/>
    </row>
    <row r="61" spans="4:5" x14ac:dyDescent="0.3">
      <c r="E61" s="18"/>
    </row>
    <row r="62" spans="4:5" x14ac:dyDescent="0.3">
      <c r="E62" s="18"/>
    </row>
    <row r="63" spans="4:5" x14ac:dyDescent="0.3">
      <c r="E63" s="18"/>
    </row>
    <row r="64" spans="4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</sheetData>
  <autoFilter ref="B7:Q39" xr:uid="{00000000-0009-0000-0000-000004000000}">
    <filterColumn colId="14" showButton="0"/>
  </autoFilter>
  <mergeCells count="14">
    <mergeCell ref="B2:C3"/>
    <mergeCell ref="B41:C41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J8:J39">
    <cfRule type="cellIs" dxfId="1" priority="1" operator="greaterThanOrEqual">
      <formula>1.75</formula>
    </cfRule>
  </conditionalFormatting>
  <conditionalFormatting sqref="C8:C39">
    <cfRule type="duplicateValues" dxfId="0" priority="59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33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K21" sqref="K2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46" t="s">
        <v>83</v>
      </c>
      <c r="C2" s="246"/>
    </row>
    <row r="3" spans="2:12" x14ac:dyDescent="0.3">
      <c r="B3" s="246"/>
      <c r="C3" s="246"/>
    </row>
    <row r="5" spans="2:12" ht="15" customHeight="1" x14ac:dyDescent="0.3">
      <c r="B5" s="247" t="s">
        <v>1</v>
      </c>
      <c r="C5" s="247" t="s">
        <v>88</v>
      </c>
      <c r="D5" s="247" t="s">
        <v>91</v>
      </c>
      <c r="E5" s="251" t="s">
        <v>37</v>
      </c>
      <c r="F5" s="251"/>
      <c r="G5" s="247" t="s">
        <v>90</v>
      </c>
      <c r="H5" s="248" t="s">
        <v>82</v>
      </c>
      <c r="I5" s="31"/>
      <c r="J5" s="247" t="s">
        <v>47</v>
      </c>
      <c r="K5" s="247" t="s">
        <v>89</v>
      </c>
      <c r="L5" s="247"/>
    </row>
    <row r="6" spans="2:12" ht="15" customHeight="1" x14ac:dyDescent="0.3">
      <c r="B6" s="247"/>
      <c r="C6" s="247"/>
      <c r="D6" s="247"/>
      <c r="E6" s="39" t="s">
        <v>27</v>
      </c>
      <c r="F6" s="247" t="s">
        <v>28</v>
      </c>
      <c r="G6" s="247"/>
      <c r="H6" s="248"/>
      <c r="I6" s="31"/>
      <c r="J6" s="247"/>
      <c r="K6" s="247"/>
      <c r="L6" s="247"/>
    </row>
    <row r="7" spans="2:12" x14ac:dyDescent="0.3">
      <c r="B7" s="247"/>
      <c r="C7" s="247"/>
      <c r="D7" s="39" t="s">
        <v>45</v>
      </c>
      <c r="E7" s="39" t="s">
        <v>32</v>
      </c>
      <c r="F7" s="247"/>
      <c r="G7" s="39" t="s">
        <v>53</v>
      </c>
      <c r="H7" s="248"/>
      <c r="I7" s="31"/>
      <c r="J7" s="247"/>
      <c r="K7" s="247"/>
      <c r="L7" s="247"/>
    </row>
    <row r="8" spans="2:12" x14ac:dyDescent="0.3">
      <c r="B8" s="41">
        <f t="shared" ref="B8:B27" si="0">ROW(B8)-7</f>
        <v>1</v>
      </c>
      <c r="C8" s="41" t="s">
        <v>229</v>
      </c>
      <c r="D8" s="44">
        <f>IFERROR(VLOOKUP(K8,'list rate unit'!$B$6:$K$28,10,FALSE),0)</f>
        <v>8000000</v>
      </c>
      <c r="E8" s="42">
        <v>166</v>
      </c>
      <c r="F8" s="44">
        <f>E8*$C$32</f>
        <v>1909000</v>
      </c>
      <c r="G8" s="42"/>
      <c r="H8" s="45">
        <f>D8+F8</f>
        <v>9909000</v>
      </c>
      <c r="I8" s="18"/>
      <c r="J8" s="41"/>
      <c r="K8" s="41" t="str">
        <f>VLOOKUP(L8,'list rate unit'!O:P,2,FALSE)</f>
        <v>LV</v>
      </c>
      <c r="L8" s="41" t="str">
        <f t="shared" ref="L8" si="1">C8</f>
        <v>LV PAJERO PUTIH - 06</v>
      </c>
    </row>
    <row r="9" spans="2:12" x14ac:dyDescent="0.3">
      <c r="B9" s="41">
        <f t="shared" si="0"/>
        <v>2</v>
      </c>
      <c r="C9" s="41" t="s">
        <v>230</v>
      </c>
      <c r="D9" s="44">
        <f>IFERROR(VLOOKUP(K9,'list rate unit'!$B$6:$K$28,10,FALSE),0)</f>
        <v>8000000</v>
      </c>
      <c r="E9" s="42">
        <v>221</v>
      </c>
      <c r="F9" s="44">
        <f>E9*$C$32</f>
        <v>2541500</v>
      </c>
      <c r="G9" s="42"/>
      <c r="H9" s="45">
        <f t="shared" ref="H9" si="2">D9+F9</f>
        <v>10541500</v>
      </c>
      <c r="I9" s="18"/>
      <c r="J9" s="41"/>
      <c r="K9" s="41" t="str">
        <f>VLOOKUP(L9,'list rate unit'!O:P,2,FALSE)</f>
        <v>LV</v>
      </c>
      <c r="L9" s="41" t="str">
        <f t="shared" ref="L9:L24" si="3">C9</f>
        <v>LV TRITON HITAM - 08</v>
      </c>
    </row>
    <row r="10" spans="2:12" x14ac:dyDescent="0.3">
      <c r="B10" s="41">
        <f t="shared" si="0"/>
        <v>3</v>
      </c>
      <c r="C10" s="41" t="s">
        <v>231</v>
      </c>
      <c r="D10" s="44">
        <f>IFERROR(VLOOKUP(K10,'list rate unit'!$B$6:$K$28,10,FALSE),0)</f>
        <v>8000000</v>
      </c>
      <c r="E10" s="42">
        <v>71</v>
      </c>
      <c r="F10" s="44">
        <f>E10*$C$32</f>
        <v>816500</v>
      </c>
      <c r="G10" s="42"/>
      <c r="H10" s="45">
        <f t="shared" ref="H10" si="4">D10+F10</f>
        <v>8816500</v>
      </c>
      <c r="I10" s="18"/>
      <c r="J10" s="41"/>
      <c r="K10" s="41" t="str">
        <f>VLOOKUP(L10,'list rate unit'!O:P,2,FALSE)</f>
        <v>LV</v>
      </c>
      <c r="L10" s="41" t="str">
        <f t="shared" si="3"/>
        <v>LV PAJERO PUTIH - 09</v>
      </c>
    </row>
    <row r="11" spans="2:12" x14ac:dyDescent="0.3">
      <c r="B11" s="41">
        <f t="shared" si="0"/>
        <v>4</v>
      </c>
      <c r="C11" s="41" t="s">
        <v>244</v>
      </c>
      <c r="D11" s="44">
        <f>IFERROR(VLOOKUP(K11,'list rate unit'!$B$6:$K$28,10,FALSE),0)</f>
        <v>8000000</v>
      </c>
      <c r="E11" s="42">
        <v>126</v>
      </c>
      <c r="F11" s="44">
        <f>E11*$C$32</f>
        <v>1449000</v>
      </c>
      <c r="G11" s="42"/>
      <c r="H11" s="45">
        <f t="shared" ref="H11:H14" si="5">D11+F11</f>
        <v>9449000</v>
      </c>
      <c r="I11" s="18"/>
      <c r="J11" s="41"/>
      <c r="K11" s="41" t="str">
        <f>VLOOKUP(L11,'list rate unit'!O:P,2,FALSE)</f>
        <v>LV</v>
      </c>
      <c r="L11" s="41" t="str">
        <f t="shared" si="3"/>
        <v>LV HILUX SILVER - 10</v>
      </c>
    </row>
    <row r="12" spans="2:12" x14ac:dyDescent="0.3">
      <c r="B12" s="41">
        <f t="shared" si="0"/>
        <v>5</v>
      </c>
      <c r="C12" s="41" t="s">
        <v>271</v>
      </c>
      <c r="D12" s="44">
        <f>IFERROR(VLOOKUP(K12,'list rate unit'!$B$6:$K$28,10,FALSE),0)</f>
        <v>8000000</v>
      </c>
      <c r="E12" s="42">
        <v>330</v>
      </c>
      <c r="F12" s="44">
        <f>E12*$C$32</f>
        <v>3795000</v>
      </c>
      <c r="G12" s="42"/>
      <c r="H12" s="45">
        <f t="shared" si="5"/>
        <v>11795000</v>
      </c>
      <c r="I12" s="18"/>
      <c r="J12" s="41"/>
      <c r="K12" s="41" t="str">
        <f>VLOOKUP(L12,'list rate unit'!O:P,2,FALSE)</f>
        <v>LV</v>
      </c>
      <c r="L12" s="41" t="str">
        <f t="shared" si="3"/>
        <v>LV HILUX HITAM - 11</v>
      </c>
    </row>
    <row r="13" spans="2:12" x14ac:dyDescent="0.3">
      <c r="B13" s="41">
        <f t="shared" si="0"/>
        <v>6</v>
      </c>
      <c r="C13" s="41" t="s">
        <v>278</v>
      </c>
      <c r="D13" s="44">
        <f>IFERROR(VLOOKUP(K13,'list rate unit'!$B$6:$K$28,10,FALSE),0)</f>
        <v>8000000</v>
      </c>
      <c r="E13" s="42">
        <v>305</v>
      </c>
      <c r="F13" s="44">
        <f>E13*$C$32</f>
        <v>3507500</v>
      </c>
      <c r="G13" s="42"/>
      <c r="H13" s="45">
        <f t="shared" si="5"/>
        <v>11507500</v>
      </c>
      <c r="I13" s="18"/>
      <c r="J13" s="41"/>
      <c r="K13" s="41" t="str">
        <f>VLOOKUP(L13,'list rate unit'!O:P,2,FALSE)</f>
        <v>LV</v>
      </c>
      <c r="L13" s="41" t="str">
        <f t="shared" si="3"/>
        <v>LV TRITON PUTIH - 12</v>
      </c>
    </row>
    <row r="14" spans="2:12" x14ac:dyDescent="0.3">
      <c r="B14" s="41">
        <f t="shared" si="0"/>
        <v>7</v>
      </c>
      <c r="C14" s="41" t="s">
        <v>279</v>
      </c>
      <c r="D14" s="44">
        <f>IFERROR(VLOOKUP(K14,'list rate unit'!$B$6:$K$28,10,FALSE),0)</f>
        <v>8000000</v>
      </c>
      <c r="E14" s="42">
        <v>46</v>
      </c>
      <c r="F14" s="44">
        <f>E14*$C$32</f>
        <v>529000</v>
      </c>
      <c r="G14" s="42"/>
      <c r="H14" s="45">
        <f t="shared" si="5"/>
        <v>8529000</v>
      </c>
      <c r="I14" s="18"/>
      <c r="J14" s="41"/>
      <c r="K14" s="41" t="str">
        <f>VLOOKUP(L14,'list rate unit'!O:P,2,FALSE)</f>
        <v>LV</v>
      </c>
      <c r="L14" s="41" t="str">
        <f t="shared" si="3"/>
        <v>LV HILUX SILVER - 17</v>
      </c>
    </row>
    <row r="15" spans="2:12" x14ac:dyDescent="0.3">
      <c r="B15" s="41">
        <f t="shared" si="0"/>
        <v>8</v>
      </c>
      <c r="C15" s="41" t="s">
        <v>280</v>
      </c>
      <c r="D15" s="44">
        <f>IFERROR(VLOOKUP(K15,'list rate unit'!$B$6:$K$28,10,FALSE),0)</f>
        <v>8000000</v>
      </c>
      <c r="E15" s="42">
        <v>36</v>
      </c>
      <c r="F15" s="44">
        <f>E15*$C$32</f>
        <v>414000</v>
      </c>
      <c r="G15" s="42"/>
      <c r="H15" s="45">
        <f t="shared" ref="H15:H24" si="6">D15+F15</f>
        <v>8414000</v>
      </c>
      <c r="I15" s="18"/>
      <c r="J15" s="41"/>
      <c r="K15" s="41" t="str">
        <f>VLOOKUP(L15,'list rate unit'!O:P,2,FALSE)</f>
        <v>LV</v>
      </c>
      <c r="L15" s="41" t="str">
        <f t="shared" si="3"/>
        <v>LV HILUX HITAM - 18</v>
      </c>
    </row>
    <row r="16" spans="2:12" x14ac:dyDescent="0.3">
      <c r="B16" s="41">
        <f t="shared" si="0"/>
        <v>9</v>
      </c>
      <c r="C16" s="41" t="s">
        <v>281</v>
      </c>
      <c r="D16" s="44">
        <f>IFERROR(VLOOKUP(K16,'list rate unit'!$B$6:$K$28,10,FALSE),0)</f>
        <v>8000000</v>
      </c>
      <c r="E16" s="42">
        <v>55</v>
      </c>
      <c r="F16" s="44">
        <f>E16*$C$32</f>
        <v>632500</v>
      </c>
      <c r="G16" s="42"/>
      <c r="H16" s="45">
        <f t="shared" si="6"/>
        <v>8632500</v>
      </c>
      <c r="I16" s="18"/>
      <c r="J16" s="41"/>
      <c r="K16" s="41" t="str">
        <f>VLOOKUP(L16,'list rate unit'!O:P,2,FALSE)</f>
        <v>LV</v>
      </c>
      <c r="L16" s="41" t="str">
        <f t="shared" si="3"/>
        <v>LV HILUX SILVER - 19</v>
      </c>
    </row>
    <row r="17" spans="2:12" x14ac:dyDescent="0.3">
      <c r="B17" s="41">
        <f t="shared" si="0"/>
        <v>10</v>
      </c>
      <c r="C17" s="41" t="s">
        <v>335</v>
      </c>
      <c r="D17" s="44">
        <f>IFERROR(VLOOKUP(K17,'list rate unit'!$B$6:$K$28,10,FALSE),0)</f>
        <v>8000000</v>
      </c>
      <c r="E17" s="42">
        <v>40</v>
      </c>
      <c r="F17" s="44">
        <f>E17*$C$32</f>
        <v>460000</v>
      </c>
      <c r="G17" s="42"/>
      <c r="H17" s="45">
        <f t="shared" si="6"/>
        <v>8460000</v>
      </c>
      <c r="I17" s="18"/>
      <c r="J17" s="41"/>
      <c r="K17" s="41" t="str">
        <f>VLOOKUP(L17,'list rate unit'!O:P,2,FALSE)</f>
        <v>LV</v>
      </c>
      <c r="L17" s="41" t="str">
        <f t="shared" si="3"/>
        <v>LV HILUX SILVER - 20</v>
      </c>
    </row>
    <row r="18" spans="2:12" x14ac:dyDescent="0.3">
      <c r="B18" s="41">
        <f t="shared" si="0"/>
        <v>11</v>
      </c>
      <c r="C18" s="41" t="s">
        <v>301</v>
      </c>
      <c r="D18" s="44">
        <f>IFERROR(VLOOKUP(K18,'list rate unit'!$B$6:$K$28,10,FALSE),0)</f>
        <v>8000000</v>
      </c>
      <c r="E18" s="42">
        <v>44</v>
      </c>
      <c r="F18" s="44">
        <f>E18*$C$32</f>
        <v>506000</v>
      </c>
      <c r="G18" s="42"/>
      <c r="H18" s="45">
        <f t="shared" si="6"/>
        <v>8506000</v>
      </c>
      <c r="I18" s="18"/>
      <c r="J18" s="41"/>
      <c r="K18" s="41" t="str">
        <f>VLOOKUP(L18,'list rate unit'!O:P,2,FALSE)</f>
        <v>LV</v>
      </c>
      <c r="L18" s="41" t="str">
        <f t="shared" si="3"/>
        <v>LV PAJERO SILVER - 21</v>
      </c>
    </row>
    <row r="19" spans="2:12" x14ac:dyDescent="0.3">
      <c r="B19" s="41">
        <f t="shared" si="0"/>
        <v>12</v>
      </c>
      <c r="C19" s="41" t="s">
        <v>297</v>
      </c>
      <c r="D19" s="44">
        <f>IFERROR(VLOOKUP(K19,'list rate unit'!$B$6:$K$28,10,FALSE),0)</f>
        <v>8000000</v>
      </c>
      <c r="E19" s="42">
        <v>112</v>
      </c>
      <c r="F19" s="44">
        <f>E19*$C$32</f>
        <v>1288000</v>
      </c>
      <c r="G19" s="42"/>
      <c r="H19" s="45">
        <f t="shared" si="6"/>
        <v>9288000</v>
      </c>
      <c r="I19" s="18"/>
      <c r="J19" s="41"/>
      <c r="K19" s="41" t="str">
        <f>VLOOKUP(L19,'list rate unit'!O:P,2,FALSE)</f>
        <v>LV</v>
      </c>
      <c r="L19" s="41" t="str">
        <f t="shared" si="3"/>
        <v>LV LC-HIJAU - 29</v>
      </c>
    </row>
    <row r="20" spans="2:12" x14ac:dyDescent="0.3">
      <c r="B20" s="41">
        <f t="shared" si="0"/>
        <v>13</v>
      </c>
      <c r="C20" s="41" t="s">
        <v>256</v>
      </c>
      <c r="D20" s="44">
        <f>IFERROR(VLOOKUP(K20,'list rate unit'!$B$6:$K$28,10,FALSE),0)</f>
        <v>8000000</v>
      </c>
      <c r="E20" s="42">
        <v>30</v>
      </c>
      <c r="F20" s="44">
        <f>E20*$C$32</f>
        <v>345000</v>
      </c>
      <c r="G20" s="42"/>
      <c r="H20" s="45">
        <f t="shared" si="6"/>
        <v>8345000</v>
      </c>
      <c r="I20" s="18"/>
      <c r="J20" s="41"/>
      <c r="K20" s="41" t="str">
        <f>VLOOKUP(L20,'list rate unit'!O:P,2,FALSE)</f>
        <v>LV</v>
      </c>
      <c r="L20" s="41" t="str">
        <f t="shared" si="3"/>
        <v>LV TRITON PUTIH (SAFETY) - 30</v>
      </c>
    </row>
    <row r="21" spans="2:12" x14ac:dyDescent="0.3">
      <c r="B21" s="41">
        <f t="shared" si="0"/>
        <v>14</v>
      </c>
      <c r="C21" s="41" t="s">
        <v>283</v>
      </c>
      <c r="D21" s="44">
        <f>IFERROR(VLOOKUP(K21,'list rate unit'!$B$6:$K$28,10,FALSE),0)</f>
        <v>8000000</v>
      </c>
      <c r="E21" s="42">
        <v>59</v>
      </c>
      <c r="F21" s="44">
        <f>E21*$C$32</f>
        <v>678500</v>
      </c>
      <c r="G21" s="42"/>
      <c r="H21" s="45">
        <f t="shared" si="6"/>
        <v>8678500</v>
      </c>
      <c r="I21" s="18"/>
      <c r="J21" s="41"/>
      <c r="K21" s="41" t="str">
        <f>VLOOKUP(L21,'list rate unit'!O:P,2,FALSE)</f>
        <v>LV</v>
      </c>
      <c r="L21" s="41" t="str">
        <f t="shared" si="3"/>
        <v>LV TRITON PUTIH - 32</v>
      </c>
    </row>
    <row r="22" spans="2:12" x14ac:dyDescent="0.3">
      <c r="B22" s="41">
        <f t="shared" si="0"/>
        <v>15</v>
      </c>
      <c r="C22" s="41" t="s">
        <v>234</v>
      </c>
      <c r="D22" s="44">
        <f>IFERROR(VLOOKUP(K22,'list rate unit'!$B$6:$K$28,10,FALSE),0)</f>
        <v>210000</v>
      </c>
      <c r="E22" s="42">
        <v>1040</v>
      </c>
      <c r="F22" s="44">
        <f>E22*$C$32</f>
        <v>11960000</v>
      </c>
      <c r="G22" s="42"/>
      <c r="H22" s="45">
        <f t="shared" si="6"/>
        <v>12170000</v>
      </c>
      <c r="I22" s="18"/>
      <c r="J22" s="41"/>
      <c r="K22" s="41" t="str">
        <f>VLOOKUP(L22,'list rate unit'!O:P,2,FALSE)</f>
        <v>FM 260 Ti</v>
      </c>
      <c r="L22" s="41" t="str">
        <f t="shared" si="3"/>
        <v>FUEL TRUCK - 05</v>
      </c>
    </row>
    <row r="23" spans="2:12" x14ac:dyDescent="0.3">
      <c r="B23" s="41">
        <f t="shared" si="0"/>
        <v>16</v>
      </c>
      <c r="C23" s="41" t="s">
        <v>300</v>
      </c>
      <c r="D23" s="44">
        <f>IFERROR(VLOOKUP(K23,'list rate unit'!$B$6:$K$28,10,FALSE),0)</f>
        <v>210000</v>
      </c>
      <c r="E23" s="42">
        <v>861</v>
      </c>
      <c r="F23" s="44">
        <f>E23*$C$32</f>
        <v>9901500</v>
      </c>
      <c r="G23" s="42"/>
      <c r="H23" s="45">
        <f t="shared" si="6"/>
        <v>10111500</v>
      </c>
      <c r="I23" s="18"/>
      <c r="J23" s="41"/>
      <c r="K23" s="41" t="str">
        <f>VLOOKUP(L23,'list rate unit'!O:P,2,FALSE)</f>
        <v>FM 260 Ti</v>
      </c>
      <c r="L23" s="41" t="str">
        <f t="shared" si="3"/>
        <v>FUEL TRUCK - 06</v>
      </c>
    </row>
    <row r="24" spans="2:12" x14ac:dyDescent="0.3">
      <c r="B24" s="41">
        <f t="shared" si="0"/>
        <v>17</v>
      </c>
      <c r="C24" s="41" t="s">
        <v>291</v>
      </c>
      <c r="D24" s="44">
        <f>IFERROR(VLOOKUP(K24,'list rate unit'!$B$6:$K$28,10,FALSE),0)</f>
        <v>12000000</v>
      </c>
      <c r="E24" s="42">
        <v>35</v>
      </c>
      <c r="F24" s="44">
        <f>E24*$C$32</f>
        <v>402500</v>
      </c>
      <c r="G24" s="42"/>
      <c r="H24" s="45">
        <f t="shared" si="6"/>
        <v>12402500</v>
      </c>
      <c r="I24" s="18"/>
      <c r="J24" s="41"/>
      <c r="K24" s="41" t="str">
        <f>VLOOKUP(L24,'list rate unit'!O:P,2,FALSE)</f>
        <v>LT</v>
      </c>
      <c r="L24" s="41" t="str">
        <f t="shared" si="3"/>
        <v>TRUCK WELDER - LT-04</v>
      </c>
    </row>
    <row r="25" spans="2:12" x14ac:dyDescent="0.3">
      <c r="B25" s="41">
        <f t="shared" si="0"/>
        <v>18</v>
      </c>
      <c r="C25" s="41" t="s">
        <v>235</v>
      </c>
      <c r="D25" s="44">
        <f>IFERROR(VLOOKUP(K25,'list rate unit'!$B$6:$K$28,10,FALSE),0)</f>
        <v>12000000</v>
      </c>
      <c r="E25" s="42">
        <v>246</v>
      </c>
      <c r="F25" s="44">
        <f>E25*$C$32</f>
        <v>2829000</v>
      </c>
      <c r="G25" s="42"/>
      <c r="H25" s="45">
        <f t="shared" ref="H25:H27" si="7">D25+F25</f>
        <v>14829000</v>
      </c>
      <c r="I25" s="18"/>
      <c r="J25" s="41"/>
      <c r="K25" s="41" t="str">
        <f>VLOOKUP(L25,'list rate unit'!O:P,2,FALSE)</f>
        <v>LT</v>
      </c>
      <c r="L25" s="41" t="str">
        <f t="shared" ref="L25:L27" si="8">C25</f>
        <v>TRUCK TYRE - LT-08</v>
      </c>
    </row>
    <row r="26" spans="2:12" x14ac:dyDescent="0.3">
      <c r="B26" s="41">
        <f t="shared" si="0"/>
        <v>19</v>
      </c>
      <c r="C26" s="41" t="s">
        <v>236</v>
      </c>
      <c r="D26" s="44">
        <f>IFERROR(VLOOKUP(K26,'list rate unit'!$B$6:$K$28,10,FALSE),0)</f>
        <v>12000000</v>
      </c>
      <c r="E26" s="42">
        <v>142</v>
      </c>
      <c r="F26" s="44">
        <f>E26*$C$32</f>
        <v>1633000</v>
      </c>
      <c r="G26" s="42"/>
      <c r="H26" s="45">
        <f t="shared" si="7"/>
        <v>13633000</v>
      </c>
      <c r="I26" s="18"/>
      <c r="J26" s="41"/>
      <c r="K26" s="41" t="str">
        <f>VLOOKUP(L26,'list rate unit'!O:P,2,FALSE)</f>
        <v>LT</v>
      </c>
      <c r="L26" s="41" t="str">
        <f t="shared" si="8"/>
        <v>TRUCK MAINTENANCE - LT-09</v>
      </c>
    </row>
    <row r="27" spans="2:12" x14ac:dyDescent="0.3">
      <c r="B27" s="41">
        <f t="shared" si="0"/>
        <v>20</v>
      </c>
      <c r="C27" s="41" t="s">
        <v>287</v>
      </c>
      <c r="D27" s="44">
        <f>IFERROR(VLOOKUP(K27,'list rate unit'!$B$6:$K$28,10,FALSE),0)</f>
        <v>12000000</v>
      </c>
      <c r="E27" s="42">
        <v>59</v>
      </c>
      <c r="F27" s="44">
        <f>E27*$C$32</f>
        <v>678500</v>
      </c>
      <c r="G27" s="42"/>
      <c r="H27" s="45">
        <f t="shared" si="7"/>
        <v>12678500</v>
      </c>
      <c r="I27" s="18"/>
      <c r="J27" s="41"/>
      <c r="K27" s="41" t="str">
        <f>VLOOKUP(L27,'list rate unit'!O:P,2,FALSE)</f>
        <v>LT</v>
      </c>
      <c r="L27" s="41" t="str">
        <f t="shared" si="8"/>
        <v>TRUCK TYRE - LT-10</v>
      </c>
    </row>
    <row r="28" spans="2:12" x14ac:dyDescent="0.3">
      <c r="D28" s="30"/>
      <c r="E28" s="18"/>
      <c r="F28" s="30"/>
      <c r="G28" s="18"/>
      <c r="H28" s="18"/>
      <c r="I28" s="18"/>
    </row>
    <row r="29" spans="2:12" ht="15.75" customHeight="1" x14ac:dyDescent="0.3">
      <c r="B29" s="249" t="s">
        <v>21</v>
      </c>
      <c r="C29" s="249"/>
      <c r="D29" s="51">
        <f>SUM(D8:D28)</f>
        <v>160420000</v>
      </c>
      <c r="E29" s="46">
        <f>SUM(E8:E28)</f>
        <v>4024</v>
      </c>
      <c r="F29" s="47">
        <f>SUM(F8:F28)</f>
        <v>46276000</v>
      </c>
      <c r="G29" s="46">
        <f>IFERROR(E29/#REF!,0)</f>
        <v>0</v>
      </c>
      <c r="H29" s="48">
        <f>SUM(H8:H28)</f>
        <v>206696000</v>
      </c>
      <c r="I29" s="17"/>
    </row>
    <row r="31" spans="2:12" x14ac:dyDescent="0.3">
      <c r="B31" s="35" t="s">
        <v>34</v>
      </c>
      <c r="C31" s="29">
        <f>'REPORT unit DT HAUL'!C44</f>
        <v>14848</v>
      </c>
    </row>
    <row r="32" spans="2:12" x14ac:dyDescent="0.3">
      <c r="B32" s="35" t="s">
        <v>35</v>
      </c>
      <c r="C32" s="29">
        <f>'SUMMARY 2'!I13</f>
        <v>11500</v>
      </c>
    </row>
    <row r="33" spans="10:10" x14ac:dyDescent="0.3">
      <c r="J33" s="27"/>
    </row>
  </sheetData>
  <mergeCells count="11">
    <mergeCell ref="B29:C29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K1:K7 K28:K1048576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K8:K27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2024-04-04T06:13:45Z</cp:lastPrinted>
  <dcterms:created xsi:type="dcterms:W3CDTF">2019-02-05T01:55:23Z</dcterms:created>
  <dcterms:modified xsi:type="dcterms:W3CDTF">2024-06-05T05:58:45Z</dcterms:modified>
</cp:coreProperties>
</file>