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gi\Desktop\Egyetem\Harmadik félév\Gépelemek\Gépelemek_HF1\"/>
    </mc:Choice>
  </mc:AlternateContent>
  <xr:revisionPtr revIDLastSave="0" documentId="13_ncr:1_{6867F099-47F4-4E8D-A292-290D8ACC5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lap1" sheetId="1" r:id="rId1"/>
  </sheets>
  <definedNames>
    <definedName name="Ae">Munkalap1!$F$40</definedName>
    <definedName name="alfacs">Munkalap1!$F$18</definedName>
    <definedName name="b">Munkalap1!$B$19</definedName>
    <definedName name="betacs">Munkalap1!$F$17</definedName>
    <definedName name="Bstar_t">Munkalap1!$J$22</definedName>
    <definedName name="bt">Munkalap1!$J$20</definedName>
    <definedName name="csavarM">Munkalap1!$B$22</definedName>
    <definedName name="D1t">Munkalap1!$J$17</definedName>
    <definedName name="d1vk">Munkalap1!$B$24</definedName>
    <definedName name="d2cs">Munkalap1!$F$15</definedName>
    <definedName name="D2t">Munkalap1!$J$18</definedName>
    <definedName name="d3cs">Munkalap1!$F$16</definedName>
    <definedName name="Da">Munkalap1!$H$16</definedName>
    <definedName name="dcs">Munkalap1!$F$14</definedName>
    <definedName name="Dfour">Munkalap1!$B$15</definedName>
    <definedName name="DN">Munkalap1!$B$18</definedName>
    <definedName name="Dt">Munkalap1!$B$30</definedName>
    <definedName name="Dw">Munkalap1!$H$13</definedName>
    <definedName name="Fcssz">Munkalap1!$E$35</definedName>
    <definedName name="Fcsu">Munkalap1!$E$34</definedName>
    <definedName name="folyhatarok">Munkalap1!$O$13:$O$22</definedName>
    <definedName name="Ftomossz">Munkalap1!$E$31:$E$33</definedName>
    <definedName name="Fv">Munkalap1!$B$38</definedName>
    <definedName name="K">Munkalap1!$B$14</definedName>
    <definedName name="Kp">Munkalap1!$F$42</definedName>
    <definedName name="Mamax">Munkalap1!$B$44</definedName>
    <definedName name="Mamin">Munkalap1!$B$43</definedName>
    <definedName name="Mcsmax">Munkalap1!$B$42</definedName>
    <definedName name="Mcsmin">Munkalap1!$B$41</definedName>
    <definedName name="n">Munkalap1!$B$23</definedName>
    <definedName name="n2bizt">Munkalap1!$E$30</definedName>
    <definedName name="nt">Munkalap1!$J$14</definedName>
    <definedName name="pcs">Munkalap1!$F$13</definedName>
    <definedName name="Pu">Munkalap1!$G$2</definedName>
    <definedName name="red">Munkalap1!$E$44</definedName>
    <definedName name="Reh">Munkalap1!$E$48</definedName>
    <definedName name="romax">Munkalap1!$F$20</definedName>
    <definedName name="romin">Munkalap1!$F$19</definedName>
    <definedName name="surmax">Munkalap1!$H$27</definedName>
    <definedName name="surmin">Munkalap1!$H$26</definedName>
    <definedName name="szigma">Munkalap1!$B$32</definedName>
    <definedName name="szigma_hajl">Munkalap1!$J$13</definedName>
    <definedName name="szigma4">Munkalap1!$F$39</definedName>
    <definedName name="szilosztalyok">Munkalap1!$L$13:$L$22</definedName>
    <definedName name="tau">Munkalap1!$F$41</definedName>
    <definedName name="z">Munkalap1!$J$23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F42" i="1"/>
  <c r="F40" i="1"/>
  <c r="O22" i="1"/>
  <c r="O21" i="1"/>
  <c r="O20" i="1"/>
  <c r="F20" i="1"/>
  <c r="G20" i="1" s="1"/>
  <c r="O19" i="1"/>
  <c r="F19" i="1"/>
  <c r="G19" i="1" s="1"/>
  <c r="O18" i="1"/>
  <c r="F18" i="1"/>
  <c r="G18" i="1" s="1"/>
  <c r="B18" i="1"/>
  <c r="B21" i="1" s="1"/>
  <c r="O17" i="1"/>
  <c r="D17" i="1"/>
  <c r="O16" i="1"/>
  <c r="H16" i="1"/>
  <c r="O15" i="1"/>
  <c r="O14" i="1"/>
  <c r="F14" i="1"/>
  <c r="D14" i="1"/>
  <c r="O13" i="1"/>
  <c r="D13" i="1"/>
  <c r="G2" i="1"/>
  <c r="E46" i="1" a="1"/>
  <c r="E46" i="1" l="1"/>
  <c r="E31" i="1"/>
  <c r="B30" i="1"/>
  <c r="B32" i="1" l="1"/>
  <c r="B33" i="1" s="1"/>
  <c r="B31" i="1"/>
  <c r="E32" i="1"/>
  <c r="E33" i="1"/>
  <c r="E34" i="1" s="1"/>
  <c r="E35" i="1" s="1"/>
  <c r="B38" i="1" s="1"/>
  <c r="B44" i="1" l="1"/>
  <c r="F41" i="1" s="1"/>
  <c r="F39" i="1"/>
  <c r="B43" i="1"/>
  <c r="B42" i="1"/>
  <c r="B41" i="1"/>
  <c r="E44" i="1" l="1"/>
  <c r="E49" i="1" s="1"/>
  <c r="B40" i="1"/>
  <c r="B39" i="1"/>
</calcChain>
</file>

<file path=xl/sharedStrings.xml><?xml version="1.0" encoding="utf-8"?>
<sst xmlns="http://schemas.openxmlformats.org/spreadsheetml/2006/main" count="134" uniqueCount="114">
  <si>
    <t>Ez a doksi egy megoldó a gépelemek 1.hf-hez: viszonylag alacsony nyomásokhoz</t>
  </si>
  <si>
    <t xml:space="preserve">Megadandó adatok: </t>
  </si>
  <si>
    <t>Nyomás</t>
  </si>
  <si>
    <t>cső átmérő</t>
  </si>
  <si>
    <t>használandó szabványok</t>
  </si>
  <si>
    <t>nyomás [MPa]</t>
  </si>
  <si>
    <t>név</t>
  </si>
  <si>
    <t>szabvány név</t>
  </si>
  <si>
    <t>link</t>
  </si>
  <si>
    <t>Vakkarima</t>
  </si>
  <si>
    <t>karima</t>
  </si>
  <si>
    <t>menetek</t>
  </si>
  <si>
    <t>ISO 724</t>
  </si>
  <si>
    <t>https://cdn.standards.iteh.ai/samples/85104/9815392ad8904c9aa23cf7727e7b1dde/ISO-724-2023.pdf</t>
  </si>
  <si>
    <t>csavarok</t>
  </si>
  <si>
    <t>MSZ EN ISO 4014 Hatlapfejű csavarok MSZ EN ISO 8765 Hatlapfejű csavarok</t>
  </si>
  <si>
    <t>surlodás</t>
  </si>
  <si>
    <t>MSZ EN 24014</t>
  </si>
  <si>
    <t>https://web.archive.org/web/20190713023654/http://www.sze.hu/~szalai/szabvanyok/Anyagok.pdf</t>
  </si>
  <si>
    <t>csavar szilárdság</t>
  </si>
  <si>
    <t>ISO 898-1</t>
  </si>
  <si>
    <t>http://www.sasovits.hu/cnc/irodalom/Kotoelemek_mechanikai_tulajdonsagai.pdf</t>
  </si>
  <si>
    <t>tőmítés</t>
  </si>
  <si>
    <t>Tőmités anyag</t>
  </si>
  <si>
    <t>https://www.metalcor.de/en/datenblatt/33/</t>
  </si>
  <si>
    <t>Adatok</t>
  </si>
  <si>
    <t>Karima</t>
  </si>
  <si>
    <t>menet</t>
  </si>
  <si>
    <t>csavar</t>
  </si>
  <si>
    <t>anyag</t>
  </si>
  <si>
    <t>Szilárdsági osztály</t>
  </si>
  <si>
    <t>Folyáshatár</t>
  </si>
  <si>
    <t>D</t>
  </si>
  <si>
    <t>P</t>
  </si>
  <si>
    <t>Dw</t>
  </si>
  <si>
    <t>szigma_hajlitó</t>
  </si>
  <si>
    <t>3.6</t>
  </si>
  <si>
    <t>K</t>
  </si>
  <si>
    <t>d</t>
  </si>
  <si>
    <t>b</t>
  </si>
  <si>
    <t>n_t</t>
  </si>
  <si>
    <t>4.6</t>
  </si>
  <si>
    <t>D4</t>
  </si>
  <si>
    <t>f</t>
  </si>
  <si>
    <t>d2</t>
  </si>
  <si>
    <t>l</t>
  </si>
  <si>
    <t>4.8</t>
  </si>
  <si>
    <t>D2</t>
  </si>
  <si>
    <t>d3</t>
  </si>
  <si>
    <t>Da</t>
  </si>
  <si>
    <t>tömités</t>
  </si>
  <si>
    <t>5.6</t>
  </si>
  <si>
    <t>D3</t>
  </si>
  <si>
    <t>béta</t>
  </si>
  <si>
    <t>D1</t>
  </si>
  <si>
    <t>5.8</t>
  </si>
  <si>
    <t>Dn</t>
  </si>
  <si>
    <t>alfa</t>
  </si>
  <si>
    <t>6.8</t>
  </si>
  <si>
    <t>tömeg (needed?)</t>
  </si>
  <si>
    <t>romin</t>
  </si>
  <si>
    <t>8.8</t>
  </si>
  <si>
    <t>romax</t>
  </si>
  <si>
    <t>Bt</t>
  </si>
  <si>
    <t>9.8</t>
  </si>
  <si>
    <t>s</t>
  </si>
  <si>
    <t>Bm</t>
  </si>
  <si>
    <t>10.9</t>
  </si>
  <si>
    <t>B*t</t>
  </si>
  <si>
    <t>12.9</t>
  </si>
  <si>
    <t>n</t>
  </si>
  <si>
    <t>z</t>
  </si>
  <si>
    <t>h</t>
  </si>
  <si>
    <t>min</t>
  </si>
  <si>
    <t>max</t>
  </si>
  <si>
    <t>Első feladat:</t>
  </si>
  <si>
    <t>vakarima min vastagság</t>
  </si>
  <si>
    <t>Második</t>
  </si>
  <si>
    <t>Dt</t>
  </si>
  <si>
    <t>n_bizt (biztonsági tényező)</t>
  </si>
  <si>
    <t>b_min</t>
  </si>
  <si>
    <t>F_cső</t>
  </si>
  <si>
    <t>szigma</t>
  </si>
  <si>
    <t>F_p</t>
  </si>
  <si>
    <t>F_TÜ</t>
  </si>
  <si>
    <t>F_csü</t>
  </si>
  <si>
    <t>F_cssz</t>
  </si>
  <si>
    <t>hármas feladat</t>
  </si>
  <si>
    <t>F_v</t>
  </si>
  <si>
    <t>négyes</t>
  </si>
  <si>
    <t>feszültségek</t>
  </si>
  <si>
    <t>M_huzasi_min</t>
  </si>
  <si>
    <t>Húzás</t>
  </si>
  <si>
    <t>M_huzasi_max</t>
  </si>
  <si>
    <t>Ae</t>
  </si>
  <si>
    <t>M_csavar_min</t>
  </si>
  <si>
    <t>Csavarás</t>
  </si>
  <si>
    <t>tau</t>
  </si>
  <si>
    <t>M_csavar_max</t>
  </si>
  <si>
    <t>Kp</t>
  </si>
  <si>
    <t>M_anya_min</t>
  </si>
  <si>
    <t>M_anya_max</t>
  </si>
  <si>
    <t>Redukált</t>
  </si>
  <si>
    <t>Szakítószilárdság</t>
  </si>
  <si>
    <t>(TODO: pick automatically)</t>
  </si>
  <si>
    <t>R_eh (folyáshatár)</t>
  </si>
  <si>
    <t>EN 1092-1 PN40 Flange</t>
  </si>
  <si>
    <t>DIN/EN PN40 Blind Flange</t>
  </si>
  <si>
    <t>https://globalsupplyline.com.au/wp-content/uploads/2014/10/Flange-Dim-EN1092-1-BS4504.pdf</t>
  </si>
  <si>
    <t>https://www.heco.de/en/stainless-steel/flanges/blind-flanges/din-en/more-sealing-surfaces/with-raised-face/pn-40.html</t>
  </si>
  <si>
    <t>EN 1092-1 DN 32 SBR </t>
  </si>
  <si>
    <t>https://www.tomitesgyar.hu/karima-tomites-dn-32-sbr-muszaki-gumi-tomites-32x78x30mm.html</t>
  </si>
  <si>
    <t>x</t>
  </si>
  <si>
    <t>MSZ EN ISO 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</si>
</sst>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M&quot;0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3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49" fontId="1" fillId="0" borderId="0" xfId="0" applyNumberFormat="1" applyFont="1"/>
    <xf numFmtId="164" fontId="1" fillId="0" borderId="0" xfId="0" applyNumberFormat="1" applyFont="1"/>
    <xf numFmtId="0" fontId="1" fillId="4" borderId="0" xfId="0" applyFont="1" applyFill="1"/>
    <xf numFmtId="164" fontId="1" fillId="3" borderId="0" xfId="0" applyNumberFormat="1" applyFont="1" applyFill="1"/>
    <xf numFmtId="0" fontId="8" fillId="0" borderId="0" xfId="0" applyFont="1"/>
    <xf numFmtId="0" fontId="2" fillId="5" borderId="0" xfId="0" applyFont="1" applyFill="1"/>
    <xf numFmtId="0" fontId="3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9" fillId="4" borderId="0" xfId="0" applyFont="1" applyFill="1"/>
    <xf numFmtId="0" fontId="2" fillId="7" borderId="0" xfId="0" applyFont="1" applyFill="1"/>
    <xf numFmtId="0" fontId="11" fillId="0" borderId="0" xfId="0" applyFont="1"/>
    <xf numFmtId="0" fontId="10" fillId="0" borderId="0" xfId="1" applyAlignment="1"/>
    <xf numFmtId="0" fontId="11" fillId="3" borderId="0" xfId="0" applyFont="1" applyFill="1"/>
    <xf numFmtId="0" fontId="11" fillId="4" borderId="0" xfId="0" applyFont="1" applyFill="1"/>
    <xf numFmtId="0" fontId="1" fillId="0" borderId="0" xfId="0" applyFont="1"/>
    <xf numFmtId="0" fontId="0" fillId="0" borderId="0" xfId="0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mitesgyar.hu/karima-tomites-dn-32-sbr-muszaki-gumi-tomites-32x78x30mm.html" TargetMode="External"/><Relationship Id="rId3" Type="http://schemas.openxmlformats.org/officeDocument/2006/relationships/hyperlink" Target="https://web.archive.org/web/20190713023654/http:/www.sze.hu/~szalai/szabvanyok/Anyagok.pdf" TargetMode="External"/><Relationship Id="rId7" Type="http://schemas.openxmlformats.org/officeDocument/2006/relationships/hyperlink" Target="https://www.heco.de/en/stainless-steel/flanges/blind-flanges/din-en/more-sealing-surfaces/with-raised-face/pn-40.html" TargetMode="External"/><Relationship Id="rId2" Type="http://schemas.openxmlformats.org/officeDocument/2006/relationships/hyperlink" Target="https://www.k-mechanic.hu/kmchnc17/wp-content/uploads/2021/04/Csavarok.pdf" TargetMode="External"/><Relationship Id="rId1" Type="http://schemas.openxmlformats.org/officeDocument/2006/relationships/hyperlink" Target="https://cdn.standards.iteh.ai/samples/85104/9815392ad8904c9aa23cf7727e7b1dde/ISO-724-2023.pdf" TargetMode="External"/><Relationship Id="rId6" Type="http://schemas.openxmlformats.org/officeDocument/2006/relationships/hyperlink" Target="https://globalsupplyline.com.au/wp-content/uploads/2014/10/Flange-Dim-EN1092-1-BS4504.pdf" TargetMode="External"/><Relationship Id="rId5" Type="http://schemas.openxmlformats.org/officeDocument/2006/relationships/hyperlink" Target="https://www.metalcor.de/en/datenblatt/33/" TargetMode="External"/><Relationship Id="rId4" Type="http://schemas.openxmlformats.org/officeDocument/2006/relationships/hyperlink" Target="http://www.sasovits.hu/cnc/irodalom/Kotoelemek_mechanikai_tulajdonsagai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"/>
  <sheetViews>
    <sheetView tabSelected="1" workbookViewId="0">
      <selection activeCell="C5" sqref="C5"/>
    </sheetView>
  </sheetViews>
  <sheetFormatPr defaultColWidth="12.5546875" defaultRowHeight="15.75" customHeight="1" x14ac:dyDescent="0.25"/>
  <cols>
    <col min="1" max="1" width="25.88671875" customWidth="1"/>
    <col min="2" max="2" width="32" customWidth="1"/>
    <col min="3" max="3" width="51.44140625" customWidth="1"/>
    <col min="4" max="4" width="42" customWidth="1"/>
    <col min="5" max="5" width="19.6640625" customWidth="1"/>
    <col min="6" max="6" width="26.6640625" customWidth="1"/>
    <col min="7" max="7" width="31.33203125" customWidth="1"/>
    <col min="9" max="9" width="22.109375" customWidth="1"/>
    <col min="12" max="12" width="20.44140625" customWidth="1"/>
    <col min="13" max="13" width="16.6640625" customWidth="1"/>
  </cols>
  <sheetData>
    <row r="1" spans="1:15" ht="13.2" x14ac:dyDescent="0.25">
      <c r="A1" s="26" t="s">
        <v>0</v>
      </c>
      <c r="B1" s="27"/>
      <c r="C1" s="27"/>
      <c r="D1" s="27"/>
      <c r="E1" s="2" t="s">
        <v>1</v>
      </c>
      <c r="F1" s="3" t="s">
        <v>2</v>
      </c>
      <c r="G1" s="4">
        <v>35</v>
      </c>
      <c r="H1" s="3" t="s">
        <v>3</v>
      </c>
      <c r="I1" s="4">
        <v>32</v>
      </c>
    </row>
    <row r="2" spans="1:15" ht="13.2" x14ac:dyDescent="0.25">
      <c r="A2" s="1" t="s">
        <v>4</v>
      </c>
      <c r="F2" s="3" t="s">
        <v>5</v>
      </c>
      <c r="G2" s="1">
        <f>G1/10</f>
        <v>3.5</v>
      </c>
    </row>
    <row r="3" spans="1:15" ht="13.2" x14ac:dyDescent="0.25">
      <c r="A3" s="2" t="s">
        <v>6</v>
      </c>
      <c r="B3" s="2" t="s">
        <v>7</v>
      </c>
      <c r="C3" s="2" t="s">
        <v>8</v>
      </c>
    </row>
    <row r="4" spans="1:15" ht="15.75" customHeight="1" x14ac:dyDescent="0.25">
      <c r="A4" s="1" t="s">
        <v>9</v>
      </c>
      <c r="B4" s="22" t="s">
        <v>107</v>
      </c>
      <c r="C4" s="23" t="s">
        <v>109</v>
      </c>
    </row>
    <row r="5" spans="1:15" ht="13.2" x14ac:dyDescent="0.25">
      <c r="A5" s="1" t="s">
        <v>10</v>
      </c>
      <c r="B5" s="22" t="s">
        <v>106</v>
      </c>
      <c r="C5" s="23" t="s">
        <v>108</v>
      </c>
    </row>
    <row r="6" spans="1:15" ht="13.2" x14ac:dyDescent="0.25">
      <c r="A6" s="1" t="s">
        <v>11</v>
      </c>
      <c r="B6" s="1" t="s">
        <v>12</v>
      </c>
      <c r="C6" s="6" t="s">
        <v>13</v>
      </c>
    </row>
    <row r="7" spans="1:15" ht="15.75" customHeight="1" x14ac:dyDescent="0.25">
      <c r="A7" s="1" t="s">
        <v>14</v>
      </c>
      <c r="B7" s="1" t="s">
        <v>113</v>
      </c>
      <c r="C7" s="5" t="s">
        <v>15</v>
      </c>
    </row>
    <row r="8" spans="1:15" ht="13.2" x14ac:dyDescent="0.25">
      <c r="A8" s="1" t="s">
        <v>16</v>
      </c>
      <c r="B8" s="1" t="s">
        <v>17</v>
      </c>
      <c r="C8" s="6" t="s">
        <v>18</v>
      </c>
    </row>
    <row r="9" spans="1:15" ht="13.2" x14ac:dyDescent="0.25">
      <c r="A9" s="1" t="s">
        <v>19</v>
      </c>
      <c r="B9" s="1" t="s">
        <v>20</v>
      </c>
      <c r="C9" s="6" t="s">
        <v>21</v>
      </c>
    </row>
    <row r="10" spans="1:15" ht="15.75" customHeight="1" x14ac:dyDescent="0.25">
      <c r="A10" s="1" t="s">
        <v>22</v>
      </c>
      <c r="B10" s="22" t="s">
        <v>110</v>
      </c>
      <c r="C10" s="23" t="s">
        <v>111</v>
      </c>
      <c r="D10" s="5"/>
      <c r="F10" s="2" t="s">
        <v>23</v>
      </c>
      <c r="G10" s="7" t="s">
        <v>24</v>
      </c>
    </row>
    <row r="11" spans="1:15" ht="15.75" customHeight="1" x14ac:dyDescent="0.3">
      <c r="A11" s="8" t="s">
        <v>25</v>
      </c>
    </row>
    <row r="12" spans="1:15" ht="13.2" x14ac:dyDescent="0.25">
      <c r="A12" s="2" t="s">
        <v>9</v>
      </c>
      <c r="C12" s="2" t="s">
        <v>26</v>
      </c>
      <c r="E12" s="2" t="s">
        <v>27</v>
      </c>
      <c r="G12" s="2" t="s">
        <v>28</v>
      </c>
      <c r="I12" s="2" t="s">
        <v>29</v>
      </c>
      <c r="J12" s="1"/>
      <c r="L12" s="2" t="s">
        <v>30</v>
      </c>
      <c r="M12" s="9"/>
      <c r="N12" s="9"/>
      <c r="O12" s="2" t="s">
        <v>31</v>
      </c>
    </row>
    <row r="13" spans="1:15" ht="13.2" x14ac:dyDescent="0.25">
      <c r="A13" s="3" t="s">
        <v>32</v>
      </c>
      <c r="B13" s="4">
        <v>140</v>
      </c>
      <c r="C13" s="3" t="s">
        <v>32</v>
      </c>
      <c r="D13" s="1">
        <f t="shared" ref="D13:D14" si="0">B13</f>
        <v>140</v>
      </c>
      <c r="E13" s="3" t="s">
        <v>33</v>
      </c>
      <c r="F13" s="4">
        <v>2</v>
      </c>
      <c r="G13" s="3" t="s">
        <v>34</v>
      </c>
      <c r="H13" s="4">
        <v>22.5</v>
      </c>
      <c r="I13" s="3" t="s">
        <v>35</v>
      </c>
      <c r="J13" s="4">
        <v>290</v>
      </c>
      <c r="L13" s="10" t="s">
        <v>36</v>
      </c>
      <c r="M13" s="1">
        <v>3</v>
      </c>
      <c r="N13" s="1">
        <v>6</v>
      </c>
      <c r="O13" s="1">
        <f t="shared" ref="O13:O22" si="1">M13*N13*10</f>
        <v>180</v>
      </c>
    </row>
    <row r="14" spans="1:15" ht="13.2" x14ac:dyDescent="0.25">
      <c r="A14" s="3" t="s">
        <v>37</v>
      </c>
      <c r="B14" s="4">
        <v>100</v>
      </c>
      <c r="C14" s="3" t="s">
        <v>37</v>
      </c>
      <c r="D14" s="1">
        <f t="shared" si="0"/>
        <v>100</v>
      </c>
      <c r="E14" s="3" t="s">
        <v>38</v>
      </c>
      <c r="F14" s="11">
        <f>csavarM</f>
        <v>16</v>
      </c>
      <c r="G14" s="3" t="s">
        <v>39</v>
      </c>
      <c r="H14" s="4">
        <v>38</v>
      </c>
      <c r="I14" s="3" t="s">
        <v>40</v>
      </c>
      <c r="J14" s="4">
        <v>1.5</v>
      </c>
      <c r="L14" s="10" t="s">
        <v>41</v>
      </c>
      <c r="M14" s="1">
        <v>4</v>
      </c>
      <c r="N14" s="1">
        <v>6</v>
      </c>
      <c r="O14" s="1">
        <f t="shared" si="1"/>
        <v>240</v>
      </c>
    </row>
    <row r="15" spans="1:15" ht="13.2" x14ac:dyDescent="0.25">
      <c r="A15" s="3" t="s">
        <v>42</v>
      </c>
      <c r="B15" s="4">
        <v>78</v>
      </c>
      <c r="C15" s="3" t="s">
        <v>43</v>
      </c>
      <c r="D15" s="1">
        <v>2</v>
      </c>
      <c r="E15" s="3" t="s">
        <v>44</v>
      </c>
      <c r="F15" s="4">
        <v>14.701000000000001</v>
      </c>
      <c r="G15" s="3" t="s">
        <v>45</v>
      </c>
      <c r="H15" s="4">
        <v>80</v>
      </c>
      <c r="I15" s="3"/>
      <c r="L15" s="10" t="s">
        <v>46</v>
      </c>
      <c r="M15" s="1">
        <v>4</v>
      </c>
      <c r="N15" s="1">
        <v>8</v>
      </c>
      <c r="O15" s="1">
        <f t="shared" si="1"/>
        <v>320</v>
      </c>
    </row>
    <row r="16" spans="1:15" ht="13.2" x14ac:dyDescent="0.25">
      <c r="A16" s="3" t="s">
        <v>47</v>
      </c>
      <c r="B16" s="4">
        <v>18</v>
      </c>
      <c r="C16" s="3" t="s">
        <v>39</v>
      </c>
      <c r="D16" s="4">
        <v>18</v>
      </c>
      <c r="E16" s="3" t="s">
        <v>48</v>
      </c>
      <c r="F16" s="4">
        <v>13.545999999999999</v>
      </c>
      <c r="G16" s="3" t="s">
        <v>49</v>
      </c>
      <c r="H16" s="12">
        <f>(Dw+csavarM)/2</f>
        <v>19.25</v>
      </c>
      <c r="I16" s="2" t="s">
        <v>50</v>
      </c>
      <c r="L16" s="10" t="s">
        <v>51</v>
      </c>
      <c r="M16" s="1">
        <v>5</v>
      </c>
      <c r="N16" s="1">
        <v>6</v>
      </c>
      <c r="O16" s="1">
        <f t="shared" si="1"/>
        <v>300</v>
      </c>
    </row>
    <row r="17" spans="1:15" ht="13.2" x14ac:dyDescent="0.25">
      <c r="A17" s="3" t="s">
        <v>52</v>
      </c>
      <c r="B17" s="4">
        <v>56</v>
      </c>
      <c r="C17" s="3" t="s">
        <v>42</v>
      </c>
      <c r="D17" s="1">
        <f>B15</f>
        <v>78</v>
      </c>
      <c r="E17" s="3" t="s">
        <v>53</v>
      </c>
      <c r="F17" s="4">
        <v>60</v>
      </c>
      <c r="I17" s="3" t="s">
        <v>54</v>
      </c>
      <c r="J17" s="4">
        <v>32</v>
      </c>
      <c r="L17" s="10" t="s">
        <v>55</v>
      </c>
      <c r="M17" s="1">
        <v>5</v>
      </c>
      <c r="N17" s="1">
        <v>8</v>
      </c>
      <c r="O17" s="1">
        <f t="shared" si="1"/>
        <v>400</v>
      </c>
    </row>
    <row r="18" spans="1:15" ht="13.2" x14ac:dyDescent="0.25">
      <c r="A18" s="3" t="s">
        <v>56</v>
      </c>
      <c r="B18" s="4">
        <f>I1</f>
        <v>32</v>
      </c>
      <c r="C18" s="3" t="s">
        <v>47</v>
      </c>
      <c r="D18" s="4">
        <v>18</v>
      </c>
      <c r="E18" s="3" t="s">
        <v>57</v>
      </c>
      <c r="F18" s="1">
        <f>ATAN(F13/(F15*PI()))</f>
        <v>4.3277482648311209E-2</v>
      </c>
      <c r="G18" s="12">
        <f t="shared" ref="G18:G20" si="2">DEGREES(F18)</f>
        <v>2.4796171036988852</v>
      </c>
      <c r="I18" s="3" t="s">
        <v>47</v>
      </c>
      <c r="J18" s="4">
        <v>78</v>
      </c>
      <c r="L18" s="10" t="s">
        <v>58</v>
      </c>
      <c r="M18" s="1">
        <v>6</v>
      </c>
      <c r="N18" s="1">
        <v>8</v>
      </c>
      <c r="O18" s="1">
        <f t="shared" si="1"/>
        <v>480</v>
      </c>
    </row>
    <row r="19" spans="1:15" ht="13.2" x14ac:dyDescent="0.25">
      <c r="A19" s="3" t="s">
        <v>39</v>
      </c>
      <c r="B19" s="4">
        <v>18</v>
      </c>
      <c r="C19" s="3" t="s">
        <v>59</v>
      </c>
      <c r="D19" s="4"/>
      <c r="E19" s="3" t="s">
        <v>60</v>
      </c>
      <c r="F19" s="1">
        <f>ATAN(H26/(COS(RADIANS(F17/2))))</f>
        <v>0.11496092050070644</v>
      </c>
      <c r="G19" s="12">
        <f t="shared" si="2"/>
        <v>6.5867755536294617</v>
      </c>
      <c r="I19" s="3" t="s">
        <v>52</v>
      </c>
      <c r="J19" s="24" t="s">
        <v>112</v>
      </c>
      <c r="L19" s="10" t="s">
        <v>61</v>
      </c>
      <c r="M19" s="1">
        <v>8</v>
      </c>
      <c r="N19" s="1">
        <v>8</v>
      </c>
      <c r="O19" s="1">
        <f t="shared" si="1"/>
        <v>640</v>
      </c>
    </row>
    <row r="20" spans="1:15" ht="13.2" x14ac:dyDescent="0.25">
      <c r="A20" s="3" t="s">
        <v>43</v>
      </c>
      <c r="B20" s="4">
        <v>2</v>
      </c>
      <c r="E20" s="3" t="s">
        <v>62</v>
      </c>
      <c r="F20" s="1">
        <f>ATAN(H27/(COS(RADIANS(F17/2))))</f>
        <v>0.16027153085453782</v>
      </c>
      <c r="G20" s="12">
        <f t="shared" si="2"/>
        <v>9.1828822940657702</v>
      </c>
      <c r="I20" s="3" t="s">
        <v>63</v>
      </c>
      <c r="J20" s="4">
        <v>3</v>
      </c>
      <c r="L20" s="10" t="s">
        <v>64</v>
      </c>
      <c r="M20" s="1">
        <v>9</v>
      </c>
      <c r="N20" s="1">
        <v>8</v>
      </c>
      <c r="O20" s="1">
        <f t="shared" si="1"/>
        <v>720</v>
      </c>
    </row>
    <row r="21" spans="1:15" ht="13.2" x14ac:dyDescent="0.25">
      <c r="A21" s="3" t="s">
        <v>65</v>
      </c>
      <c r="B21" s="12">
        <f>(d1vk-DN)/2</f>
        <v>5.75</v>
      </c>
      <c r="I21" s="3" t="s">
        <v>66</v>
      </c>
      <c r="J21" s="24" t="s">
        <v>112</v>
      </c>
      <c r="L21" s="10" t="s">
        <v>67</v>
      </c>
      <c r="M21" s="1">
        <v>10</v>
      </c>
      <c r="N21" s="1">
        <v>9</v>
      </c>
      <c r="O21" s="1">
        <f t="shared" si="1"/>
        <v>900</v>
      </c>
    </row>
    <row r="22" spans="1:15" ht="13.2" x14ac:dyDescent="0.25">
      <c r="A22" s="3" t="s">
        <v>28</v>
      </c>
      <c r="B22" s="13">
        <v>16</v>
      </c>
      <c r="I22" s="3" t="s">
        <v>68</v>
      </c>
      <c r="J22" s="12">
        <f>0.5*bt</f>
        <v>1.5</v>
      </c>
      <c r="L22" s="10" t="s">
        <v>69</v>
      </c>
      <c r="M22" s="1">
        <v>12</v>
      </c>
      <c r="N22" s="1">
        <v>9</v>
      </c>
      <c r="O22" s="1">
        <f t="shared" si="1"/>
        <v>1080</v>
      </c>
    </row>
    <row r="23" spans="1:15" ht="13.2" x14ac:dyDescent="0.25">
      <c r="A23" s="3" t="s">
        <v>70</v>
      </c>
      <c r="B23" s="4">
        <v>4</v>
      </c>
      <c r="I23" s="1" t="s">
        <v>71</v>
      </c>
      <c r="J23" s="25" t="s">
        <v>112</v>
      </c>
    </row>
    <row r="24" spans="1:15" ht="13.2" x14ac:dyDescent="0.25">
      <c r="A24" s="3" t="s">
        <v>54</v>
      </c>
      <c r="B24" s="4">
        <v>43.5</v>
      </c>
    </row>
    <row r="25" spans="1:15" ht="13.2" x14ac:dyDescent="0.25">
      <c r="A25" s="3" t="s">
        <v>72</v>
      </c>
      <c r="B25" s="4">
        <v>42</v>
      </c>
      <c r="G25" s="2" t="s">
        <v>16</v>
      </c>
    </row>
    <row r="26" spans="1:15" ht="13.2" x14ac:dyDescent="0.25">
      <c r="G26" s="1" t="s">
        <v>73</v>
      </c>
      <c r="H26" s="4">
        <v>0.1</v>
      </c>
    </row>
    <row r="27" spans="1:15" ht="13.2" x14ac:dyDescent="0.25">
      <c r="G27" s="1" t="s">
        <v>74</v>
      </c>
      <c r="H27" s="4">
        <v>0.14000000000000001</v>
      </c>
    </row>
    <row r="29" spans="1:15" ht="13.2" x14ac:dyDescent="0.25">
      <c r="A29" s="2" t="s">
        <v>75</v>
      </c>
      <c r="B29" s="2" t="s">
        <v>76</v>
      </c>
      <c r="D29" s="2" t="s">
        <v>77</v>
      </c>
      <c r="E29" s="2" t="s">
        <v>50</v>
      </c>
    </row>
    <row r="30" spans="1:15" ht="13.2" x14ac:dyDescent="0.25">
      <c r="A30" s="3" t="s">
        <v>78</v>
      </c>
      <c r="B30" s="12">
        <f>(DN+Dfour)/2</f>
        <v>55</v>
      </c>
      <c r="D30" s="3" t="s">
        <v>79</v>
      </c>
      <c r="E30" s="4">
        <v>1.5</v>
      </c>
    </row>
    <row r="31" spans="1:15" ht="13.2" x14ac:dyDescent="0.25">
      <c r="A31" s="3" t="s">
        <v>80</v>
      </c>
      <c r="B31" s="12">
        <f>(Dt/2)*SQRT(((3*Pu)/szigma_hajl)*(1-(2*Dt)/(3*K)))</f>
        <v>4.1643240541036439</v>
      </c>
      <c r="D31" s="3" t="s">
        <v>81</v>
      </c>
      <c r="E31" s="12">
        <f>((DN^2*PI())/4)*Pu</f>
        <v>2814.8670176164546</v>
      </c>
    </row>
    <row r="32" spans="1:15" ht="13.2" x14ac:dyDescent="0.25">
      <c r="A32" s="3" t="s">
        <v>82</v>
      </c>
      <c r="B32" s="12">
        <f>(Dt^2/4)*((3*Pu)/b^2)*(1-((2*Dt)/(3*K)))</f>
        <v>15.521797839506172</v>
      </c>
      <c r="D32" s="3" t="s">
        <v>83</v>
      </c>
      <c r="E32" s="12">
        <f>(((Dt^2-DN^2)/4)*PI())*Pu</f>
        <v>5500.5360373540288</v>
      </c>
    </row>
    <row r="33" spans="1:6" ht="13.2" x14ac:dyDescent="0.25">
      <c r="A33" s="3" t="s">
        <v>70</v>
      </c>
      <c r="B33" s="12">
        <f>szigma_hajl/szigma</f>
        <v>18.683402721680235</v>
      </c>
      <c r="D33" s="3" t="s">
        <v>84</v>
      </c>
      <c r="E33" s="12">
        <f>nt*Pu*PI()*Dt*Bstar_t</f>
        <v>1360.7023180860792</v>
      </c>
    </row>
    <row r="34" spans="1:6" ht="13.2" x14ac:dyDescent="0.25">
      <c r="D34" s="3" t="s">
        <v>85</v>
      </c>
      <c r="E34" s="12">
        <f>SUM(Ftomossz)</f>
        <v>9676.1053730565636</v>
      </c>
    </row>
    <row r="35" spans="1:6" ht="13.2" x14ac:dyDescent="0.25">
      <c r="D35" s="3" t="s">
        <v>86</v>
      </c>
      <c r="E35" s="12">
        <f>n2bizt*Fcsu</f>
        <v>14514.158059584846</v>
      </c>
    </row>
    <row r="37" spans="1:6" ht="13.2" x14ac:dyDescent="0.25">
      <c r="A37" s="2" t="s">
        <v>87</v>
      </c>
      <c r="B37" s="2"/>
    </row>
    <row r="38" spans="1:6" ht="13.2" x14ac:dyDescent="0.25">
      <c r="A38" s="3" t="s">
        <v>88</v>
      </c>
      <c r="B38" s="12">
        <f>Fcssz/n</f>
        <v>3628.5395148962116</v>
      </c>
      <c r="D38" s="2" t="s">
        <v>89</v>
      </c>
      <c r="E38" s="2" t="s">
        <v>90</v>
      </c>
    </row>
    <row r="39" spans="1:6" ht="13.2" x14ac:dyDescent="0.25">
      <c r="A39" s="14" t="s">
        <v>91</v>
      </c>
      <c r="B39" s="12">
        <f>Mcsmin+Mamin</f>
        <v>7748.5198783605974</v>
      </c>
      <c r="D39" s="15" t="s">
        <v>92</v>
      </c>
      <c r="E39" s="16" t="s">
        <v>82</v>
      </c>
      <c r="F39" s="12">
        <f>Fv/Ae</f>
        <v>23.16100002324999</v>
      </c>
    </row>
    <row r="40" spans="1:6" ht="13.2" x14ac:dyDescent="0.25">
      <c r="A40" s="14" t="s">
        <v>93</v>
      </c>
      <c r="B40" s="12">
        <f>Mcsmax+Mamax</f>
        <v>10394.672641641784</v>
      </c>
      <c r="D40" s="17"/>
      <c r="E40" s="16" t="s">
        <v>94</v>
      </c>
      <c r="F40" s="12">
        <f>(((d2cs+d3cs)/2)^2*PI()/4)</f>
        <v>156.66592596406591</v>
      </c>
    </row>
    <row r="41" spans="1:6" ht="13.2" x14ac:dyDescent="0.25">
      <c r="A41" s="3" t="s">
        <v>95</v>
      </c>
      <c r="B41" s="12">
        <f>Fv*(d2cs/2)*TAN(alfacs+romin)</f>
        <v>4256.0505952729927</v>
      </c>
      <c r="D41" s="18" t="s">
        <v>96</v>
      </c>
      <c r="E41" s="19" t="s">
        <v>97</v>
      </c>
      <c r="F41" s="12">
        <f>Mamax/Kp</f>
        <v>8.8390122933633641</v>
      </c>
    </row>
    <row r="42" spans="1:6" ht="13.2" x14ac:dyDescent="0.25">
      <c r="A42" s="3" t="s">
        <v>98</v>
      </c>
      <c r="B42" s="12">
        <f>Fv*(d2cs/2)*TAN(alfacs+romax)</f>
        <v>5505.2156453191374</v>
      </c>
      <c r="D42" s="19"/>
      <c r="E42" s="19" t="s">
        <v>99</v>
      </c>
      <c r="F42" s="12">
        <f>((d2cs+d3cs)/2)^3*PI()/16</f>
        <v>553.16780133837119</v>
      </c>
    </row>
    <row r="43" spans="1:6" ht="13.2" x14ac:dyDescent="0.25">
      <c r="A43" s="3" t="s">
        <v>100</v>
      </c>
      <c r="B43" s="20">
        <f>Fv*(Da/2)*surmin</f>
        <v>3492.4692830876043</v>
      </c>
    </row>
    <row r="44" spans="1:6" ht="13.2" x14ac:dyDescent="0.25">
      <c r="A44" s="3" t="s">
        <v>101</v>
      </c>
      <c r="B44" s="20">
        <f>Fv*(Da/2)*surmax</f>
        <v>4889.4569963226459</v>
      </c>
      <c r="D44" s="21" t="s">
        <v>102</v>
      </c>
      <c r="E44" s="12">
        <f>SQRT(szigma4^2+3*tau^2)</f>
        <v>27.763579326946878</v>
      </c>
    </row>
    <row r="46" spans="1:6" ht="13.2" x14ac:dyDescent="0.25">
      <c r="D46" s="1" t="s">
        <v>30</v>
      </c>
      <c r="E46" s="12" t="e">
        <f t="array" aca="1" ref="E46" ca="1">_xludf.XLOOKUP(red,folyhatarok,szilosztalyok,INDEX(szilosztalyok,1,1),-1,1)</f>
        <v>#NAME?</v>
      </c>
    </row>
    <row r="47" spans="1:6" ht="13.2" x14ac:dyDescent="0.25">
      <c r="D47" s="1" t="s">
        <v>103</v>
      </c>
      <c r="E47" s="4">
        <v>300</v>
      </c>
      <c r="F47" s="1" t="s">
        <v>104</v>
      </c>
    </row>
    <row r="48" spans="1:6" ht="13.2" x14ac:dyDescent="0.25">
      <c r="D48" s="3" t="s">
        <v>105</v>
      </c>
      <c r="E48" s="4">
        <v>180</v>
      </c>
    </row>
    <row r="49" spans="4:5" ht="13.2" x14ac:dyDescent="0.25">
      <c r="D49" s="3" t="s">
        <v>70</v>
      </c>
      <c r="E49" s="12">
        <f>Reh/red</f>
        <v>6.4833139084950382</v>
      </c>
    </row>
  </sheetData>
  <mergeCells count="1">
    <mergeCell ref="A1:D1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G10" r:id="rId5" xr:uid="{00000000-0004-0000-0000-000004000000}"/>
    <hyperlink ref="C5" r:id="rId6" xr:uid="{00000000-0004-0000-0000-000005000000}"/>
    <hyperlink ref="C4" r:id="rId7" xr:uid="{00000000-0004-0000-0000-000006000000}"/>
    <hyperlink ref="C10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46</vt:i4>
      </vt:variant>
    </vt:vector>
  </HeadingPairs>
  <TitlesOfParts>
    <vt:vector size="47" baseType="lpstr">
      <vt:lpstr>Munkalap1</vt:lpstr>
      <vt:lpstr>Ae</vt:lpstr>
      <vt:lpstr>alfacs</vt:lpstr>
      <vt:lpstr>b</vt:lpstr>
      <vt:lpstr>betacs</vt:lpstr>
      <vt:lpstr>Bstar_t</vt:lpstr>
      <vt:lpstr>bt</vt:lpstr>
      <vt:lpstr>csavarM</vt:lpstr>
      <vt:lpstr>D1t</vt:lpstr>
      <vt:lpstr>d1vk</vt:lpstr>
      <vt:lpstr>d2cs</vt:lpstr>
      <vt:lpstr>D2t</vt:lpstr>
      <vt:lpstr>d3cs</vt:lpstr>
      <vt:lpstr>Da</vt:lpstr>
      <vt:lpstr>dcs</vt:lpstr>
      <vt:lpstr>Dfour</vt:lpstr>
      <vt:lpstr>DN</vt:lpstr>
      <vt:lpstr>Dt</vt:lpstr>
      <vt:lpstr>Dw</vt:lpstr>
      <vt:lpstr>Fcssz</vt:lpstr>
      <vt:lpstr>Fcsu</vt:lpstr>
      <vt:lpstr>folyhatarok</vt:lpstr>
      <vt:lpstr>Ftomossz</vt:lpstr>
      <vt:lpstr>Fv</vt:lpstr>
      <vt:lpstr>K</vt:lpstr>
      <vt:lpstr>Kp</vt:lpstr>
      <vt:lpstr>Mamax</vt:lpstr>
      <vt:lpstr>Mamin</vt:lpstr>
      <vt:lpstr>Mcsmax</vt:lpstr>
      <vt:lpstr>Mcsmin</vt:lpstr>
      <vt:lpstr>n</vt:lpstr>
      <vt:lpstr>n2bizt</vt:lpstr>
      <vt:lpstr>nt</vt:lpstr>
      <vt:lpstr>pcs</vt:lpstr>
      <vt:lpstr>Pu</vt:lpstr>
      <vt:lpstr>red</vt:lpstr>
      <vt:lpstr>Reh</vt:lpstr>
      <vt:lpstr>romax</vt:lpstr>
      <vt:lpstr>romin</vt:lpstr>
      <vt:lpstr>surmax</vt:lpstr>
      <vt:lpstr>surmin</vt:lpstr>
      <vt:lpstr>szigma</vt:lpstr>
      <vt:lpstr>szigma_hajl</vt:lpstr>
      <vt:lpstr>szigma4</vt:lpstr>
      <vt:lpstr>szilosztalyok</vt:lpstr>
      <vt:lpstr>tau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Kindlik Dániel</cp:lastModifiedBy>
  <dcterms:created xsi:type="dcterms:W3CDTF">2025-10-05T19:43:34Z</dcterms:created>
  <dcterms:modified xsi:type="dcterms:W3CDTF">2025-10-06T11:54:16Z</dcterms:modified>
</cp:coreProperties>
</file>