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Ilya\OneDrive\Рабочий стол\мат стат\"/>
    </mc:Choice>
  </mc:AlternateContent>
  <xr:revisionPtr revIDLastSave="0" documentId="13_ncr:1_{E7C607B6-5B2C-4A94-8E2D-64DC7075B0CA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input" sheetId="1" r:id="rId1"/>
    <sheet name="№1" sheetId="2" r:id="rId2"/>
    <sheet name="№2" sheetId="3" r:id="rId3"/>
    <sheet name="№3" sheetId="4" r:id="rId4"/>
    <sheet name="№4" sheetId="6" r:id="rId5"/>
    <sheet name="№5" sheetId="5" r:id="rId6"/>
    <sheet name="№6" sheetId="7" r:id="rId7"/>
    <sheet name="№7" sheetId="8" r:id="rId8"/>
    <sheet name="№8" sheetId="18" r:id="rId9"/>
    <sheet name="№9" sheetId="9" r:id="rId10"/>
    <sheet name="№10" sheetId="10" r:id="rId11"/>
    <sheet name="№11" sheetId="11" r:id="rId12"/>
    <sheet name="№12" sheetId="12" r:id="rId13"/>
    <sheet name="№13" sheetId="13" r:id="rId14"/>
    <sheet name="№14" sheetId="14" r:id="rId15"/>
    <sheet name="№15" sheetId="15" r:id="rId16"/>
    <sheet name="№16" sheetId="16" r:id="rId17"/>
  </sheets>
  <definedNames>
    <definedName name="ВЕС">№1!$E$2:$E$201</definedName>
    <definedName name="ВЕС_ВЫБОР_ДИСПЕРСИЯ">№4!$B$10</definedName>
    <definedName name="ВЕС_ИСХОДНЫЙ">input!$C$2:$C$201</definedName>
    <definedName name="ВЕС_КОНЕЦ_ИНТЕРВАЛА">№2!$M$3:$M$12</definedName>
    <definedName name="ВЕС_НАЧАЛО_ИНТЕРВАЛА">№2!$L$3:$L$12</definedName>
    <definedName name="ВНУТРИГРУПП_ДИСП">№11!$B$1</definedName>
    <definedName name="ВТОРАЯ_ЧАСТЬ_РОСТ">input!$B$102:$B$201</definedName>
    <definedName name="ДИСПЕРСИЯ_В_ГРУППЕ">№10!$Q$4:$Q$13</definedName>
    <definedName name="ЗНАЧИМОСТЬ">№7!$B$3</definedName>
    <definedName name="ЗНАЧИМОСТЬ_11">№12!$B$1</definedName>
    <definedName name="ИСПРАВЛЕННАЯ_ДИСПЕРСИЯ_ВЕС_ИНТЕРВАЛ">№4!$B$11</definedName>
    <definedName name="ИСПРАВЛЕННАЯ_ДИСПЕРСИЯ_РОСТ_ИНТЕРВАЛ">№4!$B$5</definedName>
    <definedName name="ИСПРАВЛЕННАЯ_ДИСПЕРСИЯ_РОСТ_ИНТЕРВАЛ_ТОЧЕЧНАЯ">№5!$B$5</definedName>
    <definedName name="ИСПРАВЛЕННОЕ_СРЕДНЕЕ_РОСТ_ИНТЕРВАЛ">№4!$B$6</definedName>
    <definedName name="КВАДРАТ_ОТКЛ_РОСТ">№13!$B$2</definedName>
    <definedName name="КВАДРАТ_ОТКЛОНЕНИЯ_ВЕС">№13!$B$3</definedName>
    <definedName name="КОЛИЧЕСТВО">№1!$G$2</definedName>
    <definedName name="КОЛИЧЕСТВО_ИНТЕРВАЛОВ">№7!$B$4</definedName>
    <definedName name="КОЭФФИЦЕНТ_B">№13!$B$7</definedName>
    <definedName name="КОЭФФИЦЕНТ_А">№13!$B$8</definedName>
    <definedName name="КОЭФФИЦЕНТ_ЛИН_РЕГРЕССИИ">№13!$B$4</definedName>
    <definedName name="МЕЖГРУПП_ДИСП">№11!$B$2</definedName>
    <definedName name="НАДЕЖНОСТЬ">№6!$B$1</definedName>
    <definedName name="ОБЩЕЕ_СРЕДНЕЕ_ТАБЛИЦА">№10!$O$19</definedName>
    <definedName name="ПЕРВАЯ_ЧАСТЬ_РОСТ">input!$B$2:$B$101</definedName>
    <definedName name="первый_конец">№3!$F$3</definedName>
    <definedName name="ПРОИЗВЕДЕНИЕ_СЕРЕДИНЫ_ВЕСА_НА_ЧАСТОТУ">№4!$H$14:$H$23</definedName>
    <definedName name="ПРОИЗВЕДЕНИЕ_СЕРЕДИНЫ_НА_ЧАСТОТУ">№4!$H$2:$H$11</definedName>
    <definedName name="ПРОИЗВЕДЕНИЕ_СРЕДНЕГО_НА_ЧАСТОТЫ">№10!$R$4:$R$13</definedName>
    <definedName name="РОСТ">№1!$B$2:$B$201</definedName>
    <definedName name="РОСТ_ВЫБОРОЧНАЯ_ДИСПЕРСИЯ">№4!$B$4</definedName>
    <definedName name="РОСТ_И_ВЕС">input!$B$2:$C$201</definedName>
    <definedName name="РОСТ_ИСХОДНЫЙ">input!$B$2:$B$201</definedName>
    <definedName name="РОСТ_КОНЕЦ_ИНТЕРВАЛА">№2!$I$3:$I$12</definedName>
    <definedName name="РОСТ_НАЧАЛО_ИНТЕРВАЛА">№2!$H$3:$H$12</definedName>
    <definedName name="СЕРЕДИНА_ИНТЕРВАЛА_ВЕС">№4!$G$14:$G$23</definedName>
    <definedName name="СЕРЕДИНЫ_ИНТЕРВАЛОВ_РОСТ">№4!$G$2:$G$11</definedName>
    <definedName name="СРЕДНЕЕ_ВЕС_ИНТЕРВАЛ">№4!$B$9</definedName>
    <definedName name="СРЕДНЕЕ_ПРОИЗВЕДЕНИЕ_XY">№13!$B$1</definedName>
    <definedName name="СРЕДНЕЕ_РОСТ_ИНТЕРВАЛ">№4!$B$3</definedName>
    <definedName name="СРЕДНЕЕ_РОСТ_ИНТЕРВАЛ_ТОЧЕЧНОЕ">№5!$B$3</definedName>
    <definedName name="СТЕПЕНЬ_СВОБОДЫ">№7!$B$5</definedName>
    <definedName name="УСЛОВНО_СРЕДНЕЕ_ВЕС">№10!$O$4:$O$13</definedName>
    <definedName name="УСЛОВНО_СРЕДНЕЕ_ВЕС_КВАДРАТ">№10!$P$4:$P$13</definedName>
    <definedName name="УСЛОВНОЕ_СРЕДНЕЕ_ВЕС_ГРУПП">№10!$O$14</definedName>
    <definedName name="ЧАСТОТЫ_ВЕС_ТАБЛИЦА">№10!$N$4:$N$13</definedName>
    <definedName name="ЧАСТОТЫ_ВЕСА">№3!$O$4:$O$13</definedName>
    <definedName name="ЧАСТОТЫ_РОСТА">№3!$J$4:$J$13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0" l="1"/>
  <c r="B5" i="18"/>
  <c r="B6" i="18"/>
  <c r="B4" i="18"/>
  <c r="B3" i="18"/>
  <c r="B2" i="18"/>
  <c r="B1" i="18"/>
  <c r="B27" i="16"/>
  <c r="B26" i="16"/>
  <c r="B24" i="16"/>
  <c r="B23" i="16"/>
  <c r="B22" i="16"/>
  <c r="G2" i="16" a="1"/>
  <c r="G2" i="16" s="1"/>
  <c r="B3" i="16" s="1"/>
  <c r="B9" i="16" l="1"/>
  <c r="B19" i="16" s="1"/>
  <c r="B2" i="16"/>
  <c r="B10" i="16"/>
  <c r="B4" i="16"/>
  <c r="B11" i="16"/>
  <c r="B6" i="16"/>
  <c r="B5" i="16"/>
  <c r="B7" i="16"/>
  <c r="B8" i="16"/>
  <c r="B18" i="16" l="1"/>
  <c r="B21" i="16"/>
  <c r="D4" i="10" l="1" a="1"/>
  <c r="D4" i="10" s="1"/>
  <c r="G11" i="8"/>
  <c r="B6" i="8"/>
  <c r="F3" i="8" a="1"/>
  <c r="F3" i="8" s="1"/>
  <c r="F5" i="8" a="1"/>
  <c r="F5" i="8" s="1"/>
  <c r="F6" i="8" a="1"/>
  <c r="F6" i="8" s="1"/>
  <c r="F7" i="8" a="1"/>
  <c r="F7" i="8" s="1"/>
  <c r="F8" i="8" a="1"/>
  <c r="F8" i="8" s="1"/>
  <c r="F4" i="8" a="1"/>
  <c r="F4" i="8" s="1"/>
  <c r="B20" i="7"/>
  <c r="B19" i="7"/>
  <c r="B15" i="7"/>
  <c r="B14" i="7"/>
  <c r="B5" i="5"/>
  <c r="B10" i="7"/>
  <c r="B6" i="7"/>
  <c r="F14" i="10" l="1"/>
  <c r="N6" i="10"/>
  <c r="R4" i="10"/>
  <c r="N4" i="10"/>
  <c r="N5" i="10"/>
  <c r="O5" i="10" s="1"/>
  <c r="J10" i="4"/>
  <c r="J9" i="4"/>
  <c r="J8" i="4"/>
  <c r="J7" i="4"/>
  <c r="J6" i="4"/>
  <c r="J5" i="4"/>
  <c r="J4" i="4"/>
  <c r="K4" i="4" s="1"/>
  <c r="B3" i="13"/>
  <c r="B3" i="12"/>
  <c r="B10" i="6" a="1"/>
  <c r="B10" i="6" s="1"/>
  <c r="D3" i="10" a="1"/>
  <c r="D3" i="10" s="1"/>
  <c r="B4" i="8"/>
  <c r="B11" i="6" a="1"/>
  <c r="B11" i="6" s="1"/>
  <c r="B12" i="6" s="1"/>
  <c r="B9" i="6"/>
  <c r="H14" i="6" a="1"/>
  <c r="H14" i="6" s="1"/>
  <c r="P6" i="4"/>
  <c r="P7" i="4" s="1"/>
  <c r="P8" i="4" s="1"/>
  <c r="P9" i="4" s="1"/>
  <c r="P10" i="4" s="1"/>
  <c r="P11" i="4" s="1"/>
  <c r="P12" i="4" s="1"/>
  <c r="P13" i="4" s="1"/>
  <c r="P5" i="4"/>
  <c r="P4" i="4"/>
  <c r="G14" i="6" a="1"/>
  <c r="G14" i="6" s="1"/>
  <c r="G2" i="6" a="1"/>
  <c r="I3" i="3"/>
  <c r="B15" i="5"/>
  <c r="B8" i="5"/>
  <c r="B14" i="5"/>
  <c r="B7" i="5"/>
  <c r="B13" i="5"/>
  <c r="B6" i="5"/>
  <c r="B12" i="5"/>
  <c r="B11" i="5"/>
  <c r="B4" i="5"/>
  <c r="B3" i="5"/>
  <c r="B10" i="5"/>
  <c r="J13" i="4"/>
  <c r="J11" i="4"/>
  <c r="J12" i="4"/>
  <c r="M5" i="3"/>
  <c r="M6" i="3" s="1"/>
  <c r="M7" i="3" s="1"/>
  <c r="M8" i="3" s="1"/>
  <c r="M9" i="3" s="1"/>
  <c r="M10" i="3" s="1"/>
  <c r="M11" i="3" s="1"/>
  <c r="M12" i="3" s="1"/>
  <c r="M4" i="3"/>
  <c r="L5" i="3"/>
  <c r="L6" i="3" s="1"/>
  <c r="L7" i="3" s="1"/>
  <c r="L8" i="3" s="1"/>
  <c r="L9" i="3" s="1"/>
  <c r="L10" i="3" s="1"/>
  <c r="L11" i="3" s="1"/>
  <c r="L12" i="3" s="1"/>
  <c r="L4" i="3"/>
  <c r="H4" i="3"/>
  <c r="H5" i="3" s="1"/>
  <c r="H6" i="3" l="1"/>
  <c r="I5" i="3"/>
  <c r="G2" i="6"/>
  <c r="I4" i="3"/>
  <c r="R7" i="10"/>
  <c r="P4" i="10"/>
  <c r="R8" i="10"/>
  <c r="R6" i="10"/>
  <c r="R5" i="10"/>
  <c r="L14" i="10"/>
  <c r="G14" i="10"/>
  <c r="N8" i="10"/>
  <c r="M14" i="10"/>
  <c r="J14" i="10"/>
  <c r="K14" i="10"/>
  <c r="I14" i="10"/>
  <c r="H14" i="10"/>
  <c r="N7" i="10"/>
  <c r="E5" i="8"/>
  <c r="E6" i="8"/>
  <c r="E9" i="8"/>
  <c r="E7" i="8"/>
  <c r="E8" i="8"/>
  <c r="G8" i="8" s="1"/>
  <c r="B5" i="8"/>
  <c r="F9" i="8" a="1"/>
  <c r="F9" i="8" s="1"/>
  <c r="E10" i="8" s="1"/>
  <c r="G10" i="8" s="1"/>
  <c r="H19" i="6"/>
  <c r="H18" i="6"/>
  <c r="H17" i="6"/>
  <c r="H20" i="6"/>
  <c r="H16" i="6"/>
  <c r="H21" i="6"/>
  <c r="H23" i="6"/>
  <c r="H15" i="6"/>
  <c r="H22" i="6"/>
  <c r="H2" i="6" a="1"/>
  <c r="G4" i="6"/>
  <c r="G3" i="6"/>
  <c r="K5" i="4"/>
  <c r="K6" i="4" s="1"/>
  <c r="K7" i="4" s="1"/>
  <c r="K8" i="4" s="1"/>
  <c r="K9" i="4" s="1"/>
  <c r="K10" i="4" s="1"/>
  <c r="K11" i="4" s="1"/>
  <c r="K12" i="4" s="1"/>
  <c r="K13" i="4" s="1"/>
  <c r="H2" i="6" l="1"/>
  <c r="H7" i="3"/>
  <c r="I6" i="3"/>
  <c r="G5" i="6" s="1"/>
  <c r="H5" i="6" s="1"/>
  <c r="E14" i="10"/>
  <c r="N10" i="10"/>
  <c r="R10" i="10"/>
  <c r="N9" i="10"/>
  <c r="R9" i="10"/>
  <c r="Q4" i="10"/>
  <c r="G5" i="8"/>
  <c r="O8" i="10"/>
  <c r="P8" i="10"/>
  <c r="O6" i="10"/>
  <c r="P6" i="10"/>
  <c r="O7" i="10"/>
  <c r="P7" i="10"/>
  <c r="P5" i="10"/>
  <c r="G7" i="8"/>
  <c r="G6" i="8"/>
  <c r="G3" i="8"/>
  <c r="E4" i="8"/>
  <c r="G4" i="8" s="1"/>
  <c r="G9" i="8"/>
  <c r="H3" i="6"/>
  <c r="H4" i="6"/>
  <c r="H8" i="3" l="1"/>
  <c r="I7" i="3"/>
  <c r="G6" i="6" s="1"/>
  <c r="P9" i="10"/>
  <c r="O9" i="10"/>
  <c r="O10" i="10"/>
  <c r="P10" i="10"/>
  <c r="D14" i="10"/>
  <c r="R11" i="10"/>
  <c r="N11" i="10"/>
  <c r="N12" i="10"/>
  <c r="R12" i="10"/>
  <c r="Q8" i="10"/>
  <c r="Q5" i="10"/>
  <c r="Q7" i="10"/>
  <c r="Q6" i="10"/>
  <c r="H6" i="6" l="1"/>
  <c r="H9" i="3"/>
  <c r="I8" i="3"/>
  <c r="G7" i="6" s="1"/>
  <c r="Q10" i="10"/>
  <c r="Q9" i="10"/>
  <c r="O12" i="10"/>
  <c r="P12" i="10"/>
  <c r="P11" i="10"/>
  <c r="O11" i="10"/>
  <c r="N13" i="10"/>
  <c r="R13" i="10"/>
  <c r="H7" i="6" l="1"/>
  <c r="H10" i="3"/>
  <c r="I9" i="3"/>
  <c r="G8" i="6"/>
  <c r="H8" i="6" s="1"/>
  <c r="Q11" i="10"/>
  <c r="P13" i="10"/>
  <c r="O13" i="10"/>
  <c r="O14" i="10" s="1"/>
  <c r="B2" i="11" s="1"/>
  <c r="Q12" i="10"/>
  <c r="N14" i="10"/>
  <c r="H11" i="3" l="1"/>
  <c r="I10" i="3"/>
  <c r="G9" i="6"/>
  <c r="H9" i="6" s="1"/>
  <c r="F1" i="15"/>
  <c r="Q13" i="10"/>
  <c r="B1" i="11" s="1"/>
  <c r="H12" i="3" l="1"/>
  <c r="I11" i="3"/>
  <c r="G10" i="6" s="1"/>
  <c r="B3" i="11"/>
  <c r="B2" i="12"/>
  <c r="H10" i="6" l="1"/>
  <c r="I12" i="3"/>
  <c r="G11" i="6" s="1"/>
  <c r="H11" i="6" l="1"/>
  <c r="C4" i="10" a="1"/>
  <c r="C4" i="10" s="1"/>
  <c r="G2" i="7" a="1"/>
  <c r="G2" i="7" s="1"/>
  <c r="G12" i="7" s="1"/>
  <c r="B1" i="13"/>
  <c r="B3" i="6"/>
  <c r="B4" i="6" l="1" a="1"/>
  <c r="B4" i="6" s="1"/>
  <c r="B2" i="13" s="1"/>
  <c r="B7" i="7"/>
  <c r="B8" i="7"/>
  <c r="B5" i="6" a="1"/>
  <c r="B5" i="6" s="1"/>
  <c r="B4" i="13"/>
  <c r="B2" i="15" s="1"/>
  <c r="B7" i="13"/>
  <c r="F15" i="10"/>
  <c r="K15" i="10"/>
  <c r="H15" i="10"/>
  <c r="M15" i="10"/>
  <c r="I15" i="10"/>
  <c r="J15" i="10"/>
  <c r="G15" i="10"/>
  <c r="L15" i="10"/>
  <c r="E15" i="10"/>
  <c r="D15" i="10"/>
  <c r="B21" i="7"/>
  <c r="B22" i="7"/>
  <c r="B6" i="6" l="1" a="1"/>
  <c r="B6" i="6" s="1"/>
  <c r="B16" i="7"/>
  <c r="B17" i="7"/>
  <c r="B12" i="7"/>
  <c r="B11" i="7"/>
  <c r="A2" i="14"/>
  <c r="B8" i="13"/>
  <c r="B6" i="13" s="1"/>
  <c r="B14" i="16"/>
  <c r="B16" i="16" l="1"/>
  <c r="B15" i="16"/>
  <c r="H3" i="8"/>
  <c r="H4" i="8"/>
  <c r="I4" i="8" s="1"/>
  <c r="J3" i="8" s="1"/>
  <c r="H7" i="8"/>
  <c r="I7" i="8" s="1"/>
  <c r="H5" i="8"/>
  <c r="I5" i="8" s="1"/>
  <c r="J4" i="8" s="1"/>
  <c r="K4" i="8" s="1"/>
  <c r="L4" i="8" s="1"/>
  <c r="H8" i="8"/>
  <c r="I8" i="8" s="1"/>
  <c r="J7" i="8" s="1"/>
  <c r="K7" i="8" s="1"/>
  <c r="L7" i="8" s="1"/>
  <c r="H6" i="8"/>
  <c r="I6" i="8" s="1"/>
  <c r="J5" i="8" s="1"/>
  <c r="K5" i="8" s="1"/>
  <c r="L5" i="8" s="1"/>
  <c r="H9" i="8"/>
  <c r="I9" i="8" s="1"/>
  <c r="H10" i="8"/>
  <c r="I10" i="8" s="1"/>
  <c r="J6" i="8" l="1"/>
  <c r="K6" i="8" s="1"/>
  <c r="L6" i="8" s="1"/>
  <c r="K3" i="8"/>
  <c r="L3" i="8" s="1"/>
  <c r="J9" i="8"/>
  <c r="K9" i="8" s="1"/>
  <c r="L9" i="8" s="1"/>
  <c r="J10" i="8"/>
  <c r="K10" i="8" s="1"/>
  <c r="L10" i="8" s="1"/>
  <c r="J8" i="8"/>
  <c r="K8" i="8" s="1"/>
  <c r="L8" i="8" s="1"/>
  <c r="L11" i="8" l="1"/>
  <c r="B7" i="8" s="1"/>
  <c r="B8" i="8" s="1"/>
  <c r="J1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<sst xmlns="http://schemas.openxmlformats.org/spreadsheetml/2006/main" count="186" uniqueCount="110">
  <si>
    <t>№</t>
  </si>
  <si>
    <t>Рост</t>
  </si>
  <si>
    <t>Вес</t>
  </si>
  <si>
    <t xml:space="preserve">Номер </t>
  </si>
  <si>
    <t>Номер</t>
  </si>
  <si>
    <t>Начало интервала</t>
  </si>
  <si>
    <t>Конец интервала</t>
  </si>
  <si>
    <t>№ интервала</t>
  </si>
  <si>
    <t>Мин рост</t>
  </si>
  <si>
    <t>Макс рост</t>
  </si>
  <si>
    <t>Мин вес</t>
  </si>
  <si>
    <t>Макс вес</t>
  </si>
  <si>
    <t>Шаг рост</t>
  </si>
  <si>
    <t>Шаг вес</t>
  </si>
  <si>
    <t>Частота</t>
  </si>
  <si>
    <t>Значение распределения</t>
  </si>
  <si>
    <t>Функция</t>
  </si>
  <si>
    <t>Значение</t>
  </si>
  <si>
    <t>Выборочное среднее</t>
  </si>
  <si>
    <t>Выборочную дисперсию</t>
  </si>
  <si>
    <t xml:space="preserve">Исправленную дисперсию </t>
  </si>
  <si>
    <t>Исправленные выборочные средние квадратические отклонения</t>
  </si>
  <si>
    <t>Мода</t>
  </si>
  <si>
    <t>Медиана</t>
  </si>
  <si>
    <t>Середина Интервалов Роста</t>
  </si>
  <si>
    <t>Середина Интервала * частоту</t>
  </si>
  <si>
    <t>РОСТ</t>
  </si>
  <si>
    <t>Середина Интервалов Веса</t>
  </si>
  <si>
    <t>ВЕС</t>
  </si>
  <si>
    <t>Уровень надежности</t>
  </si>
  <si>
    <t>Уровень значимости</t>
  </si>
  <si>
    <t>H0</t>
  </si>
  <si>
    <t>H1</t>
  </si>
  <si>
    <t>Нормальное распределение</t>
  </si>
  <si>
    <t>Не нормальное распределение</t>
  </si>
  <si>
    <t>Количество интервалов</t>
  </si>
  <si>
    <t>Степень свободы</t>
  </si>
  <si>
    <t>Начало интвервала рост</t>
  </si>
  <si>
    <t>Конец интервала рост</t>
  </si>
  <si>
    <t>Критическая точка</t>
  </si>
  <si>
    <t>Вывод</t>
  </si>
  <si>
    <t>Частоты для роста</t>
  </si>
  <si>
    <t>Частоты для веса</t>
  </si>
  <si>
    <t>Середины</t>
  </si>
  <si>
    <t>Предпологаю, что корреляция между ростом и весом прямая</t>
  </si>
  <si>
    <t>1) Данные расположены вокруг главной лиагонали</t>
  </si>
  <si>
    <t>2) Кор облако из пред пункта имеет форму эллипса</t>
  </si>
  <si>
    <t>3) Условное среднее каждой величины увеличивается при увеличении среднего интервала другой величины</t>
  </si>
  <si>
    <t>Условно среднее квадрат</t>
  </si>
  <si>
    <t>Дисперсия</t>
  </si>
  <si>
    <t>Условное среднее рост</t>
  </si>
  <si>
    <t>Условно среднее вес</t>
  </si>
  <si>
    <t>Внутригрупповая дисперсия</t>
  </si>
  <si>
    <t>Межгрупповая дисперсия</t>
  </si>
  <si>
    <t>Статистика</t>
  </si>
  <si>
    <t>есть зависимость роста от веса</t>
  </si>
  <si>
    <t>Для 12 пункта</t>
  </si>
  <si>
    <t>среднее произведение XY</t>
  </si>
  <si>
    <t>Среднее квад откл рост</t>
  </si>
  <si>
    <t>Среднее квад откл вес</t>
  </si>
  <si>
    <t>Коэффицент линейной регрессии</t>
  </si>
  <si>
    <t>Уравнение линейной регрессии</t>
  </si>
  <si>
    <t>b</t>
  </si>
  <si>
    <t>a</t>
  </si>
  <si>
    <t>Выборочное корреляционное соотношение</t>
  </si>
  <si>
    <t>Разница</t>
  </si>
  <si>
    <t>сигма в квадрате</t>
  </si>
  <si>
    <t>а)</t>
  </si>
  <si>
    <t>t_гамма</t>
  </si>
  <si>
    <t>Начало</t>
  </si>
  <si>
    <t>Конец</t>
  </si>
  <si>
    <t>б)</t>
  </si>
  <si>
    <t>в)</t>
  </si>
  <si>
    <t>г)</t>
  </si>
  <si>
    <t>хи_квадрат_1</t>
  </si>
  <si>
    <t>хи_квадрат_2</t>
  </si>
  <si>
    <t>сумма для г)</t>
  </si>
  <si>
    <t>теоретическая частота</t>
  </si>
  <si>
    <t>Критическая точка (теор)</t>
  </si>
  <si>
    <t>вероятность</t>
  </si>
  <si>
    <t>(a-среднее)/S = point</t>
  </si>
  <si>
    <t>F(point)</t>
  </si>
  <si>
    <t>(n-n')^2/n'</t>
  </si>
  <si>
    <t>хи-квадрат (наблюдаемое)</t>
  </si>
  <si>
    <t>Сила связи заметная по шкале Чеддека</t>
  </si>
  <si>
    <t>Уравнение</t>
  </si>
  <si>
    <t>x</t>
  </si>
  <si>
    <t>y</t>
  </si>
  <si>
    <t>Коэффициент детерминации</t>
  </si>
  <si>
    <t>F-статистика</t>
  </si>
  <si>
    <t>Дисперсия расчетных значений</t>
  </si>
  <si>
    <t>Ошибка a</t>
  </si>
  <si>
    <t>Ошибка b</t>
  </si>
  <si>
    <t>y = -51 + 0,7x</t>
  </si>
  <si>
    <t>Ошибка</t>
  </si>
  <si>
    <t>Критическая точки</t>
  </si>
  <si>
    <t>Интервал a начало</t>
  </si>
  <si>
    <t>Интервал a конец</t>
  </si>
  <si>
    <t>Интервал b начало</t>
  </si>
  <si>
    <t>Интервал b конец</t>
  </si>
  <si>
    <t>F &gt; t_кр, вывод</t>
  </si>
  <si>
    <t>уравнение регрессии статистически значимо</t>
  </si>
  <si>
    <t>ошибка регрессии</t>
  </si>
  <si>
    <t>Дисперсия остатков</t>
  </si>
  <si>
    <t>первая часть среднее</t>
  </si>
  <si>
    <t>вторая часть среднее</t>
  </si>
  <si>
    <t>исправленная дисперсия 1</t>
  </si>
  <si>
    <t>исправленная дисперся 2</t>
  </si>
  <si>
    <t>K</t>
  </si>
  <si>
    <t>Тк K меньше критической точки, то принимает гипотеза о равенстве дисперсий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</si>
</sst>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7">
    <xf numFmtId="0" fontId="0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/>
    <xf numFmtId="0" fontId="6" fillId="0" borderId="1" xfId="8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1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5" fillId="0" borderId="2" xfId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Fill="1" applyBorder="1"/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7">
    <cellStyle name="Обычный" xfId="0" builtinId="0"/>
    <cellStyle name="Обычный 10" xfId="10" xr:uid="{B547F00F-DE82-45C8-B447-C34F977A5368}"/>
    <cellStyle name="Обычный 11" xfId="11" xr:uid="{ACBE6159-59BE-48A4-B8BD-55215ABBA68F}"/>
    <cellStyle name="Обычный 12" xfId="12" xr:uid="{B26DF50B-D5E9-4D21-9F53-31ED17FD04CF}"/>
    <cellStyle name="Обычный 13" xfId="13" xr:uid="{94E23DB7-6A3C-4E79-996A-372BC058678E}"/>
    <cellStyle name="Обычный 14" xfId="14" xr:uid="{E4EB58F7-6551-45A7-B345-714C9BFA2EAF}"/>
    <cellStyle name="Обычный 15" xfId="15" xr:uid="{18010937-2A36-4357-A038-9B103FDFAA20}"/>
    <cellStyle name="Обычный 16" xfId="16" xr:uid="{84098939-607D-46F2-9137-0A0D2A77A98D}"/>
    <cellStyle name="Обычный 17" xfId="17" xr:uid="{9912B81C-4DAC-4620-B495-37C6A0AD0096}"/>
    <cellStyle name="Обычный 18" xfId="18" xr:uid="{EFE60D97-393D-4A9E-9269-A5B23E20FC18}"/>
    <cellStyle name="Обычный 19" xfId="19" xr:uid="{F626FD05-66F8-4833-A8C9-14C4F2EBC8A6}"/>
    <cellStyle name="Обычный 2" xfId="2" xr:uid="{5F767FE3-E685-4A29-8221-1D285E6B1E38}"/>
    <cellStyle name="Обычный 20" xfId="20" xr:uid="{5B2F4BFE-55EC-4126-A864-68EB7952B077}"/>
    <cellStyle name="Обычный 21" xfId="21" xr:uid="{2D3701B7-60B2-4BA2-8044-E7C063C5B3D3}"/>
    <cellStyle name="Обычный 22" xfId="22" xr:uid="{2A6E1110-3843-48C6-8A38-F00EDC5EDD1F}"/>
    <cellStyle name="Обычный 23" xfId="23" xr:uid="{52F4B618-2249-48FE-9310-95F875987C9B}"/>
    <cellStyle name="Обычный 24" xfId="24" xr:uid="{9B3455F7-36DC-4103-9D58-06052633909C}"/>
    <cellStyle name="Обычный 25" xfId="25" xr:uid="{76EF7ADD-894D-4C96-8147-5E77B3AA43F2}"/>
    <cellStyle name="Обычный 26" xfId="26" xr:uid="{33212B61-D462-470D-BF3B-53D82789304C}"/>
    <cellStyle name="Обычный 27" xfId="1" xr:uid="{3F30B50A-A0F9-4FBA-8F4C-DCDA883C698E}"/>
    <cellStyle name="Обычный 3" xfId="3" xr:uid="{1CA0109F-22B3-49F1-AA42-7E0AE0D0D8AA}"/>
    <cellStyle name="Обычный 4" xfId="4" xr:uid="{0E5D8CC3-6B0E-4CB7-9D74-39F4EB59FFCE}"/>
    <cellStyle name="Обычный 5" xfId="5" xr:uid="{C0A36BFD-95B7-4DE4-85D6-CD6EA8DC20B0}"/>
    <cellStyle name="Обычный 6" xfId="6" xr:uid="{5A0436E6-67A1-467B-827E-0B3F24A5A664}"/>
    <cellStyle name="Обычный 7" xfId="7" xr:uid="{38737DA1-F4B0-404C-B3E1-C3E408E10E63}"/>
    <cellStyle name="Обычный 8" xfId="8" xr:uid="{E3D3271F-B7DB-4120-BAA8-0F1A2BA29530}"/>
    <cellStyle name="Обычный 9" xfId="9" xr:uid="{FC9D282D-99D3-46DC-98ED-6BD2EFE6C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частоты от интервала</a:t>
            </a:r>
          </a:p>
          <a:p>
            <a:pPr>
              <a:defRPr/>
            </a:pPr>
            <a:r>
              <a:rPr lang="ru-RU" baseline="0"/>
              <a:t>Гистограмма</a:t>
            </a:r>
            <a:endParaRPr lang="ru-RU"/>
          </a:p>
        </c:rich>
      </c:tx>
      <c:layout>
        <c:manualLayout>
          <c:xMode val="edge"/>
          <c:yMode val="edge"/>
          <c:x val="0.1514763779527559"/>
          <c:y val="2.6925148088314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№3!$J$4:$J$13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31</c:v>
                </c:pt>
                <c:pt idx="3">
                  <c:v>34</c:v>
                </c:pt>
                <c:pt idx="4">
                  <c:v>48</c:v>
                </c:pt>
                <c:pt idx="5">
                  <c:v>42</c:v>
                </c:pt>
                <c:pt idx="6">
                  <c:v>15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9-43F7-8B25-D1CADDEFD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847391"/>
        <c:axId val="1894848831"/>
      </c:barChart>
      <c:catAx>
        <c:axId val="189484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4848831"/>
        <c:crosses val="autoZero"/>
        <c:auto val="1"/>
        <c:lblAlgn val="ctr"/>
        <c:lblOffset val="100"/>
        <c:noMultiLvlLbl val="0"/>
      </c:catAx>
      <c:valAx>
        <c:axId val="189484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48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частоты от интервала</a:t>
            </a:r>
          </a:p>
          <a:p>
            <a:pPr>
              <a:defRPr/>
            </a:pPr>
            <a:r>
              <a:rPr lang="ru-RU" baseline="0"/>
              <a:t>Полигон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753116192579248"/>
          <c:y val="0.24519083969465649"/>
          <c:w val="0.89246883807420752"/>
          <c:h val="0.6062174670914227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№3!$J$4:$J$13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31</c:v>
                </c:pt>
                <c:pt idx="3">
                  <c:v>34</c:v>
                </c:pt>
                <c:pt idx="4">
                  <c:v>48</c:v>
                </c:pt>
                <c:pt idx="5">
                  <c:v>42</c:v>
                </c:pt>
                <c:pt idx="6">
                  <c:v>15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0-4ED3-9C21-18AB3C006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141823"/>
        <c:axId val="1907896623"/>
      </c:lineChart>
      <c:catAx>
        <c:axId val="1904141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7896623"/>
        <c:crosses val="autoZero"/>
        <c:auto val="1"/>
        <c:lblAlgn val="ctr"/>
        <c:lblOffset val="100"/>
        <c:noMultiLvlLbl val="0"/>
      </c:catAx>
      <c:valAx>
        <c:axId val="19078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14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№3!$K$4:$K$13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0.255</c:v>
                </c:pt>
                <c:pt idx="3">
                  <c:v>0.42500000000000004</c:v>
                </c:pt>
                <c:pt idx="4">
                  <c:v>0.66500000000000004</c:v>
                </c:pt>
                <c:pt idx="5">
                  <c:v>0.875</c:v>
                </c:pt>
                <c:pt idx="6">
                  <c:v>0.95</c:v>
                </c:pt>
                <c:pt idx="7">
                  <c:v>0.98</c:v>
                </c:pt>
                <c:pt idx="8">
                  <c:v>0.99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9B-40AF-A194-4E238BF21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43071"/>
        <c:axId val="140244031"/>
      </c:lineChart>
      <c:catAx>
        <c:axId val="14024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244031"/>
        <c:crosses val="autoZero"/>
        <c:auto val="1"/>
        <c:lblAlgn val="ctr"/>
        <c:lblOffset val="100"/>
        <c:noMultiLvlLbl val="0"/>
      </c:catAx>
      <c:valAx>
        <c:axId val="14024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2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</a:t>
            </a:r>
            <a:r>
              <a:rPr lang="ru-RU" baseline="0"/>
              <a:t> веса и роста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input!$B$2:$B$201</c:f>
              <c:numCache>
                <c:formatCode>General</c:formatCode>
                <c:ptCount val="200"/>
                <c:pt idx="0">
                  <c:v>168</c:v>
                </c:pt>
                <c:pt idx="1">
                  <c:v>177</c:v>
                </c:pt>
                <c:pt idx="2">
                  <c:v>175</c:v>
                </c:pt>
                <c:pt idx="3">
                  <c:v>160</c:v>
                </c:pt>
                <c:pt idx="4">
                  <c:v>172</c:v>
                </c:pt>
                <c:pt idx="5">
                  <c:v>171</c:v>
                </c:pt>
                <c:pt idx="6">
                  <c:v>159</c:v>
                </c:pt>
                <c:pt idx="7">
                  <c:v>165</c:v>
                </c:pt>
                <c:pt idx="8">
                  <c:v>173</c:v>
                </c:pt>
                <c:pt idx="9">
                  <c:v>174</c:v>
                </c:pt>
                <c:pt idx="10">
                  <c:v>161</c:v>
                </c:pt>
                <c:pt idx="11">
                  <c:v>165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184</c:v>
                </c:pt>
                <c:pt idx="16">
                  <c:v>171</c:v>
                </c:pt>
                <c:pt idx="17">
                  <c:v>172</c:v>
                </c:pt>
                <c:pt idx="18">
                  <c:v>176</c:v>
                </c:pt>
                <c:pt idx="19">
                  <c:v>159</c:v>
                </c:pt>
                <c:pt idx="20">
                  <c:v>178</c:v>
                </c:pt>
                <c:pt idx="21">
                  <c:v>164</c:v>
                </c:pt>
                <c:pt idx="22">
                  <c:v>173</c:v>
                </c:pt>
                <c:pt idx="23">
                  <c:v>175</c:v>
                </c:pt>
                <c:pt idx="24">
                  <c:v>159</c:v>
                </c:pt>
                <c:pt idx="25">
                  <c:v>169</c:v>
                </c:pt>
                <c:pt idx="26">
                  <c:v>173</c:v>
                </c:pt>
                <c:pt idx="27">
                  <c:v>173</c:v>
                </c:pt>
                <c:pt idx="28">
                  <c:v>161</c:v>
                </c:pt>
                <c:pt idx="29">
                  <c:v>168</c:v>
                </c:pt>
                <c:pt idx="30">
                  <c:v>168</c:v>
                </c:pt>
                <c:pt idx="31">
                  <c:v>164</c:v>
                </c:pt>
                <c:pt idx="32">
                  <c:v>168</c:v>
                </c:pt>
                <c:pt idx="33">
                  <c:v>181</c:v>
                </c:pt>
                <c:pt idx="34">
                  <c:v>170</c:v>
                </c:pt>
                <c:pt idx="35">
                  <c:v>184</c:v>
                </c:pt>
                <c:pt idx="36">
                  <c:v>169</c:v>
                </c:pt>
                <c:pt idx="37">
                  <c:v>170</c:v>
                </c:pt>
                <c:pt idx="38">
                  <c:v>176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168</c:v>
                </c:pt>
                <c:pt idx="43">
                  <c:v>161</c:v>
                </c:pt>
                <c:pt idx="44">
                  <c:v>165</c:v>
                </c:pt>
                <c:pt idx="45">
                  <c:v>168</c:v>
                </c:pt>
                <c:pt idx="46">
                  <c:v>175</c:v>
                </c:pt>
                <c:pt idx="47">
                  <c:v>174</c:v>
                </c:pt>
                <c:pt idx="48">
                  <c:v>188</c:v>
                </c:pt>
                <c:pt idx="49">
                  <c:v>166</c:v>
                </c:pt>
                <c:pt idx="50">
                  <c:v>178</c:v>
                </c:pt>
                <c:pt idx="51">
                  <c:v>163</c:v>
                </c:pt>
                <c:pt idx="52">
                  <c:v>170</c:v>
                </c:pt>
                <c:pt idx="53">
                  <c:v>164</c:v>
                </c:pt>
                <c:pt idx="54">
                  <c:v>164</c:v>
                </c:pt>
                <c:pt idx="55">
                  <c:v>168</c:v>
                </c:pt>
                <c:pt idx="56">
                  <c:v>167</c:v>
                </c:pt>
                <c:pt idx="57">
                  <c:v>166</c:v>
                </c:pt>
                <c:pt idx="58">
                  <c:v>162</c:v>
                </c:pt>
                <c:pt idx="59">
                  <c:v>171</c:v>
                </c:pt>
                <c:pt idx="60">
                  <c:v>168</c:v>
                </c:pt>
                <c:pt idx="61">
                  <c:v>173</c:v>
                </c:pt>
                <c:pt idx="62">
                  <c:v>167</c:v>
                </c:pt>
                <c:pt idx="63">
                  <c:v>170</c:v>
                </c:pt>
                <c:pt idx="64">
                  <c:v>171</c:v>
                </c:pt>
                <c:pt idx="65">
                  <c:v>173</c:v>
                </c:pt>
                <c:pt idx="66">
                  <c:v>187</c:v>
                </c:pt>
                <c:pt idx="67">
                  <c:v>166</c:v>
                </c:pt>
                <c:pt idx="68">
                  <c:v>170</c:v>
                </c:pt>
                <c:pt idx="69">
                  <c:v>178</c:v>
                </c:pt>
                <c:pt idx="70">
                  <c:v>173</c:v>
                </c:pt>
                <c:pt idx="71">
                  <c:v>179</c:v>
                </c:pt>
                <c:pt idx="72">
                  <c:v>171</c:v>
                </c:pt>
                <c:pt idx="73">
                  <c:v>174</c:v>
                </c:pt>
                <c:pt idx="74">
                  <c:v>164</c:v>
                </c:pt>
                <c:pt idx="75">
                  <c:v>173</c:v>
                </c:pt>
                <c:pt idx="76">
                  <c:v>168</c:v>
                </c:pt>
                <c:pt idx="77">
                  <c:v>166</c:v>
                </c:pt>
                <c:pt idx="78">
                  <c:v>177</c:v>
                </c:pt>
                <c:pt idx="79">
                  <c:v>170</c:v>
                </c:pt>
                <c:pt idx="80">
                  <c:v>167</c:v>
                </c:pt>
                <c:pt idx="81">
                  <c:v>174</c:v>
                </c:pt>
                <c:pt idx="82">
                  <c:v>164</c:v>
                </c:pt>
                <c:pt idx="83">
                  <c:v>164</c:v>
                </c:pt>
                <c:pt idx="84">
                  <c:v>178</c:v>
                </c:pt>
                <c:pt idx="85">
                  <c:v>173</c:v>
                </c:pt>
                <c:pt idx="86">
                  <c:v>179</c:v>
                </c:pt>
                <c:pt idx="87">
                  <c:v>165</c:v>
                </c:pt>
                <c:pt idx="88">
                  <c:v>171</c:v>
                </c:pt>
                <c:pt idx="89">
                  <c:v>171</c:v>
                </c:pt>
                <c:pt idx="90">
                  <c:v>170</c:v>
                </c:pt>
                <c:pt idx="91">
                  <c:v>170</c:v>
                </c:pt>
                <c:pt idx="92">
                  <c:v>165</c:v>
                </c:pt>
                <c:pt idx="93">
                  <c:v>156</c:v>
                </c:pt>
                <c:pt idx="94">
                  <c:v>164</c:v>
                </c:pt>
                <c:pt idx="95">
                  <c:v>158</c:v>
                </c:pt>
                <c:pt idx="96">
                  <c:v>165</c:v>
                </c:pt>
                <c:pt idx="97">
                  <c:v>172</c:v>
                </c:pt>
                <c:pt idx="98">
                  <c:v>178</c:v>
                </c:pt>
                <c:pt idx="99">
                  <c:v>159</c:v>
                </c:pt>
                <c:pt idx="100">
                  <c:v>168</c:v>
                </c:pt>
                <c:pt idx="101">
                  <c:v>157</c:v>
                </c:pt>
                <c:pt idx="102">
                  <c:v>164</c:v>
                </c:pt>
                <c:pt idx="103">
                  <c:v>170</c:v>
                </c:pt>
                <c:pt idx="104">
                  <c:v>171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171</c:v>
                </c:pt>
                <c:pt idx="109">
                  <c:v>161</c:v>
                </c:pt>
                <c:pt idx="110">
                  <c:v>173</c:v>
                </c:pt>
                <c:pt idx="111">
                  <c:v>175</c:v>
                </c:pt>
                <c:pt idx="112">
                  <c:v>164</c:v>
                </c:pt>
                <c:pt idx="113">
                  <c:v>174</c:v>
                </c:pt>
                <c:pt idx="114">
                  <c:v>167</c:v>
                </c:pt>
                <c:pt idx="115">
                  <c:v>176</c:v>
                </c:pt>
                <c:pt idx="116">
                  <c:v>163</c:v>
                </c:pt>
                <c:pt idx="117">
                  <c:v>156</c:v>
                </c:pt>
                <c:pt idx="118">
                  <c:v>179</c:v>
                </c:pt>
                <c:pt idx="119">
                  <c:v>179</c:v>
                </c:pt>
                <c:pt idx="120">
                  <c:v>176</c:v>
                </c:pt>
                <c:pt idx="121">
                  <c:v>163</c:v>
                </c:pt>
                <c:pt idx="122">
                  <c:v>175</c:v>
                </c:pt>
                <c:pt idx="123">
                  <c:v>156</c:v>
                </c:pt>
                <c:pt idx="124">
                  <c:v>177</c:v>
                </c:pt>
                <c:pt idx="125">
                  <c:v>166</c:v>
                </c:pt>
                <c:pt idx="126">
                  <c:v>173</c:v>
                </c:pt>
                <c:pt idx="127">
                  <c:v>169</c:v>
                </c:pt>
                <c:pt idx="128">
                  <c:v>172</c:v>
                </c:pt>
                <c:pt idx="129">
                  <c:v>165</c:v>
                </c:pt>
                <c:pt idx="130">
                  <c:v>164</c:v>
                </c:pt>
                <c:pt idx="131">
                  <c:v>166</c:v>
                </c:pt>
                <c:pt idx="132">
                  <c:v>168</c:v>
                </c:pt>
                <c:pt idx="133">
                  <c:v>167</c:v>
                </c:pt>
                <c:pt idx="134">
                  <c:v>166</c:v>
                </c:pt>
                <c:pt idx="135">
                  <c:v>169</c:v>
                </c:pt>
                <c:pt idx="136">
                  <c:v>169</c:v>
                </c:pt>
                <c:pt idx="137">
                  <c:v>169</c:v>
                </c:pt>
                <c:pt idx="138">
                  <c:v>164</c:v>
                </c:pt>
                <c:pt idx="139">
                  <c:v>179</c:v>
                </c:pt>
                <c:pt idx="140">
                  <c:v>156</c:v>
                </c:pt>
                <c:pt idx="141">
                  <c:v>168</c:v>
                </c:pt>
                <c:pt idx="142">
                  <c:v>171</c:v>
                </c:pt>
                <c:pt idx="143">
                  <c:v>166</c:v>
                </c:pt>
                <c:pt idx="144">
                  <c:v>171</c:v>
                </c:pt>
                <c:pt idx="145">
                  <c:v>172</c:v>
                </c:pt>
                <c:pt idx="146">
                  <c:v>171</c:v>
                </c:pt>
                <c:pt idx="147">
                  <c:v>169</c:v>
                </c:pt>
                <c:pt idx="148">
                  <c:v>174</c:v>
                </c:pt>
                <c:pt idx="149">
                  <c:v>165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input!$C$2:$C$201</c:f>
              <c:numCache>
                <c:formatCode>General</c:formatCode>
                <c:ptCount val="200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59</c:v>
                </c:pt>
                <c:pt idx="4">
                  <c:v>70</c:v>
                </c:pt>
                <c:pt idx="5">
                  <c:v>66</c:v>
                </c:pt>
                <c:pt idx="6">
                  <c:v>57</c:v>
                </c:pt>
                <c:pt idx="7">
                  <c:v>63</c:v>
                </c:pt>
                <c:pt idx="8">
                  <c:v>64</c:v>
                </c:pt>
                <c:pt idx="9">
                  <c:v>74</c:v>
                </c:pt>
                <c:pt idx="10">
                  <c:v>60</c:v>
                </c:pt>
                <c:pt idx="11">
                  <c:v>60</c:v>
                </c:pt>
                <c:pt idx="12">
                  <c:v>59</c:v>
                </c:pt>
                <c:pt idx="13">
                  <c:v>65</c:v>
                </c:pt>
                <c:pt idx="14">
                  <c:v>73</c:v>
                </c:pt>
                <c:pt idx="15">
                  <c:v>68</c:v>
                </c:pt>
                <c:pt idx="16">
                  <c:v>72</c:v>
                </c:pt>
                <c:pt idx="17">
                  <c:v>63</c:v>
                </c:pt>
                <c:pt idx="18">
                  <c:v>70</c:v>
                </c:pt>
                <c:pt idx="19">
                  <c:v>48</c:v>
                </c:pt>
                <c:pt idx="20">
                  <c:v>62</c:v>
                </c:pt>
                <c:pt idx="21">
                  <c:v>61</c:v>
                </c:pt>
                <c:pt idx="22">
                  <c:v>71</c:v>
                </c:pt>
                <c:pt idx="23">
                  <c:v>66</c:v>
                </c:pt>
                <c:pt idx="24">
                  <c:v>55</c:v>
                </c:pt>
                <c:pt idx="25">
                  <c:v>55</c:v>
                </c:pt>
                <c:pt idx="26">
                  <c:v>75</c:v>
                </c:pt>
                <c:pt idx="27">
                  <c:v>66</c:v>
                </c:pt>
                <c:pt idx="28">
                  <c:v>60</c:v>
                </c:pt>
                <c:pt idx="29">
                  <c:v>63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69</c:v>
                </c:pt>
                <c:pt idx="34">
                  <c:v>73</c:v>
                </c:pt>
                <c:pt idx="35">
                  <c:v>68</c:v>
                </c:pt>
                <c:pt idx="36">
                  <c:v>66</c:v>
                </c:pt>
                <c:pt idx="37">
                  <c:v>76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72</c:v>
                </c:pt>
                <c:pt idx="42">
                  <c:v>59</c:v>
                </c:pt>
                <c:pt idx="43">
                  <c:v>51</c:v>
                </c:pt>
                <c:pt idx="44">
                  <c:v>60</c:v>
                </c:pt>
                <c:pt idx="45">
                  <c:v>50</c:v>
                </c:pt>
                <c:pt idx="46">
                  <c:v>64</c:v>
                </c:pt>
                <c:pt idx="47">
                  <c:v>66</c:v>
                </c:pt>
                <c:pt idx="48">
                  <c:v>75</c:v>
                </c:pt>
                <c:pt idx="49">
                  <c:v>67</c:v>
                </c:pt>
                <c:pt idx="50">
                  <c:v>73</c:v>
                </c:pt>
                <c:pt idx="51">
                  <c:v>63</c:v>
                </c:pt>
                <c:pt idx="52">
                  <c:v>75</c:v>
                </c:pt>
                <c:pt idx="53">
                  <c:v>60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62</c:v>
                </c:pt>
                <c:pt idx="58">
                  <c:v>65</c:v>
                </c:pt>
                <c:pt idx="59">
                  <c:v>60</c:v>
                </c:pt>
                <c:pt idx="60">
                  <c:v>62</c:v>
                </c:pt>
                <c:pt idx="61">
                  <c:v>70</c:v>
                </c:pt>
                <c:pt idx="62">
                  <c:v>61</c:v>
                </c:pt>
                <c:pt idx="63">
                  <c:v>74</c:v>
                </c:pt>
                <c:pt idx="64">
                  <c:v>60</c:v>
                </c:pt>
                <c:pt idx="65">
                  <c:v>66</c:v>
                </c:pt>
                <c:pt idx="66">
                  <c:v>84</c:v>
                </c:pt>
                <c:pt idx="67">
                  <c:v>58</c:v>
                </c:pt>
                <c:pt idx="68">
                  <c:v>75</c:v>
                </c:pt>
                <c:pt idx="69">
                  <c:v>69</c:v>
                </c:pt>
                <c:pt idx="70">
                  <c:v>64</c:v>
                </c:pt>
                <c:pt idx="71">
                  <c:v>71</c:v>
                </c:pt>
                <c:pt idx="72">
                  <c:v>64</c:v>
                </c:pt>
                <c:pt idx="73">
                  <c:v>74</c:v>
                </c:pt>
                <c:pt idx="74">
                  <c:v>70</c:v>
                </c:pt>
                <c:pt idx="75">
                  <c:v>69</c:v>
                </c:pt>
                <c:pt idx="76">
                  <c:v>64</c:v>
                </c:pt>
                <c:pt idx="77">
                  <c:v>55</c:v>
                </c:pt>
                <c:pt idx="78">
                  <c:v>67</c:v>
                </c:pt>
                <c:pt idx="79">
                  <c:v>61</c:v>
                </c:pt>
                <c:pt idx="80">
                  <c:v>63</c:v>
                </c:pt>
                <c:pt idx="81">
                  <c:v>75</c:v>
                </c:pt>
                <c:pt idx="82">
                  <c:v>59</c:v>
                </c:pt>
                <c:pt idx="83">
                  <c:v>62</c:v>
                </c:pt>
                <c:pt idx="84">
                  <c:v>60</c:v>
                </c:pt>
                <c:pt idx="85">
                  <c:v>66</c:v>
                </c:pt>
                <c:pt idx="86">
                  <c:v>63</c:v>
                </c:pt>
                <c:pt idx="87">
                  <c:v>62</c:v>
                </c:pt>
                <c:pt idx="88">
                  <c:v>66</c:v>
                </c:pt>
                <c:pt idx="89">
                  <c:v>63</c:v>
                </c:pt>
                <c:pt idx="90">
                  <c:v>70</c:v>
                </c:pt>
                <c:pt idx="91">
                  <c:v>67</c:v>
                </c:pt>
                <c:pt idx="92">
                  <c:v>59</c:v>
                </c:pt>
                <c:pt idx="93">
                  <c:v>53</c:v>
                </c:pt>
                <c:pt idx="94">
                  <c:v>60</c:v>
                </c:pt>
                <c:pt idx="95">
                  <c:v>57</c:v>
                </c:pt>
                <c:pt idx="96">
                  <c:v>68</c:v>
                </c:pt>
                <c:pt idx="97">
                  <c:v>67</c:v>
                </c:pt>
                <c:pt idx="98">
                  <c:v>75</c:v>
                </c:pt>
                <c:pt idx="99">
                  <c:v>61</c:v>
                </c:pt>
                <c:pt idx="100">
                  <c:v>50</c:v>
                </c:pt>
                <c:pt idx="101">
                  <c:v>59</c:v>
                </c:pt>
                <c:pt idx="102">
                  <c:v>66</c:v>
                </c:pt>
                <c:pt idx="103">
                  <c:v>63</c:v>
                </c:pt>
                <c:pt idx="104">
                  <c:v>60</c:v>
                </c:pt>
                <c:pt idx="105">
                  <c:v>62</c:v>
                </c:pt>
                <c:pt idx="106">
                  <c:v>55</c:v>
                </c:pt>
                <c:pt idx="107">
                  <c:v>65</c:v>
                </c:pt>
                <c:pt idx="108">
                  <c:v>72</c:v>
                </c:pt>
                <c:pt idx="109">
                  <c:v>55</c:v>
                </c:pt>
                <c:pt idx="110">
                  <c:v>69</c:v>
                </c:pt>
                <c:pt idx="111">
                  <c:v>80</c:v>
                </c:pt>
                <c:pt idx="112">
                  <c:v>65</c:v>
                </c:pt>
                <c:pt idx="113">
                  <c:v>67</c:v>
                </c:pt>
                <c:pt idx="114">
                  <c:v>59</c:v>
                </c:pt>
                <c:pt idx="115">
                  <c:v>81</c:v>
                </c:pt>
                <c:pt idx="116">
                  <c:v>68</c:v>
                </c:pt>
                <c:pt idx="117">
                  <c:v>59</c:v>
                </c:pt>
                <c:pt idx="118">
                  <c:v>71</c:v>
                </c:pt>
                <c:pt idx="119">
                  <c:v>69</c:v>
                </c:pt>
                <c:pt idx="120">
                  <c:v>77</c:v>
                </c:pt>
                <c:pt idx="121">
                  <c:v>65</c:v>
                </c:pt>
                <c:pt idx="122">
                  <c:v>78</c:v>
                </c:pt>
                <c:pt idx="123">
                  <c:v>52</c:v>
                </c:pt>
                <c:pt idx="124">
                  <c:v>72</c:v>
                </c:pt>
                <c:pt idx="125">
                  <c:v>67</c:v>
                </c:pt>
                <c:pt idx="126">
                  <c:v>77</c:v>
                </c:pt>
                <c:pt idx="127">
                  <c:v>61</c:v>
                </c:pt>
                <c:pt idx="128">
                  <c:v>64</c:v>
                </c:pt>
                <c:pt idx="129">
                  <c:v>56</c:v>
                </c:pt>
                <c:pt idx="130">
                  <c:v>62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67</c:v>
                </c:pt>
                <c:pt idx="135">
                  <c:v>71</c:v>
                </c:pt>
                <c:pt idx="136">
                  <c:v>66</c:v>
                </c:pt>
                <c:pt idx="137">
                  <c:v>62</c:v>
                </c:pt>
                <c:pt idx="138">
                  <c:v>65</c:v>
                </c:pt>
                <c:pt idx="139">
                  <c:v>80</c:v>
                </c:pt>
                <c:pt idx="140">
                  <c:v>59</c:v>
                </c:pt>
                <c:pt idx="141">
                  <c:v>64</c:v>
                </c:pt>
                <c:pt idx="142">
                  <c:v>66</c:v>
                </c:pt>
                <c:pt idx="143">
                  <c:v>78</c:v>
                </c:pt>
                <c:pt idx="144">
                  <c:v>70</c:v>
                </c:pt>
                <c:pt idx="145">
                  <c:v>67</c:v>
                </c:pt>
                <c:pt idx="146">
                  <c:v>67</c:v>
                </c:pt>
                <c:pt idx="147">
                  <c:v>62</c:v>
                </c:pt>
                <c:pt idx="148">
                  <c:v>74</c:v>
                </c:pt>
                <c:pt idx="149">
                  <c:v>60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8-45DF-BCE6-07BCC624C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515903"/>
        <c:axId val="900512063"/>
      </c:scatterChart>
      <c:valAx>
        <c:axId val="900515903"/>
        <c:scaling>
          <c:orientation val="minMax"/>
          <c:max val="19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512063"/>
        <c:crosses val="autoZero"/>
        <c:crossBetween val="midCat"/>
      </c:valAx>
      <c:valAx>
        <c:axId val="900512063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51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линии регрессии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247558396893176E-2"/>
          <c:y val="6.0744396463088643E-2"/>
          <c:w val="0.90608570088613527"/>
          <c:h val="0.8463042504818955"/>
        </c:manualLayout>
      </c:layout>
      <c:scatterChart>
        <c:scatterStyle val="lineMarker"/>
        <c:varyColors val="0"/>
        <c:ser>
          <c:idx val="0"/>
          <c:order val="0"/>
          <c:tx>
            <c:v>Точки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№10!$C$4:$C$13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186.39999999999989</c:v>
                </c:pt>
              </c:numCache>
            </c:numRef>
          </c:xVal>
          <c:yVal>
            <c:numRef>
              <c:f>№10!$O$4:$O$14</c:f>
              <c:numCache>
                <c:formatCode>General</c:formatCode>
                <c:ptCount val="11"/>
                <c:pt idx="0">
                  <c:v>56.640000000000015</c:v>
                </c:pt>
                <c:pt idx="1">
                  <c:v>57.000000000000014</c:v>
                </c:pt>
                <c:pt idx="2">
                  <c:v>62.458064516129042</c:v>
                </c:pt>
                <c:pt idx="3">
                  <c:v>63.670588235294112</c:v>
                </c:pt>
                <c:pt idx="4">
                  <c:v>66.599999999999994</c:v>
                </c:pt>
                <c:pt idx="5">
                  <c:v>69.514285714285705</c:v>
                </c:pt>
                <c:pt idx="6">
                  <c:v>69.959999999999994</c:v>
                </c:pt>
                <c:pt idx="7">
                  <c:v>70.199999999999989</c:v>
                </c:pt>
                <c:pt idx="8">
                  <c:v>67.8</c:v>
                </c:pt>
                <c:pt idx="9">
                  <c:v>78.59999999999998</c:v>
                </c:pt>
                <c:pt idx="10">
                  <c:v>65.585999999999999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73-4B5C-A768-BB1C6A7F1121}"/>
            </c:ext>
          </c:extLst>
        </c:ser>
        <c:ser>
          <c:idx val="1"/>
          <c:order val="1"/>
          <c:tx>
            <c:v>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№14!$C$2:$C$5</c:f>
              <c:numCache>
                <c:formatCode>General</c:formatCode>
                <c:ptCount val="4"/>
                <c:pt idx="0">
                  <c:v>160</c:v>
                </c:pt>
                <c:pt idx="1">
                  <c:v>180</c:v>
                </c:pt>
                <c:pt idx="2">
                  <c:v>156</c:v>
                </c:pt>
                <c:pt idx="3">
                  <c:v>188</c:v>
                </c:pt>
              </c:numCache>
            </c:numRef>
          </c:xVal>
          <c:yVal>
            <c:numRef>
              <c:f>№14!$D$2:$D$5</c:f>
              <c:numCache>
                <c:formatCode>General</c:formatCode>
                <c:ptCount val="4"/>
                <c:pt idx="0">
                  <c:v>58.96</c:v>
                </c:pt>
                <c:pt idx="1">
                  <c:v>73</c:v>
                </c:pt>
                <c:pt idx="2">
                  <c:v>56.2</c:v>
                </c:pt>
                <c:pt idx="3">
                  <c:v>78.56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73-4B5C-A768-BB1C6A7F1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405503"/>
        <c:axId val="1828403103"/>
      </c:scatterChart>
      <c:valAx>
        <c:axId val="1828405503"/>
        <c:scaling>
          <c:orientation val="minMax"/>
          <c:max val="19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8403103"/>
        <c:crosses val="autoZero"/>
        <c:crossBetween val="midCat"/>
      </c:valAx>
      <c:valAx>
        <c:axId val="1828403103"/>
        <c:scaling>
          <c:orientation val="minMax"/>
          <c:max val="8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840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640080</xdr:colOff>
      <xdr:row>14</xdr:row>
      <xdr:rowOff>0</xdr:rowOff>
    </xdr:from>
    <xdr:to>
      <xdr:col>7</xdr:col>
      <xdr:colOff>30480</xdr:colOff>
      <xdr:row>26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9B3FA6-3968-04A5-23B9-B1425FA1C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14</xdr:row>
      <xdr:rowOff>144780</xdr:rowOff>
    </xdr:from>
    <xdr:to>
      <xdr:col>11</xdr:col>
      <xdr:colOff>53340</xdr:colOff>
      <xdr:row>28</xdr:row>
      <xdr:rowOff>80010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B6E9AF5-82E0-004C-FC1C-1697687D5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518160</xdr:colOff>
      <xdr:row>14</xdr:row>
      <xdr:rowOff>34290</xdr:rowOff>
    </xdr:from>
    <xdr:to>
      <xdr:col>16</xdr:col>
      <xdr:colOff>457200</xdr:colOff>
      <xdr:row>29</xdr:row>
      <xdr:rowOff>34290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36349AF-5269-82A2-2128-79853330A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3</xdr:row>
      <xdr:rowOff>110490</xdr:rowOff>
    </xdr:from>
    <xdr:to>
      <xdr:col>9</xdr:col>
      <xdr:colOff>0</xdr:colOff>
      <xdr:row>19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32AF63B-4AEA-C435-1D2C-066CF3E64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305131</xdr:colOff>
      <xdr:row>4</xdr:row>
      <xdr:rowOff>84980</xdr:rowOff>
    </xdr:from>
    <xdr:to>
      <xdr:col>12</xdr:col>
      <xdr:colOff>289891</xdr:colOff>
      <xdr:row>18</xdr:row>
      <xdr:rowOff>111650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E25AFE0-43E7-D90B-CC56-58982F83E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opLeftCell="A37" workbookViewId="0">
      <selection activeCell="B50" sqref="B50"/>
    </sheetView>
  </sheetViews>
  <sheetFormatPr defaultRowHeight="14.4" x14ac:dyDescent="0.3"/>
  <cols>
    <col min="3" max="3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168</v>
      </c>
      <c r="C2" s="2">
        <v>67</v>
      </c>
    </row>
    <row r="3" spans="1:3" x14ac:dyDescent="0.3">
      <c r="A3" s="2">
        <v>2</v>
      </c>
      <c r="B3" s="2">
        <v>177</v>
      </c>
      <c r="C3" s="2">
        <v>68</v>
      </c>
    </row>
    <row r="4" spans="1:3" x14ac:dyDescent="0.3">
      <c r="A4" s="2">
        <v>3</v>
      </c>
      <c r="B4" s="2">
        <v>175</v>
      </c>
      <c r="C4" s="2">
        <v>67</v>
      </c>
    </row>
    <row r="5" spans="1:3" x14ac:dyDescent="0.3">
      <c r="A5" s="2">
        <v>4</v>
      </c>
      <c r="B5" s="2">
        <v>160</v>
      </c>
      <c r="C5" s="2">
        <v>59</v>
      </c>
    </row>
    <row r="6" spans="1:3" x14ac:dyDescent="0.3">
      <c r="A6" s="2">
        <v>5</v>
      </c>
      <c r="B6" s="2">
        <v>172</v>
      </c>
      <c r="C6" s="2">
        <v>70</v>
      </c>
    </row>
    <row r="7" spans="1:3" x14ac:dyDescent="0.3">
      <c r="A7" s="2">
        <v>6</v>
      </c>
      <c r="B7" s="2">
        <v>171</v>
      </c>
      <c r="C7" s="2">
        <v>66</v>
      </c>
    </row>
    <row r="8" spans="1:3" x14ac:dyDescent="0.3">
      <c r="A8" s="2">
        <v>7</v>
      </c>
      <c r="B8" s="2">
        <v>159</v>
      </c>
      <c r="C8" s="2">
        <v>57</v>
      </c>
    </row>
    <row r="9" spans="1:3" x14ac:dyDescent="0.3">
      <c r="A9" s="2">
        <v>8</v>
      </c>
      <c r="B9" s="2">
        <v>165</v>
      </c>
      <c r="C9" s="2">
        <v>63</v>
      </c>
    </row>
    <row r="10" spans="1:3" x14ac:dyDescent="0.3">
      <c r="A10" s="2">
        <v>9</v>
      </c>
      <c r="B10" s="2">
        <v>173</v>
      </c>
      <c r="C10" s="2">
        <v>64</v>
      </c>
    </row>
    <row r="11" spans="1:3" x14ac:dyDescent="0.3">
      <c r="A11" s="2">
        <v>10</v>
      </c>
      <c r="B11" s="2">
        <v>174</v>
      </c>
      <c r="C11" s="2">
        <v>74</v>
      </c>
    </row>
    <row r="12" spans="1:3" x14ac:dyDescent="0.3">
      <c r="A12" s="2">
        <v>11</v>
      </c>
      <c r="B12" s="2">
        <v>161</v>
      </c>
      <c r="C12" s="2">
        <v>60</v>
      </c>
    </row>
    <row r="13" spans="1:3" x14ac:dyDescent="0.3">
      <c r="A13" s="2">
        <v>12</v>
      </c>
      <c r="B13" s="2">
        <v>165</v>
      </c>
      <c r="C13" s="2">
        <v>60</v>
      </c>
    </row>
    <row r="14" spans="1:3" x14ac:dyDescent="0.3">
      <c r="A14" s="2">
        <v>13</v>
      </c>
      <c r="B14" s="2">
        <v>175</v>
      </c>
      <c r="C14" s="2">
        <v>59</v>
      </c>
    </row>
    <row r="15" spans="1:3" x14ac:dyDescent="0.3">
      <c r="A15" s="2">
        <v>14</v>
      </c>
      <c r="B15" s="2">
        <v>176</v>
      </c>
      <c r="C15" s="2">
        <v>65</v>
      </c>
    </row>
    <row r="16" spans="1:3" x14ac:dyDescent="0.3">
      <c r="A16" s="2">
        <v>15</v>
      </c>
      <c r="B16" s="2">
        <v>170</v>
      </c>
      <c r="C16" s="2">
        <v>73</v>
      </c>
    </row>
    <row r="17" spans="1:3" x14ac:dyDescent="0.3">
      <c r="A17" s="2">
        <v>16</v>
      </c>
      <c r="B17" s="2">
        <v>184</v>
      </c>
      <c r="C17" s="2">
        <v>68</v>
      </c>
    </row>
    <row r="18" spans="1:3" x14ac:dyDescent="0.3">
      <c r="A18" s="2">
        <v>17</v>
      </c>
      <c r="B18" s="2">
        <v>171</v>
      </c>
      <c r="C18" s="2">
        <v>72</v>
      </c>
    </row>
    <row r="19" spans="1:3" x14ac:dyDescent="0.3">
      <c r="A19" s="2">
        <v>18</v>
      </c>
      <c r="B19" s="2">
        <v>172</v>
      </c>
      <c r="C19" s="2">
        <v>63</v>
      </c>
    </row>
    <row r="20" spans="1:3" x14ac:dyDescent="0.3">
      <c r="A20" s="2">
        <v>19</v>
      </c>
      <c r="B20" s="2">
        <v>176</v>
      </c>
      <c r="C20" s="2">
        <v>70</v>
      </c>
    </row>
    <row r="21" spans="1:3" x14ac:dyDescent="0.3">
      <c r="A21" s="2">
        <v>20</v>
      </c>
      <c r="B21" s="2">
        <v>159</v>
      </c>
      <c r="C21" s="2">
        <v>48</v>
      </c>
    </row>
    <row r="22" spans="1:3" x14ac:dyDescent="0.3">
      <c r="A22" s="2">
        <v>21</v>
      </c>
      <c r="B22" s="2">
        <v>178</v>
      </c>
      <c r="C22" s="2">
        <v>62</v>
      </c>
    </row>
    <row r="23" spans="1:3" x14ac:dyDescent="0.3">
      <c r="A23" s="2">
        <v>22</v>
      </c>
      <c r="B23" s="2">
        <v>164</v>
      </c>
      <c r="C23" s="2">
        <v>61</v>
      </c>
    </row>
    <row r="24" spans="1:3" x14ac:dyDescent="0.3">
      <c r="A24" s="2">
        <v>23</v>
      </c>
      <c r="B24" s="2">
        <v>173</v>
      </c>
      <c r="C24" s="2">
        <v>71</v>
      </c>
    </row>
    <row r="25" spans="1:3" x14ac:dyDescent="0.3">
      <c r="A25" s="2">
        <v>24</v>
      </c>
      <c r="B25" s="2">
        <v>175</v>
      </c>
      <c r="C25" s="2">
        <v>66</v>
      </c>
    </row>
    <row r="26" spans="1:3" x14ac:dyDescent="0.3">
      <c r="A26" s="2">
        <v>25</v>
      </c>
      <c r="B26" s="2">
        <v>159</v>
      </c>
      <c r="C26" s="2">
        <v>55</v>
      </c>
    </row>
    <row r="27" spans="1:3" x14ac:dyDescent="0.3">
      <c r="A27" s="2">
        <v>26</v>
      </c>
      <c r="B27" s="2">
        <v>169</v>
      </c>
      <c r="C27" s="2">
        <v>55</v>
      </c>
    </row>
    <row r="28" spans="1:3" x14ac:dyDescent="0.3">
      <c r="A28" s="2">
        <v>27</v>
      </c>
      <c r="B28" s="2">
        <v>173</v>
      </c>
      <c r="C28" s="2">
        <v>75</v>
      </c>
    </row>
    <row r="29" spans="1:3" x14ac:dyDescent="0.3">
      <c r="A29" s="2">
        <v>28</v>
      </c>
      <c r="B29" s="2">
        <v>173</v>
      </c>
      <c r="C29" s="2">
        <v>66</v>
      </c>
    </row>
    <row r="30" spans="1:3" x14ac:dyDescent="0.3">
      <c r="A30" s="2">
        <v>29</v>
      </c>
      <c r="B30" s="2">
        <v>161</v>
      </c>
      <c r="C30" s="2">
        <v>60</v>
      </c>
    </row>
    <row r="31" spans="1:3" x14ac:dyDescent="0.3">
      <c r="A31" s="2">
        <v>30</v>
      </c>
      <c r="B31" s="2">
        <v>168</v>
      </c>
      <c r="C31" s="2">
        <v>63</v>
      </c>
    </row>
    <row r="32" spans="1:3" x14ac:dyDescent="0.3">
      <c r="A32" s="2">
        <v>31</v>
      </c>
      <c r="B32" s="2">
        <v>168</v>
      </c>
      <c r="C32" s="2">
        <v>67</v>
      </c>
    </row>
    <row r="33" spans="1:3" x14ac:dyDescent="0.3">
      <c r="A33" s="2">
        <v>32</v>
      </c>
      <c r="B33" s="2">
        <v>164</v>
      </c>
      <c r="C33" s="2">
        <v>59</v>
      </c>
    </row>
    <row r="34" spans="1:3" x14ac:dyDescent="0.3">
      <c r="A34" s="2">
        <v>33</v>
      </c>
      <c r="B34" s="2">
        <v>168</v>
      </c>
      <c r="C34" s="2">
        <v>64</v>
      </c>
    </row>
    <row r="35" spans="1:3" x14ac:dyDescent="0.3">
      <c r="A35" s="2">
        <v>34</v>
      </c>
      <c r="B35" s="2">
        <v>181</v>
      </c>
      <c r="C35" s="2">
        <v>69</v>
      </c>
    </row>
    <row r="36" spans="1:3" x14ac:dyDescent="0.3">
      <c r="A36" s="2">
        <v>35</v>
      </c>
      <c r="B36" s="2">
        <v>170</v>
      </c>
      <c r="C36" s="2">
        <v>73</v>
      </c>
    </row>
    <row r="37" spans="1:3" x14ac:dyDescent="0.3">
      <c r="A37" s="2">
        <v>36</v>
      </c>
      <c r="B37" s="2">
        <v>184</v>
      </c>
      <c r="C37" s="2">
        <v>68</v>
      </c>
    </row>
    <row r="38" spans="1:3" x14ac:dyDescent="0.3">
      <c r="A38" s="2">
        <v>37</v>
      </c>
      <c r="B38" s="2">
        <v>169</v>
      </c>
      <c r="C38" s="2">
        <v>66</v>
      </c>
    </row>
    <row r="39" spans="1:3" x14ac:dyDescent="0.3">
      <c r="A39" s="2">
        <v>38</v>
      </c>
      <c r="B39" s="2">
        <v>170</v>
      </c>
      <c r="C39" s="2">
        <v>76</v>
      </c>
    </row>
    <row r="40" spans="1:3" x14ac:dyDescent="0.3">
      <c r="A40" s="2">
        <v>39</v>
      </c>
      <c r="B40" s="2">
        <v>176</v>
      </c>
      <c r="C40" s="2">
        <v>67</v>
      </c>
    </row>
    <row r="41" spans="1:3" x14ac:dyDescent="0.3">
      <c r="A41" s="2">
        <v>40</v>
      </c>
      <c r="B41" s="2">
        <v>169</v>
      </c>
      <c r="C41" s="2">
        <v>64</v>
      </c>
    </row>
    <row r="42" spans="1:3" x14ac:dyDescent="0.3">
      <c r="A42" s="2">
        <v>41</v>
      </c>
      <c r="B42" s="2">
        <v>170</v>
      </c>
      <c r="C42" s="2">
        <v>61</v>
      </c>
    </row>
    <row r="43" spans="1:3" x14ac:dyDescent="0.3">
      <c r="A43" s="2">
        <v>42</v>
      </c>
      <c r="B43" s="2">
        <v>171</v>
      </c>
      <c r="C43" s="2">
        <v>72</v>
      </c>
    </row>
    <row r="44" spans="1:3" x14ac:dyDescent="0.3">
      <c r="A44" s="2">
        <v>43</v>
      </c>
      <c r="B44" s="2">
        <v>168</v>
      </c>
      <c r="C44" s="2">
        <v>59</v>
      </c>
    </row>
    <row r="45" spans="1:3" x14ac:dyDescent="0.3">
      <c r="A45" s="2">
        <v>44</v>
      </c>
      <c r="B45" s="2">
        <v>161</v>
      </c>
      <c r="C45" s="2">
        <v>51</v>
      </c>
    </row>
    <row r="46" spans="1:3" x14ac:dyDescent="0.3">
      <c r="A46" s="2">
        <v>45</v>
      </c>
      <c r="B46" s="2">
        <v>165</v>
      </c>
      <c r="C46" s="2">
        <v>60</v>
      </c>
    </row>
    <row r="47" spans="1:3" x14ac:dyDescent="0.3">
      <c r="A47" s="2">
        <v>46</v>
      </c>
      <c r="B47" s="2">
        <v>168</v>
      </c>
      <c r="C47" s="2">
        <v>50</v>
      </c>
    </row>
    <row r="48" spans="1:3" x14ac:dyDescent="0.3">
      <c r="A48" s="2">
        <v>47</v>
      </c>
      <c r="B48" s="2">
        <v>175</v>
      </c>
      <c r="C48" s="2">
        <v>64</v>
      </c>
    </row>
    <row r="49" spans="1:3" x14ac:dyDescent="0.3">
      <c r="A49" s="2">
        <v>48</v>
      </c>
      <c r="B49" s="2">
        <v>174</v>
      </c>
      <c r="C49" s="2">
        <v>66</v>
      </c>
    </row>
    <row r="50" spans="1:3" x14ac:dyDescent="0.3">
      <c r="A50" s="2">
        <v>49</v>
      </c>
      <c r="B50" s="2">
        <v>188</v>
      </c>
      <c r="C50" s="2">
        <v>75</v>
      </c>
    </row>
    <row r="51" spans="1:3" x14ac:dyDescent="0.3">
      <c r="A51" s="2">
        <v>50</v>
      </c>
      <c r="B51" s="2">
        <v>166</v>
      </c>
      <c r="C51" s="2">
        <v>67</v>
      </c>
    </row>
    <row r="52" spans="1:3" x14ac:dyDescent="0.3">
      <c r="A52" s="2">
        <v>51</v>
      </c>
      <c r="B52" s="2">
        <v>178</v>
      </c>
      <c r="C52" s="2">
        <v>73</v>
      </c>
    </row>
    <row r="53" spans="1:3" x14ac:dyDescent="0.3">
      <c r="A53" s="2">
        <v>52</v>
      </c>
      <c r="B53" s="2">
        <v>163</v>
      </c>
      <c r="C53" s="2">
        <v>63</v>
      </c>
    </row>
    <row r="54" spans="1:3" x14ac:dyDescent="0.3">
      <c r="A54" s="2">
        <v>53</v>
      </c>
      <c r="B54" s="2">
        <v>170</v>
      </c>
      <c r="C54" s="2">
        <v>75</v>
      </c>
    </row>
    <row r="55" spans="1:3" x14ac:dyDescent="0.3">
      <c r="A55" s="2">
        <v>54</v>
      </c>
      <c r="B55" s="2">
        <v>164</v>
      </c>
      <c r="C55" s="2">
        <v>60</v>
      </c>
    </row>
    <row r="56" spans="1:3" x14ac:dyDescent="0.3">
      <c r="A56" s="2">
        <v>55</v>
      </c>
      <c r="B56" s="2">
        <v>164</v>
      </c>
      <c r="C56" s="2">
        <v>56</v>
      </c>
    </row>
    <row r="57" spans="1:3" x14ac:dyDescent="0.3">
      <c r="A57" s="2">
        <v>56</v>
      </c>
      <c r="B57" s="2">
        <v>168</v>
      </c>
      <c r="C57" s="2">
        <v>59</v>
      </c>
    </row>
    <row r="58" spans="1:3" x14ac:dyDescent="0.3">
      <c r="A58" s="2">
        <v>57</v>
      </c>
      <c r="B58" s="2">
        <v>167</v>
      </c>
      <c r="C58" s="2">
        <v>61</v>
      </c>
    </row>
    <row r="59" spans="1:3" x14ac:dyDescent="0.3">
      <c r="A59" s="2">
        <v>58</v>
      </c>
      <c r="B59" s="2">
        <v>166</v>
      </c>
      <c r="C59" s="2">
        <v>62</v>
      </c>
    </row>
    <row r="60" spans="1:3" x14ac:dyDescent="0.3">
      <c r="A60" s="2">
        <v>59</v>
      </c>
      <c r="B60" s="2">
        <v>162</v>
      </c>
      <c r="C60" s="2">
        <v>65</v>
      </c>
    </row>
    <row r="61" spans="1:3" x14ac:dyDescent="0.3">
      <c r="A61" s="2">
        <v>60</v>
      </c>
      <c r="B61" s="2">
        <v>171</v>
      </c>
      <c r="C61" s="2">
        <v>60</v>
      </c>
    </row>
    <row r="62" spans="1:3" x14ac:dyDescent="0.3">
      <c r="A62" s="2">
        <v>61</v>
      </c>
      <c r="B62" s="2">
        <v>168</v>
      </c>
      <c r="C62" s="2">
        <v>62</v>
      </c>
    </row>
    <row r="63" spans="1:3" x14ac:dyDescent="0.3">
      <c r="A63" s="2">
        <v>62</v>
      </c>
      <c r="B63" s="2">
        <v>173</v>
      </c>
      <c r="C63" s="2">
        <v>70</v>
      </c>
    </row>
    <row r="64" spans="1:3" x14ac:dyDescent="0.3">
      <c r="A64" s="2">
        <v>63</v>
      </c>
      <c r="B64" s="2">
        <v>167</v>
      </c>
      <c r="C64" s="2">
        <v>61</v>
      </c>
    </row>
    <row r="65" spans="1:3" x14ac:dyDescent="0.3">
      <c r="A65" s="2">
        <v>64</v>
      </c>
      <c r="B65" s="2">
        <v>170</v>
      </c>
      <c r="C65" s="2">
        <v>74</v>
      </c>
    </row>
    <row r="66" spans="1:3" x14ac:dyDescent="0.3">
      <c r="A66" s="2">
        <v>65</v>
      </c>
      <c r="B66" s="2">
        <v>171</v>
      </c>
      <c r="C66" s="2">
        <v>60</v>
      </c>
    </row>
    <row r="67" spans="1:3" x14ac:dyDescent="0.3">
      <c r="A67" s="2">
        <v>66</v>
      </c>
      <c r="B67" s="2">
        <v>173</v>
      </c>
      <c r="C67" s="2">
        <v>66</v>
      </c>
    </row>
    <row r="68" spans="1:3" x14ac:dyDescent="0.3">
      <c r="A68" s="2">
        <v>67</v>
      </c>
      <c r="B68" s="2">
        <v>187</v>
      </c>
      <c r="C68" s="2">
        <v>84</v>
      </c>
    </row>
    <row r="69" spans="1:3" x14ac:dyDescent="0.3">
      <c r="A69" s="2">
        <v>68</v>
      </c>
      <c r="B69" s="2">
        <v>166</v>
      </c>
      <c r="C69" s="2">
        <v>58</v>
      </c>
    </row>
    <row r="70" spans="1:3" x14ac:dyDescent="0.3">
      <c r="A70" s="2">
        <v>69</v>
      </c>
      <c r="B70" s="2">
        <v>170</v>
      </c>
      <c r="C70" s="2">
        <v>75</v>
      </c>
    </row>
    <row r="71" spans="1:3" x14ac:dyDescent="0.3">
      <c r="A71" s="2">
        <v>70</v>
      </c>
      <c r="B71" s="2">
        <v>178</v>
      </c>
      <c r="C71" s="2">
        <v>69</v>
      </c>
    </row>
    <row r="72" spans="1:3" x14ac:dyDescent="0.3">
      <c r="A72" s="2">
        <v>71</v>
      </c>
      <c r="B72" s="2">
        <v>173</v>
      </c>
      <c r="C72" s="2">
        <v>64</v>
      </c>
    </row>
    <row r="73" spans="1:3" ht="12" customHeight="1" x14ac:dyDescent="0.3">
      <c r="A73" s="2">
        <v>72</v>
      </c>
      <c r="B73" s="2">
        <v>179</v>
      </c>
      <c r="C73" s="2">
        <v>71</v>
      </c>
    </row>
    <row r="74" spans="1:3" x14ac:dyDescent="0.3">
      <c r="A74" s="2">
        <v>73</v>
      </c>
      <c r="B74" s="2">
        <v>171</v>
      </c>
      <c r="C74" s="2">
        <v>64</v>
      </c>
    </row>
    <row r="75" spans="1:3" x14ac:dyDescent="0.3">
      <c r="A75" s="2">
        <v>74</v>
      </c>
      <c r="B75" s="2">
        <v>174</v>
      </c>
      <c r="C75" s="2">
        <v>74</v>
      </c>
    </row>
    <row r="76" spans="1:3" x14ac:dyDescent="0.3">
      <c r="A76" s="2">
        <v>75</v>
      </c>
      <c r="B76" s="2">
        <v>164</v>
      </c>
      <c r="C76" s="2">
        <v>70</v>
      </c>
    </row>
    <row r="77" spans="1:3" x14ac:dyDescent="0.3">
      <c r="A77" s="2">
        <v>76</v>
      </c>
      <c r="B77" s="2">
        <v>173</v>
      </c>
      <c r="C77" s="2">
        <v>69</v>
      </c>
    </row>
    <row r="78" spans="1:3" x14ac:dyDescent="0.3">
      <c r="A78" s="2">
        <v>77</v>
      </c>
      <c r="B78" s="2">
        <v>168</v>
      </c>
      <c r="C78" s="2">
        <v>64</v>
      </c>
    </row>
    <row r="79" spans="1:3" x14ac:dyDescent="0.3">
      <c r="A79" s="2">
        <v>78</v>
      </c>
      <c r="B79" s="2">
        <v>166</v>
      </c>
      <c r="C79" s="2">
        <v>55</v>
      </c>
    </row>
    <row r="80" spans="1:3" x14ac:dyDescent="0.3">
      <c r="A80" s="2">
        <v>79</v>
      </c>
      <c r="B80" s="2">
        <v>177</v>
      </c>
      <c r="C80" s="2">
        <v>67</v>
      </c>
    </row>
    <row r="81" spans="1:3" x14ac:dyDescent="0.3">
      <c r="A81" s="2">
        <v>80</v>
      </c>
      <c r="B81" s="2">
        <v>170</v>
      </c>
      <c r="C81" s="2">
        <v>61</v>
      </c>
    </row>
    <row r="82" spans="1:3" x14ac:dyDescent="0.3">
      <c r="A82" s="2">
        <v>81</v>
      </c>
      <c r="B82" s="2">
        <v>167</v>
      </c>
      <c r="C82" s="2">
        <v>63</v>
      </c>
    </row>
    <row r="83" spans="1:3" x14ac:dyDescent="0.3">
      <c r="A83" s="2">
        <v>82</v>
      </c>
      <c r="B83" s="2">
        <v>174</v>
      </c>
      <c r="C83" s="2">
        <v>75</v>
      </c>
    </row>
    <row r="84" spans="1:3" x14ac:dyDescent="0.3">
      <c r="A84" s="2">
        <v>83</v>
      </c>
      <c r="B84" s="2">
        <v>164</v>
      </c>
      <c r="C84" s="2">
        <v>59</v>
      </c>
    </row>
    <row r="85" spans="1:3" x14ac:dyDescent="0.3">
      <c r="A85" s="2">
        <v>84</v>
      </c>
      <c r="B85" s="2">
        <v>164</v>
      </c>
      <c r="C85" s="2">
        <v>62</v>
      </c>
    </row>
    <row r="86" spans="1:3" x14ac:dyDescent="0.3">
      <c r="A86" s="2">
        <v>85</v>
      </c>
      <c r="B86" s="2">
        <v>178</v>
      </c>
      <c r="C86" s="2">
        <v>60</v>
      </c>
    </row>
    <row r="87" spans="1:3" x14ac:dyDescent="0.3">
      <c r="A87" s="2">
        <v>86</v>
      </c>
      <c r="B87" s="2">
        <v>173</v>
      </c>
      <c r="C87" s="2">
        <v>66</v>
      </c>
    </row>
    <row r="88" spans="1:3" x14ac:dyDescent="0.3">
      <c r="A88" s="2">
        <v>87</v>
      </c>
      <c r="B88" s="2">
        <v>179</v>
      </c>
      <c r="C88" s="2">
        <v>63</v>
      </c>
    </row>
    <row r="89" spans="1:3" x14ac:dyDescent="0.3">
      <c r="A89" s="2">
        <v>88</v>
      </c>
      <c r="B89" s="2">
        <v>165</v>
      </c>
      <c r="C89" s="2">
        <v>62</v>
      </c>
    </row>
    <row r="90" spans="1:3" x14ac:dyDescent="0.3">
      <c r="A90" s="2">
        <v>89</v>
      </c>
      <c r="B90" s="2">
        <v>171</v>
      </c>
      <c r="C90" s="2">
        <v>66</v>
      </c>
    </row>
    <row r="91" spans="1:3" x14ac:dyDescent="0.3">
      <c r="A91" s="2">
        <v>90</v>
      </c>
      <c r="B91" s="2">
        <v>171</v>
      </c>
      <c r="C91" s="2">
        <v>63</v>
      </c>
    </row>
    <row r="92" spans="1:3" x14ac:dyDescent="0.3">
      <c r="A92" s="2">
        <v>91</v>
      </c>
      <c r="B92" s="2">
        <v>170</v>
      </c>
      <c r="C92" s="2">
        <v>70</v>
      </c>
    </row>
    <row r="93" spans="1:3" x14ac:dyDescent="0.3">
      <c r="A93" s="2">
        <v>92</v>
      </c>
      <c r="B93" s="2">
        <v>170</v>
      </c>
      <c r="C93" s="2">
        <v>67</v>
      </c>
    </row>
    <row r="94" spans="1:3" x14ac:dyDescent="0.3">
      <c r="A94" s="2">
        <v>93</v>
      </c>
      <c r="B94" s="2">
        <v>165</v>
      </c>
      <c r="C94" s="2">
        <v>59</v>
      </c>
    </row>
    <row r="95" spans="1:3" x14ac:dyDescent="0.3">
      <c r="A95" s="2">
        <v>94</v>
      </c>
      <c r="B95" s="2">
        <v>156</v>
      </c>
      <c r="C95" s="2">
        <v>53</v>
      </c>
    </row>
    <row r="96" spans="1:3" x14ac:dyDescent="0.3">
      <c r="A96" s="2">
        <v>95</v>
      </c>
      <c r="B96" s="2">
        <v>164</v>
      </c>
      <c r="C96" s="2">
        <v>60</v>
      </c>
    </row>
    <row r="97" spans="1:3" x14ac:dyDescent="0.3">
      <c r="A97" s="2">
        <v>96</v>
      </c>
      <c r="B97" s="2">
        <v>158</v>
      </c>
      <c r="C97" s="2">
        <v>57</v>
      </c>
    </row>
    <row r="98" spans="1:3" x14ac:dyDescent="0.3">
      <c r="A98" s="2">
        <v>97</v>
      </c>
      <c r="B98" s="2">
        <v>165</v>
      </c>
      <c r="C98" s="2">
        <v>68</v>
      </c>
    </row>
    <row r="99" spans="1:3" x14ac:dyDescent="0.3">
      <c r="A99" s="2">
        <v>98</v>
      </c>
      <c r="B99" s="2">
        <v>172</v>
      </c>
      <c r="C99" s="2">
        <v>67</v>
      </c>
    </row>
    <row r="100" spans="1:3" x14ac:dyDescent="0.3">
      <c r="A100" s="2">
        <v>99</v>
      </c>
      <c r="B100" s="2">
        <v>178</v>
      </c>
      <c r="C100" s="2">
        <v>75</v>
      </c>
    </row>
    <row r="101" spans="1:3" x14ac:dyDescent="0.3">
      <c r="A101" s="2">
        <v>100</v>
      </c>
      <c r="B101" s="2">
        <v>159</v>
      </c>
      <c r="C101" s="2">
        <v>61</v>
      </c>
    </row>
    <row r="102" spans="1:3" x14ac:dyDescent="0.3">
      <c r="A102" s="2">
        <v>101</v>
      </c>
      <c r="B102" s="2">
        <v>168</v>
      </c>
      <c r="C102" s="2">
        <v>50</v>
      </c>
    </row>
    <row r="103" spans="1:3" x14ac:dyDescent="0.3">
      <c r="A103" s="2">
        <v>102</v>
      </c>
      <c r="B103" s="2">
        <v>157</v>
      </c>
      <c r="C103" s="2">
        <v>59</v>
      </c>
    </row>
    <row r="104" spans="1:3" x14ac:dyDescent="0.3">
      <c r="A104" s="2">
        <v>103</v>
      </c>
      <c r="B104" s="2">
        <v>164</v>
      </c>
      <c r="C104" s="2">
        <v>66</v>
      </c>
    </row>
    <row r="105" spans="1:3" x14ac:dyDescent="0.3">
      <c r="A105" s="2">
        <v>104</v>
      </c>
      <c r="B105" s="2">
        <v>170</v>
      </c>
      <c r="C105" s="2">
        <v>63</v>
      </c>
    </row>
    <row r="106" spans="1:3" x14ac:dyDescent="0.3">
      <c r="A106" s="2">
        <v>105</v>
      </c>
      <c r="B106" s="2">
        <v>171</v>
      </c>
      <c r="C106" s="2">
        <v>60</v>
      </c>
    </row>
    <row r="107" spans="1:3" x14ac:dyDescent="0.3">
      <c r="A107" s="2">
        <v>106</v>
      </c>
      <c r="B107" s="2">
        <v>160</v>
      </c>
      <c r="C107" s="2">
        <v>62</v>
      </c>
    </row>
    <row r="108" spans="1:3" x14ac:dyDescent="0.3">
      <c r="A108" s="2">
        <v>107</v>
      </c>
      <c r="B108" s="2">
        <v>162</v>
      </c>
      <c r="C108" s="2">
        <v>55</v>
      </c>
    </row>
    <row r="109" spans="1:3" x14ac:dyDescent="0.3">
      <c r="A109" s="2">
        <v>108</v>
      </c>
      <c r="B109" s="2">
        <v>163</v>
      </c>
      <c r="C109" s="2">
        <v>65</v>
      </c>
    </row>
    <row r="110" spans="1:3" x14ac:dyDescent="0.3">
      <c r="A110" s="2">
        <v>109</v>
      </c>
      <c r="B110" s="2">
        <v>171</v>
      </c>
      <c r="C110" s="2">
        <v>72</v>
      </c>
    </row>
    <row r="111" spans="1:3" x14ac:dyDescent="0.3">
      <c r="A111" s="2">
        <v>110</v>
      </c>
      <c r="B111" s="2">
        <v>161</v>
      </c>
      <c r="C111" s="2">
        <v>55</v>
      </c>
    </row>
    <row r="112" spans="1:3" x14ac:dyDescent="0.3">
      <c r="A112" s="2">
        <v>111</v>
      </c>
      <c r="B112" s="2">
        <v>173</v>
      </c>
      <c r="C112" s="2">
        <v>69</v>
      </c>
    </row>
    <row r="113" spans="1:3" x14ac:dyDescent="0.3">
      <c r="A113" s="2">
        <v>112</v>
      </c>
      <c r="B113" s="2">
        <v>175</v>
      </c>
      <c r="C113" s="2">
        <v>80</v>
      </c>
    </row>
    <row r="114" spans="1:3" x14ac:dyDescent="0.3">
      <c r="A114" s="2">
        <v>113</v>
      </c>
      <c r="B114" s="2">
        <v>164</v>
      </c>
      <c r="C114" s="2">
        <v>65</v>
      </c>
    </row>
    <row r="115" spans="1:3" x14ac:dyDescent="0.3">
      <c r="A115" s="2">
        <v>114</v>
      </c>
      <c r="B115" s="2">
        <v>174</v>
      </c>
      <c r="C115" s="2">
        <v>67</v>
      </c>
    </row>
    <row r="116" spans="1:3" x14ac:dyDescent="0.3">
      <c r="A116" s="2">
        <v>115</v>
      </c>
      <c r="B116" s="2">
        <v>167</v>
      </c>
      <c r="C116" s="2">
        <v>59</v>
      </c>
    </row>
    <row r="117" spans="1:3" x14ac:dyDescent="0.3">
      <c r="A117" s="2">
        <v>116</v>
      </c>
      <c r="B117" s="2">
        <v>176</v>
      </c>
      <c r="C117" s="2">
        <v>81</v>
      </c>
    </row>
    <row r="118" spans="1:3" x14ac:dyDescent="0.3">
      <c r="A118" s="2">
        <v>117</v>
      </c>
      <c r="B118" s="2">
        <v>163</v>
      </c>
      <c r="C118" s="2">
        <v>68</v>
      </c>
    </row>
    <row r="119" spans="1:3" x14ac:dyDescent="0.3">
      <c r="A119" s="2">
        <v>118</v>
      </c>
      <c r="B119" s="2">
        <v>156</v>
      </c>
      <c r="C119" s="2">
        <v>59</v>
      </c>
    </row>
    <row r="120" spans="1:3" x14ac:dyDescent="0.3">
      <c r="A120" s="2">
        <v>119</v>
      </c>
      <c r="B120" s="2">
        <v>179</v>
      </c>
      <c r="C120" s="2">
        <v>71</v>
      </c>
    </row>
    <row r="121" spans="1:3" x14ac:dyDescent="0.3">
      <c r="A121" s="2">
        <v>120</v>
      </c>
      <c r="B121" s="2">
        <v>179</v>
      </c>
      <c r="C121" s="2">
        <v>69</v>
      </c>
    </row>
    <row r="122" spans="1:3" x14ac:dyDescent="0.3">
      <c r="A122" s="2">
        <v>121</v>
      </c>
      <c r="B122" s="2">
        <v>176</v>
      </c>
      <c r="C122" s="2">
        <v>77</v>
      </c>
    </row>
    <row r="123" spans="1:3" x14ac:dyDescent="0.3">
      <c r="A123" s="2">
        <v>122</v>
      </c>
      <c r="B123" s="2">
        <v>163</v>
      </c>
      <c r="C123" s="2">
        <v>65</v>
      </c>
    </row>
    <row r="124" spans="1:3" x14ac:dyDescent="0.3">
      <c r="A124" s="2">
        <v>123</v>
      </c>
      <c r="B124" s="2">
        <v>175</v>
      </c>
      <c r="C124" s="2">
        <v>78</v>
      </c>
    </row>
    <row r="125" spans="1:3" x14ac:dyDescent="0.3">
      <c r="A125" s="2">
        <v>124</v>
      </c>
      <c r="B125" s="2">
        <v>156</v>
      </c>
      <c r="C125" s="2">
        <v>52</v>
      </c>
    </row>
    <row r="126" spans="1:3" x14ac:dyDescent="0.3">
      <c r="A126" s="2">
        <v>125</v>
      </c>
      <c r="B126" s="2">
        <v>177</v>
      </c>
      <c r="C126" s="2">
        <v>72</v>
      </c>
    </row>
    <row r="127" spans="1:3" x14ac:dyDescent="0.3">
      <c r="A127" s="2">
        <v>126</v>
      </c>
      <c r="B127" s="2">
        <v>166</v>
      </c>
      <c r="C127" s="2">
        <v>67</v>
      </c>
    </row>
    <row r="128" spans="1:3" x14ac:dyDescent="0.3">
      <c r="A128" s="2">
        <v>127</v>
      </c>
      <c r="B128" s="2">
        <v>173</v>
      </c>
      <c r="C128" s="2">
        <v>77</v>
      </c>
    </row>
    <row r="129" spans="1:3" x14ac:dyDescent="0.3">
      <c r="A129" s="2">
        <v>128</v>
      </c>
      <c r="B129" s="2">
        <v>169</v>
      </c>
      <c r="C129" s="2">
        <v>61</v>
      </c>
    </row>
    <row r="130" spans="1:3" x14ac:dyDescent="0.3">
      <c r="A130" s="2">
        <v>129</v>
      </c>
      <c r="B130" s="2">
        <v>172</v>
      </c>
      <c r="C130" s="2">
        <v>64</v>
      </c>
    </row>
    <row r="131" spans="1:3" x14ac:dyDescent="0.3">
      <c r="A131" s="2">
        <v>130</v>
      </c>
      <c r="B131" s="2">
        <v>165</v>
      </c>
      <c r="C131" s="2">
        <v>56</v>
      </c>
    </row>
    <row r="132" spans="1:3" x14ac:dyDescent="0.3">
      <c r="A132" s="2">
        <v>131</v>
      </c>
      <c r="B132" s="2">
        <v>164</v>
      </c>
      <c r="C132" s="2">
        <v>62</v>
      </c>
    </row>
    <row r="133" spans="1:3" x14ac:dyDescent="0.3">
      <c r="A133" s="2">
        <v>132</v>
      </c>
      <c r="B133" s="2">
        <v>166</v>
      </c>
      <c r="C133" s="2">
        <v>63</v>
      </c>
    </row>
    <row r="134" spans="1:3" x14ac:dyDescent="0.3">
      <c r="A134" s="2">
        <v>133</v>
      </c>
      <c r="B134" s="2">
        <v>168</v>
      </c>
      <c r="C134" s="2">
        <v>63</v>
      </c>
    </row>
    <row r="135" spans="1:3" x14ac:dyDescent="0.3">
      <c r="A135" s="2">
        <v>134</v>
      </c>
      <c r="B135" s="2">
        <v>167</v>
      </c>
      <c r="C135" s="2">
        <v>63</v>
      </c>
    </row>
    <row r="136" spans="1:3" x14ac:dyDescent="0.3">
      <c r="A136" s="2">
        <v>135</v>
      </c>
      <c r="B136" s="2">
        <v>166</v>
      </c>
      <c r="C136" s="2">
        <v>67</v>
      </c>
    </row>
    <row r="137" spans="1:3" x14ac:dyDescent="0.3">
      <c r="A137" s="2">
        <v>136</v>
      </c>
      <c r="B137" s="2">
        <v>169</v>
      </c>
      <c r="C137" s="2">
        <v>71</v>
      </c>
    </row>
    <row r="138" spans="1:3" x14ac:dyDescent="0.3">
      <c r="A138" s="2">
        <v>137</v>
      </c>
      <c r="B138" s="2">
        <v>169</v>
      </c>
      <c r="C138" s="2">
        <v>66</v>
      </c>
    </row>
    <row r="139" spans="1:3" x14ac:dyDescent="0.3">
      <c r="A139" s="2">
        <v>138</v>
      </c>
      <c r="B139" s="2">
        <v>169</v>
      </c>
      <c r="C139" s="2">
        <v>62</v>
      </c>
    </row>
    <row r="140" spans="1:3" x14ac:dyDescent="0.3">
      <c r="A140" s="2">
        <v>139</v>
      </c>
      <c r="B140" s="2">
        <v>164</v>
      </c>
      <c r="C140" s="2">
        <v>65</v>
      </c>
    </row>
    <row r="141" spans="1:3" x14ac:dyDescent="0.3">
      <c r="A141" s="2">
        <v>140</v>
      </c>
      <c r="B141" s="2">
        <v>179</v>
      </c>
      <c r="C141" s="2">
        <v>80</v>
      </c>
    </row>
    <row r="142" spans="1:3" x14ac:dyDescent="0.3">
      <c r="A142" s="2">
        <v>141</v>
      </c>
      <c r="B142" s="2">
        <v>156</v>
      </c>
      <c r="C142" s="2">
        <v>59</v>
      </c>
    </row>
    <row r="143" spans="1:3" x14ac:dyDescent="0.3">
      <c r="A143" s="2">
        <v>142</v>
      </c>
      <c r="B143" s="2">
        <v>168</v>
      </c>
      <c r="C143" s="2">
        <v>64</v>
      </c>
    </row>
    <row r="144" spans="1:3" x14ac:dyDescent="0.3">
      <c r="A144" s="2">
        <v>143</v>
      </c>
      <c r="B144" s="2">
        <v>171</v>
      </c>
      <c r="C144" s="2">
        <v>66</v>
      </c>
    </row>
    <row r="145" spans="1:3" x14ac:dyDescent="0.3">
      <c r="A145" s="2">
        <v>144</v>
      </c>
      <c r="B145" s="2">
        <v>166</v>
      </c>
      <c r="C145" s="2">
        <v>78</v>
      </c>
    </row>
    <row r="146" spans="1:3" x14ac:dyDescent="0.3">
      <c r="A146" s="2">
        <v>145</v>
      </c>
      <c r="B146" s="2">
        <v>171</v>
      </c>
      <c r="C146" s="2">
        <v>70</v>
      </c>
    </row>
    <row r="147" spans="1:3" x14ac:dyDescent="0.3">
      <c r="A147" s="2">
        <v>146</v>
      </c>
      <c r="B147" s="2">
        <v>172</v>
      </c>
      <c r="C147" s="2">
        <v>67</v>
      </c>
    </row>
    <row r="148" spans="1:3" x14ac:dyDescent="0.3">
      <c r="A148" s="2">
        <v>147</v>
      </c>
      <c r="B148" s="2">
        <v>171</v>
      </c>
      <c r="C148" s="2">
        <v>67</v>
      </c>
    </row>
    <row r="149" spans="1:3" x14ac:dyDescent="0.3">
      <c r="A149" s="2">
        <v>148</v>
      </c>
      <c r="B149" s="2">
        <v>169</v>
      </c>
      <c r="C149" s="2">
        <v>62</v>
      </c>
    </row>
    <row r="150" spans="1:3" x14ac:dyDescent="0.3">
      <c r="A150" s="2">
        <v>149</v>
      </c>
      <c r="B150" s="2">
        <v>174</v>
      </c>
      <c r="C150" s="2">
        <v>74</v>
      </c>
    </row>
    <row r="151" spans="1:3" x14ac:dyDescent="0.3">
      <c r="A151" s="2">
        <v>150</v>
      </c>
      <c r="B151" s="2">
        <v>165</v>
      </c>
      <c r="C151" s="2">
        <v>60</v>
      </c>
    </row>
    <row r="152" spans="1:3" x14ac:dyDescent="0.3">
      <c r="A152" s="2">
        <v>151</v>
      </c>
      <c r="B152" s="2">
        <v>165</v>
      </c>
      <c r="C152" s="2">
        <v>60</v>
      </c>
    </row>
    <row r="153" spans="1:3" x14ac:dyDescent="0.3">
      <c r="A153" s="2">
        <v>152</v>
      </c>
      <c r="B153" s="2">
        <v>163</v>
      </c>
      <c r="C153" s="2">
        <v>63</v>
      </c>
    </row>
    <row r="154" spans="1:3" x14ac:dyDescent="0.3">
      <c r="A154" s="2">
        <v>153</v>
      </c>
      <c r="B154" s="2">
        <v>171</v>
      </c>
      <c r="C154" s="2">
        <v>57</v>
      </c>
    </row>
    <row r="155" spans="1:3" x14ac:dyDescent="0.3">
      <c r="A155" s="2">
        <v>154</v>
      </c>
      <c r="B155" s="2">
        <v>172</v>
      </c>
      <c r="C155" s="2">
        <v>67</v>
      </c>
    </row>
    <row r="156" spans="1:3" x14ac:dyDescent="0.3">
      <c r="A156" s="2">
        <v>155</v>
      </c>
      <c r="B156" s="2">
        <v>175</v>
      </c>
      <c r="C156" s="2">
        <v>67</v>
      </c>
    </row>
    <row r="157" spans="1:3" x14ac:dyDescent="0.3">
      <c r="A157" s="2">
        <v>156</v>
      </c>
      <c r="B157" s="2">
        <v>172</v>
      </c>
      <c r="C157" s="2">
        <v>70</v>
      </c>
    </row>
    <row r="158" spans="1:3" x14ac:dyDescent="0.3">
      <c r="A158" s="2">
        <v>157</v>
      </c>
      <c r="B158" s="2">
        <v>162</v>
      </c>
      <c r="C158" s="2">
        <v>54</v>
      </c>
    </row>
    <row r="159" spans="1:3" x14ac:dyDescent="0.3">
      <c r="A159" s="2">
        <v>158</v>
      </c>
      <c r="B159" s="2">
        <v>163</v>
      </c>
      <c r="C159" s="2">
        <v>60</v>
      </c>
    </row>
    <row r="160" spans="1:3" x14ac:dyDescent="0.3">
      <c r="A160" s="2">
        <v>159</v>
      </c>
      <c r="B160" s="2">
        <v>173</v>
      </c>
      <c r="C160" s="2">
        <v>66</v>
      </c>
    </row>
    <row r="161" spans="1:3" x14ac:dyDescent="0.3">
      <c r="A161" s="2">
        <v>160</v>
      </c>
      <c r="B161" s="2">
        <v>174</v>
      </c>
      <c r="C161" s="2">
        <v>79</v>
      </c>
    </row>
    <row r="162" spans="1:3" x14ac:dyDescent="0.3">
      <c r="A162" s="2">
        <v>161</v>
      </c>
      <c r="B162" s="2">
        <v>164</v>
      </c>
      <c r="C162" s="2">
        <v>61</v>
      </c>
    </row>
    <row r="163" spans="1:3" x14ac:dyDescent="0.3">
      <c r="A163" s="2">
        <v>162</v>
      </c>
      <c r="B163" s="2">
        <v>176</v>
      </c>
      <c r="C163" s="2">
        <v>71</v>
      </c>
    </row>
    <row r="164" spans="1:3" x14ac:dyDescent="0.3">
      <c r="A164" s="2">
        <v>163</v>
      </c>
      <c r="B164" s="2">
        <v>171</v>
      </c>
      <c r="C164" s="2">
        <v>66</v>
      </c>
    </row>
    <row r="165" spans="1:3" x14ac:dyDescent="0.3">
      <c r="A165" s="2">
        <v>164</v>
      </c>
      <c r="B165" s="2">
        <v>173</v>
      </c>
      <c r="C165" s="2">
        <v>69</v>
      </c>
    </row>
    <row r="166" spans="1:3" x14ac:dyDescent="0.3">
      <c r="A166" s="2">
        <v>165</v>
      </c>
      <c r="B166" s="2">
        <v>169</v>
      </c>
      <c r="C166" s="2">
        <v>68</v>
      </c>
    </row>
    <row r="167" spans="1:3" x14ac:dyDescent="0.3">
      <c r="A167" s="2">
        <v>166</v>
      </c>
      <c r="B167" s="2">
        <v>166</v>
      </c>
      <c r="C167" s="2">
        <v>61</v>
      </c>
    </row>
    <row r="168" spans="1:3" x14ac:dyDescent="0.3">
      <c r="A168" s="2">
        <v>167</v>
      </c>
      <c r="B168" s="2">
        <v>173</v>
      </c>
      <c r="C168" s="2">
        <v>69</v>
      </c>
    </row>
    <row r="169" spans="1:3" x14ac:dyDescent="0.3">
      <c r="A169" s="2">
        <v>168</v>
      </c>
      <c r="B169" s="2">
        <v>172</v>
      </c>
      <c r="C169" s="2">
        <v>74</v>
      </c>
    </row>
    <row r="170" spans="1:3" x14ac:dyDescent="0.3">
      <c r="A170" s="2">
        <v>169</v>
      </c>
      <c r="B170" s="2">
        <v>173</v>
      </c>
      <c r="C170" s="2">
        <v>69</v>
      </c>
    </row>
    <row r="171" spans="1:3" x14ac:dyDescent="0.3">
      <c r="A171" s="2">
        <v>170</v>
      </c>
      <c r="B171" s="2">
        <v>161</v>
      </c>
      <c r="C171" s="2">
        <v>55</v>
      </c>
    </row>
    <row r="172" spans="1:3" x14ac:dyDescent="0.3">
      <c r="A172" s="2">
        <v>171</v>
      </c>
      <c r="B172" s="2">
        <v>169</v>
      </c>
      <c r="C172" s="2">
        <v>61</v>
      </c>
    </row>
    <row r="173" spans="1:3" x14ac:dyDescent="0.3">
      <c r="A173" s="2">
        <v>172</v>
      </c>
      <c r="B173" s="2">
        <v>172</v>
      </c>
      <c r="C173" s="2">
        <v>63</v>
      </c>
    </row>
    <row r="174" spans="1:3" x14ac:dyDescent="0.3">
      <c r="A174" s="2">
        <v>173</v>
      </c>
      <c r="B174" s="2">
        <v>168</v>
      </c>
      <c r="C174" s="2">
        <v>70</v>
      </c>
    </row>
    <row r="175" spans="1:3" x14ac:dyDescent="0.3">
      <c r="A175" s="2">
        <v>174</v>
      </c>
      <c r="B175" s="2">
        <v>171</v>
      </c>
      <c r="C175" s="2">
        <v>66</v>
      </c>
    </row>
    <row r="176" spans="1:3" x14ac:dyDescent="0.3">
      <c r="A176" s="2">
        <v>175</v>
      </c>
      <c r="B176" s="2">
        <v>173</v>
      </c>
      <c r="C176" s="2">
        <v>65</v>
      </c>
    </row>
    <row r="177" spans="1:3" x14ac:dyDescent="0.3">
      <c r="A177" s="2">
        <v>176</v>
      </c>
      <c r="B177" s="2">
        <v>170</v>
      </c>
      <c r="C177" s="2">
        <v>61</v>
      </c>
    </row>
    <row r="178" spans="1:3" x14ac:dyDescent="0.3">
      <c r="A178" s="2">
        <v>177</v>
      </c>
      <c r="B178" s="2">
        <v>163</v>
      </c>
      <c r="C178" s="2">
        <v>65</v>
      </c>
    </row>
    <row r="179" spans="1:3" x14ac:dyDescent="0.3">
      <c r="A179" s="2">
        <v>178</v>
      </c>
      <c r="B179" s="2">
        <v>167</v>
      </c>
      <c r="C179" s="2">
        <v>55</v>
      </c>
    </row>
    <row r="180" spans="1:3" x14ac:dyDescent="0.3">
      <c r="A180" s="2">
        <v>179</v>
      </c>
      <c r="B180" s="2">
        <v>171</v>
      </c>
      <c r="C180" s="2">
        <v>70</v>
      </c>
    </row>
    <row r="181" spans="1:3" x14ac:dyDescent="0.3">
      <c r="A181" s="2">
        <v>180</v>
      </c>
      <c r="B181" s="2">
        <v>169</v>
      </c>
      <c r="C181" s="2">
        <v>70</v>
      </c>
    </row>
    <row r="182" spans="1:3" x14ac:dyDescent="0.3">
      <c r="A182" s="2">
        <v>181</v>
      </c>
      <c r="B182" s="2">
        <v>170</v>
      </c>
      <c r="C182" s="2">
        <v>63</v>
      </c>
    </row>
    <row r="183" spans="1:3" x14ac:dyDescent="0.3">
      <c r="A183" s="2">
        <v>182</v>
      </c>
      <c r="B183" s="2">
        <v>166</v>
      </c>
      <c r="C183" s="2">
        <v>63</v>
      </c>
    </row>
    <row r="184" spans="1:3" x14ac:dyDescent="0.3">
      <c r="A184" s="2">
        <v>183</v>
      </c>
      <c r="B184" s="2">
        <v>172</v>
      </c>
      <c r="C184" s="2">
        <v>65</v>
      </c>
    </row>
    <row r="185" spans="1:3" x14ac:dyDescent="0.3">
      <c r="A185" s="2">
        <v>184</v>
      </c>
      <c r="B185" s="2">
        <v>171</v>
      </c>
      <c r="C185" s="2">
        <v>64</v>
      </c>
    </row>
    <row r="186" spans="1:3" x14ac:dyDescent="0.3">
      <c r="A186" s="2">
        <v>185</v>
      </c>
      <c r="B186" s="2">
        <v>166</v>
      </c>
      <c r="C186" s="2">
        <v>78</v>
      </c>
    </row>
    <row r="187" spans="1:3" x14ac:dyDescent="0.3">
      <c r="A187" s="2">
        <v>186</v>
      </c>
      <c r="B187" s="2">
        <v>177</v>
      </c>
      <c r="C187" s="2">
        <v>72</v>
      </c>
    </row>
    <row r="188" spans="1:3" x14ac:dyDescent="0.3">
      <c r="A188" s="2">
        <v>187</v>
      </c>
      <c r="B188" s="2">
        <v>171</v>
      </c>
      <c r="C188" s="2">
        <v>66</v>
      </c>
    </row>
    <row r="189" spans="1:3" x14ac:dyDescent="0.3">
      <c r="A189" s="2">
        <v>188</v>
      </c>
      <c r="B189" s="2">
        <v>164</v>
      </c>
      <c r="C189" s="2">
        <v>62</v>
      </c>
    </row>
    <row r="190" spans="1:3" x14ac:dyDescent="0.3">
      <c r="A190" s="2">
        <v>189</v>
      </c>
      <c r="B190" s="2">
        <v>169</v>
      </c>
      <c r="C190" s="2">
        <v>66</v>
      </c>
    </row>
    <row r="191" spans="1:3" x14ac:dyDescent="0.3">
      <c r="A191" s="2">
        <v>190</v>
      </c>
      <c r="B191" s="2">
        <v>167</v>
      </c>
      <c r="C191" s="2">
        <v>67</v>
      </c>
    </row>
    <row r="192" spans="1:3" x14ac:dyDescent="0.3">
      <c r="A192" s="2">
        <v>191</v>
      </c>
      <c r="B192" s="2">
        <v>168</v>
      </c>
      <c r="C192" s="2">
        <v>67</v>
      </c>
    </row>
    <row r="193" spans="1:3" x14ac:dyDescent="0.3">
      <c r="A193" s="2">
        <v>192</v>
      </c>
      <c r="B193" s="2">
        <v>169</v>
      </c>
      <c r="C193" s="2">
        <v>66</v>
      </c>
    </row>
    <row r="194" spans="1:3" x14ac:dyDescent="0.3">
      <c r="A194" s="2">
        <v>193</v>
      </c>
      <c r="B194" s="2">
        <v>165</v>
      </c>
      <c r="C194" s="2">
        <v>63</v>
      </c>
    </row>
    <row r="195" spans="1:3" x14ac:dyDescent="0.3">
      <c r="A195" s="2">
        <v>194</v>
      </c>
      <c r="B195" s="2">
        <v>174</v>
      </c>
      <c r="C195" s="2">
        <v>74</v>
      </c>
    </row>
    <row r="196" spans="1:3" x14ac:dyDescent="0.3">
      <c r="A196" s="2">
        <v>195</v>
      </c>
      <c r="B196" s="2">
        <v>171</v>
      </c>
      <c r="C196" s="2">
        <v>69</v>
      </c>
    </row>
    <row r="197" spans="1:3" x14ac:dyDescent="0.3">
      <c r="A197" s="2">
        <v>196</v>
      </c>
      <c r="B197" s="2">
        <v>168</v>
      </c>
      <c r="C197" s="2">
        <v>70</v>
      </c>
    </row>
    <row r="198" spans="1:3" x14ac:dyDescent="0.3">
      <c r="A198" s="2">
        <v>197</v>
      </c>
      <c r="B198" s="2">
        <v>171</v>
      </c>
      <c r="C198" s="2">
        <v>65</v>
      </c>
    </row>
    <row r="199" spans="1:3" x14ac:dyDescent="0.3">
      <c r="A199" s="2">
        <v>198</v>
      </c>
      <c r="B199" s="2">
        <v>171</v>
      </c>
      <c r="C199" s="2">
        <v>69</v>
      </c>
    </row>
    <row r="200" spans="1:3" x14ac:dyDescent="0.3">
      <c r="A200" s="2">
        <v>199</v>
      </c>
      <c r="B200" s="2">
        <v>172</v>
      </c>
      <c r="C200" s="2">
        <v>69</v>
      </c>
    </row>
    <row r="201" spans="1:3" x14ac:dyDescent="0.3">
      <c r="A201" s="2">
        <v>200</v>
      </c>
      <c r="B201" s="2">
        <v>167</v>
      </c>
      <c r="C201" s="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58CB-D41D-4399-AE81-85E097B73DDA}">
  <dimension ref="A1:G201"/>
  <sheetViews>
    <sheetView workbookViewId="0">
      <selection activeCell="A62" sqref="A62"/>
    </sheetView>
  </sheetViews>
  <sheetFormatPr defaultRowHeight="14.4" x14ac:dyDescent="0.3"/>
  <sheetData>
    <row r="1" spans="1:7" x14ac:dyDescent="0.3">
      <c r="A1" t="s">
        <v>3</v>
      </c>
      <c r="B1" t="s">
        <v>1</v>
      </c>
      <c r="D1" t="s">
        <v>4</v>
      </c>
      <c r="E1" t="s">
        <v>2</v>
      </c>
    </row>
    <row r="2" spans="1:7" x14ac:dyDescent="0.3">
      <c r="A2" s="2">
        <v>94</v>
      </c>
      <c r="B2" s="2">
        <v>156</v>
      </c>
      <c r="D2" s="2">
        <v>20</v>
      </c>
      <c r="E2" s="2">
        <v>48</v>
      </c>
      <c r="G2" s="8">
        <v>200</v>
      </c>
    </row>
    <row r="3" spans="1:7" x14ac:dyDescent="0.3">
      <c r="A3" s="2">
        <v>118</v>
      </c>
      <c r="B3" s="2">
        <v>156</v>
      </c>
      <c r="D3" s="2">
        <v>46</v>
      </c>
      <c r="E3" s="2">
        <v>50</v>
      </c>
    </row>
    <row r="4" spans="1:7" x14ac:dyDescent="0.3">
      <c r="A4" s="2">
        <v>124</v>
      </c>
      <c r="B4" s="2">
        <v>156</v>
      </c>
      <c r="D4" s="2">
        <v>101</v>
      </c>
      <c r="E4" s="2">
        <v>50</v>
      </c>
    </row>
    <row r="5" spans="1:7" x14ac:dyDescent="0.3">
      <c r="A5" s="2">
        <v>141</v>
      </c>
      <c r="B5" s="2">
        <v>156</v>
      </c>
      <c r="D5" s="2">
        <v>44</v>
      </c>
      <c r="E5" s="2">
        <v>51</v>
      </c>
    </row>
    <row r="6" spans="1:7" x14ac:dyDescent="0.3">
      <c r="A6" s="2">
        <v>102</v>
      </c>
      <c r="B6" s="2">
        <v>157</v>
      </c>
      <c r="D6" s="2">
        <v>124</v>
      </c>
      <c r="E6" s="2">
        <v>52</v>
      </c>
    </row>
    <row r="7" spans="1:7" x14ac:dyDescent="0.3">
      <c r="A7" s="2">
        <v>96</v>
      </c>
      <c r="B7" s="2">
        <v>158</v>
      </c>
      <c r="D7" s="2">
        <v>94</v>
      </c>
      <c r="E7" s="2">
        <v>53</v>
      </c>
    </row>
    <row r="8" spans="1:7" x14ac:dyDescent="0.3">
      <c r="A8" s="2">
        <v>7</v>
      </c>
      <c r="B8" s="2">
        <v>159</v>
      </c>
      <c r="D8" s="2">
        <v>157</v>
      </c>
      <c r="E8" s="2">
        <v>54</v>
      </c>
    </row>
    <row r="9" spans="1:7" x14ac:dyDescent="0.3">
      <c r="A9" s="2">
        <v>20</v>
      </c>
      <c r="B9" s="2">
        <v>159</v>
      </c>
      <c r="D9" s="2">
        <v>25</v>
      </c>
      <c r="E9" s="2">
        <v>55</v>
      </c>
    </row>
    <row r="10" spans="1:7" x14ac:dyDescent="0.3">
      <c r="A10" s="2">
        <v>25</v>
      </c>
      <c r="B10" s="2">
        <v>159</v>
      </c>
      <c r="D10" s="2">
        <v>26</v>
      </c>
      <c r="E10" s="2">
        <v>55</v>
      </c>
    </row>
    <row r="11" spans="1:7" x14ac:dyDescent="0.3">
      <c r="A11" s="2">
        <v>100</v>
      </c>
      <c r="B11" s="2">
        <v>159</v>
      </c>
      <c r="D11" s="2">
        <v>78</v>
      </c>
      <c r="E11" s="2">
        <v>55</v>
      </c>
    </row>
    <row r="12" spans="1:7" x14ac:dyDescent="0.3">
      <c r="A12" s="2">
        <v>4</v>
      </c>
      <c r="B12" s="2">
        <v>160</v>
      </c>
      <c r="D12" s="2">
        <v>107</v>
      </c>
      <c r="E12" s="2">
        <v>55</v>
      </c>
    </row>
    <row r="13" spans="1:7" x14ac:dyDescent="0.3">
      <c r="A13" s="2">
        <v>106</v>
      </c>
      <c r="B13" s="2">
        <v>160</v>
      </c>
      <c r="D13" s="2">
        <v>110</v>
      </c>
      <c r="E13" s="2">
        <v>55</v>
      </c>
    </row>
    <row r="14" spans="1:7" x14ac:dyDescent="0.3">
      <c r="A14" s="2">
        <v>11</v>
      </c>
      <c r="B14" s="2">
        <v>161</v>
      </c>
      <c r="D14" s="2">
        <v>170</v>
      </c>
      <c r="E14" s="2">
        <v>55</v>
      </c>
    </row>
    <row r="15" spans="1:7" x14ac:dyDescent="0.3">
      <c r="A15" s="2">
        <v>29</v>
      </c>
      <c r="B15" s="2">
        <v>161</v>
      </c>
      <c r="D15" s="2">
        <v>178</v>
      </c>
      <c r="E15" s="2">
        <v>55</v>
      </c>
    </row>
    <row r="16" spans="1:7" x14ac:dyDescent="0.3">
      <c r="A16" s="2">
        <v>44</v>
      </c>
      <c r="B16" s="2">
        <v>161</v>
      </c>
      <c r="D16" s="2">
        <v>55</v>
      </c>
      <c r="E16" s="2">
        <v>56</v>
      </c>
    </row>
    <row r="17" spans="1:5" x14ac:dyDescent="0.3">
      <c r="A17" s="2">
        <v>110</v>
      </c>
      <c r="B17" s="2">
        <v>161</v>
      </c>
      <c r="D17" s="2">
        <v>130</v>
      </c>
      <c r="E17" s="2">
        <v>56</v>
      </c>
    </row>
    <row r="18" spans="1:5" x14ac:dyDescent="0.3">
      <c r="A18" s="2">
        <v>170</v>
      </c>
      <c r="B18" s="2">
        <v>161</v>
      </c>
      <c r="D18" s="2">
        <v>7</v>
      </c>
      <c r="E18" s="2">
        <v>57</v>
      </c>
    </row>
    <row r="19" spans="1:5" x14ac:dyDescent="0.3">
      <c r="A19" s="2">
        <v>59</v>
      </c>
      <c r="B19" s="2">
        <v>162</v>
      </c>
      <c r="D19" s="2">
        <v>96</v>
      </c>
      <c r="E19" s="2">
        <v>57</v>
      </c>
    </row>
    <row r="20" spans="1:5" x14ac:dyDescent="0.3">
      <c r="A20" s="2">
        <v>107</v>
      </c>
      <c r="B20" s="2">
        <v>162</v>
      </c>
      <c r="D20" s="2">
        <v>153</v>
      </c>
      <c r="E20" s="2">
        <v>57</v>
      </c>
    </row>
    <row r="21" spans="1:5" x14ac:dyDescent="0.3">
      <c r="A21" s="2">
        <v>157</v>
      </c>
      <c r="B21" s="2">
        <v>162</v>
      </c>
      <c r="D21" s="2">
        <v>68</v>
      </c>
      <c r="E21" s="2">
        <v>58</v>
      </c>
    </row>
    <row r="22" spans="1:5" x14ac:dyDescent="0.3">
      <c r="A22" s="2">
        <v>52</v>
      </c>
      <c r="B22" s="2">
        <v>163</v>
      </c>
      <c r="D22" s="2">
        <v>4</v>
      </c>
      <c r="E22" s="2">
        <v>59</v>
      </c>
    </row>
    <row r="23" spans="1:5" x14ac:dyDescent="0.3">
      <c r="A23" s="2">
        <v>108</v>
      </c>
      <c r="B23" s="2">
        <v>163</v>
      </c>
      <c r="D23" s="2">
        <v>13</v>
      </c>
      <c r="E23" s="2">
        <v>59</v>
      </c>
    </row>
    <row r="24" spans="1:5" x14ac:dyDescent="0.3">
      <c r="A24" s="2">
        <v>117</v>
      </c>
      <c r="B24" s="2">
        <v>163</v>
      </c>
      <c r="D24" s="2">
        <v>32</v>
      </c>
      <c r="E24" s="2">
        <v>59</v>
      </c>
    </row>
    <row r="25" spans="1:5" x14ac:dyDescent="0.3">
      <c r="A25" s="2">
        <v>122</v>
      </c>
      <c r="B25" s="2">
        <v>163</v>
      </c>
      <c r="D25" s="2">
        <v>43</v>
      </c>
      <c r="E25" s="2">
        <v>59</v>
      </c>
    </row>
    <row r="26" spans="1:5" x14ac:dyDescent="0.3">
      <c r="A26" s="2">
        <v>152</v>
      </c>
      <c r="B26" s="2">
        <v>163</v>
      </c>
      <c r="D26" s="2">
        <v>56</v>
      </c>
      <c r="E26" s="2">
        <v>59</v>
      </c>
    </row>
    <row r="27" spans="1:5" x14ac:dyDescent="0.3">
      <c r="A27" s="2">
        <v>158</v>
      </c>
      <c r="B27" s="2">
        <v>163</v>
      </c>
      <c r="D27" s="2">
        <v>83</v>
      </c>
      <c r="E27" s="2">
        <v>59</v>
      </c>
    </row>
    <row r="28" spans="1:5" x14ac:dyDescent="0.3">
      <c r="A28" s="2">
        <v>177</v>
      </c>
      <c r="B28" s="2">
        <v>163</v>
      </c>
      <c r="D28" s="2">
        <v>93</v>
      </c>
      <c r="E28" s="2">
        <v>59</v>
      </c>
    </row>
    <row r="29" spans="1:5" x14ac:dyDescent="0.3">
      <c r="A29" s="2">
        <v>22</v>
      </c>
      <c r="B29" s="2">
        <v>164</v>
      </c>
      <c r="D29" s="2">
        <v>102</v>
      </c>
      <c r="E29" s="2">
        <v>59</v>
      </c>
    </row>
    <row r="30" spans="1:5" x14ac:dyDescent="0.3">
      <c r="A30" s="2">
        <v>32</v>
      </c>
      <c r="B30" s="2">
        <v>164</v>
      </c>
      <c r="D30" s="2">
        <v>115</v>
      </c>
      <c r="E30" s="2">
        <v>59</v>
      </c>
    </row>
    <row r="31" spans="1:5" x14ac:dyDescent="0.3">
      <c r="A31" s="2">
        <v>54</v>
      </c>
      <c r="B31" s="2">
        <v>164</v>
      </c>
      <c r="D31" s="2">
        <v>118</v>
      </c>
      <c r="E31" s="2">
        <v>59</v>
      </c>
    </row>
    <row r="32" spans="1:5" x14ac:dyDescent="0.3">
      <c r="A32" s="2">
        <v>55</v>
      </c>
      <c r="B32" s="2">
        <v>164</v>
      </c>
      <c r="D32" s="2">
        <v>141</v>
      </c>
      <c r="E32" s="2">
        <v>59</v>
      </c>
    </row>
    <row r="33" spans="1:5" x14ac:dyDescent="0.3">
      <c r="A33" s="2">
        <v>75</v>
      </c>
      <c r="B33" s="2">
        <v>164</v>
      </c>
      <c r="D33" s="2">
        <v>11</v>
      </c>
      <c r="E33" s="2">
        <v>60</v>
      </c>
    </row>
    <row r="34" spans="1:5" x14ac:dyDescent="0.3">
      <c r="A34" s="2">
        <v>83</v>
      </c>
      <c r="B34" s="2">
        <v>164</v>
      </c>
      <c r="D34" s="2">
        <v>12</v>
      </c>
      <c r="E34" s="2">
        <v>60</v>
      </c>
    </row>
    <row r="35" spans="1:5" x14ac:dyDescent="0.3">
      <c r="A35" s="2">
        <v>84</v>
      </c>
      <c r="B35" s="2">
        <v>164</v>
      </c>
      <c r="D35" s="2">
        <v>29</v>
      </c>
      <c r="E35" s="2">
        <v>60</v>
      </c>
    </row>
    <row r="36" spans="1:5" x14ac:dyDescent="0.3">
      <c r="A36" s="2">
        <v>95</v>
      </c>
      <c r="B36" s="2">
        <v>164</v>
      </c>
      <c r="D36" s="2">
        <v>45</v>
      </c>
      <c r="E36" s="2">
        <v>60</v>
      </c>
    </row>
    <row r="37" spans="1:5" x14ac:dyDescent="0.3">
      <c r="A37" s="2">
        <v>103</v>
      </c>
      <c r="B37" s="2">
        <v>164</v>
      </c>
      <c r="D37" s="2">
        <v>54</v>
      </c>
      <c r="E37" s="2">
        <v>60</v>
      </c>
    </row>
    <row r="38" spans="1:5" x14ac:dyDescent="0.3">
      <c r="A38" s="2">
        <v>113</v>
      </c>
      <c r="B38" s="2">
        <v>164</v>
      </c>
      <c r="D38" s="2">
        <v>60</v>
      </c>
      <c r="E38" s="2">
        <v>60</v>
      </c>
    </row>
    <row r="39" spans="1:5" x14ac:dyDescent="0.3">
      <c r="A39" s="2">
        <v>131</v>
      </c>
      <c r="B39" s="2">
        <v>164</v>
      </c>
      <c r="D39" s="2">
        <v>65</v>
      </c>
      <c r="E39" s="2">
        <v>60</v>
      </c>
    </row>
    <row r="40" spans="1:5" x14ac:dyDescent="0.3">
      <c r="A40" s="2">
        <v>139</v>
      </c>
      <c r="B40" s="2">
        <v>164</v>
      </c>
      <c r="D40" s="2">
        <v>85</v>
      </c>
      <c r="E40" s="2">
        <v>60</v>
      </c>
    </row>
    <row r="41" spans="1:5" x14ac:dyDescent="0.3">
      <c r="A41" s="2">
        <v>161</v>
      </c>
      <c r="B41" s="2">
        <v>164</v>
      </c>
      <c r="D41" s="2">
        <v>95</v>
      </c>
      <c r="E41" s="2">
        <v>60</v>
      </c>
    </row>
    <row r="42" spans="1:5" x14ac:dyDescent="0.3">
      <c r="A42" s="2">
        <v>188</v>
      </c>
      <c r="B42" s="2">
        <v>164</v>
      </c>
      <c r="D42" s="2">
        <v>105</v>
      </c>
      <c r="E42" s="2">
        <v>60</v>
      </c>
    </row>
    <row r="43" spans="1:5" x14ac:dyDescent="0.3">
      <c r="A43" s="2">
        <v>8</v>
      </c>
      <c r="B43" s="2">
        <v>165</v>
      </c>
      <c r="D43" s="2">
        <v>150</v>
      </c>
      <c r="E43" s="2">
        <v>60</v>
      </c>
    </row>
    <row r="44" spans="1:5" x14ac:dyDescent="0.3">
      <c r="A44" s="2">
        <v>12</v>
      </c>
      <c r="B44" s="2">
        <v>165</v>
      </c>
      <c r="D44" s="2">
        <v>151</v>
      </c>
      <c r="E44" s="2">
        <v>60</v>
      </c>
    </row>
    <row r="45" spans="1:5" x14ac:dyDescent="0.3">
      <c r="A45" s="2">
        <v>45</v>
      </c>
      <c r="B45" s="2">
        <v>165</v>
      </c>
      <c r="D45" s="2">
        <v>158</v>
      </c>
      <c r="E45" s="2">
        <v>60</v>
      </c>
    </row>
    <row r="46" spans="1:5" x14ac:dyDescent="0.3">
      <c r="A46" s="2">
        <v>88</v>
      </c>
      <c r="B46" s="2">
        <v>165</v>
      </c>
      <c r="D46" s="2">
        <v>22</v>
      </c>
      <c r="E46" s="2">
        <v>61</v>
      </c>
    </row>
    <row r="47" spans="1:5" x14ac:dyDescent="0.3">
      <c r="A47" s="2">
        <v>93</v>
      </c>
      <c r="B47" s="2">
        <v>165</v>
      </c>
      <c r="D47" s="2">
        <v>41</v>
      </c>
      <c r="E47" s="2">
        <v>61</v>
      </c>
    </row>
    <row r="48" spans="1:5" x14ac:dyDescent="0.3">
      <c r="A48" s="2">
        <v>97</v>
      </c>
      <c r="B48" s="2">
        <v>165</v>
      </c>
      <c r="D48" s="2">
        <v>57</v>
      </c>
      <c r="E48" s="2">
        <v>61</v>
      </c>
    </row>
    <row r="49" spans="1:5" x14ac:dyDescent="0.3">
      <c r="A49" s="2">
        <v>130</v>
      </c>
      <c r="B49" s="2">
        <v>165</v>
      </c>
      <c r="D49" s="2">
        <v>63</v>
      </c>
      <c r="E49" s="2">
        <v>61</v>
      </c>
    </row>
    <row r="50" spans="1:5" x14ac:dyDescent="0.3">
      <c r="A50" s="2">
        <v>150</v>
      </c>
      <c r="B50" s="2">
        <v>165</v>
      </c>
      <c r="D50" s="2">
        <v>80</v>
      </c>
      <c r="E50" s="2">
        <v>61</v>
      </c>
    </row>
    <row r="51" spans="1:5" x14ac:dyDescent="0.3">
      <c r="A51" s="2">
        <v>151</v>
      </c>
      <c r="B51" s="2">
        <v>165</v>
      </c>
      <c r="D51" s="2">
        <v>100</v>
      </c>
      <c r="E51" s="2">
        <v>61</v>
      </c>
    </row>
    <row r="52" spans="1:5" x14ac:dyDescent="0.3">
      <c r="A52" s="2">
        <v>193</v>
      </c>
      <c r="B52" s="2">
        <v>165</v>
      </c>
      <c r="D52" s="2">
        <v>128</v>
      </c>
      <c r="E52" s="2">
        <v>61</v>
      </c>
    </row>
    <row r="53" spans="1:5" x14ac:dyDescent="0.3">
      <c r="A53" s="2">
        <v>50</v>
      </c>
      <c r="B53" s="2">
        <v>166</v>
      </c>
      <c r="D53" s="2">
        <v>161</v>
      </c>
      <c r="E53" s="2">
        <v>61</v>
      </c>
    </row>
    <row r="54" spans="1:5" x14ac:dyDescent="0.3">
      <c r="A54" s="2">
        <v>58</v>
      </c>
      <c r="B54" s="2">
        <v>166</v>
      </c>
      <c r="D54" s="2">
        <v>166</v>
      </c>
      <c r="E54" s="2">
        <v>61</v>
      </c>
    </row>
    <row r="55" spans="1:5" x14ac:dyDescent="0.3">
      <c r="A55" s="2">
        <v>68</v>
      </c>
      <c r="B55" s="2">
        <v>166</v>
      </c>
      <c r="D55" s="2">
        <v>171</v>
      </c>
      <c r="E55" s="2">
        <v>61</v>
      </c>
    </row>
    <row r="56" spans="1:5" x14ac:dyDescent="0.3">
      <c r="A56" s="2">
        <v>78</v>
      </c>
      <c r="B56" s="2">
        <v>166</v>
      </c>
      <c r="D56" s="2">
        <v>176</v>
      </c>
      <c r="E56" s="2">
        <v>61</v>
      </c>
    </row>
    <row r="57" spans="1:5" x14ac:dyDescent="0.3">
      <c r="A57" s="2">
        <v>126</v>
      </c>
      <c r="B57" s="2">
        <v>166</v>
      </c>
      <c r="D57" s="2">
        <v>21</v>
      </c>
      <c r="E57" s="2">
        <v>62</v>
      </c>
    </row>
    <row r="58" spans="1:5" x14ac:dyDescent="0.3">
      <c r="A58" s="2">
        <v>132</v>
      </c>
      <c r="B58" s="2">
        <v>166</v>
      </c>
      <c r="D58" s="2">
        <v>58</v>
      </c>
      <c r="E58" s="2">
        <v>62</v>
      </c>
    </row>
    <row r="59" spans="1:5" x14ac:dyDescent="0.3">
      <c r="A59" s="2">
        <v>135</v>
      </c>
      <c r="B59" s="2">
        <v>166</v>
      </c>
      <c r="D59" s="2">
        <v>61</v>
      </c>
      <c r="E59" s="2">
        <v>62</v>
      </c>
    </row>
    <row r="60" spans="1:5" x14ac:dyDescent="0.3">
      <c r="A60" s="2">
        <v>144</v>
      </c>
      <c r="B60" s="2">
        <v>166</v>
      </c>
      <c r="D60" s="2">
        <v>84</v>
      </c>
      <c r="E60" s="2">
        <v>62</v>
      </c>
    </row>
    <row r="61" spans="1:5" x14ac:dyDescent="0.3">
      <c r="A61" s="2">
        <v>166</v>
      </c>
      <c r="B61" s="2">
        <v>166</v>
      </c>
      <c r="D61" s="2">
        <v>88</v>
      </c>
      <c r="E61" s="2">
        <v>62</v>
      </c>
    </row>
    <row r="62" spans="1:5" x14ac:dyDescent="0.3">
      <c r="A62" s="2">
        <v>182</v>
      </c>
      <c r="B62" s="2">
        <v>166</v>
      </c>
      <c r="D62" s="2">
        <v>106</v>
      </c>
      <c r="E62" s="2">
        <v>62</v>
      </c>
    </row>
    <row r="63" spans="1:5" x14ac:dyDescent="0.3">
      <c r="A63" s="2">
        <v>185</v>
      </c>
      <c r="B63" s="2">
        <v>166</v>
      </c>
      <c r="D63" s="2">
        <v>131</v>
      </c>
      <c r="E63" s="2">
        <v>62</v>
      </c>
    </row>
    <row r="64" spans="1:5" x14ac:dyDescent="0.3">
      <c r="A64" s="2">
        <v>57</v>
      </c>
      <c r="B64" s="2">
        <v>167</v>
      </c>
      <c r="D64" s="2">
        <v>138</v>
      </c>
      <c r="E64" s="2">
        <v>62</v>
      </c>
    </row>
    <row r="65" spans="1:5" x14ac:dyDescent="0.3">
      <c r="A65" s="2">
        <v>63</v>
      </c>
      <c r="B65" s="2">
        <v>167</v>
      </c>
      <c r="D65" s="2">
        <v>148</v>
      </c>
      <c r="E65" s="2">
        <v>62</v>
      </c>
    </row>
    <row r="66" spans="1:5" x14ac:dyDescent="0.3">
      <c r="A66" s="2">
        <v>81</v>
      </c>
      <c r="B66" s="2">
        <v>167</v>
      </c>
      <c r="D66" s="2">
        <v>188</v>
      </c>
      <c r="E66" s="2">
        <v>62</v>
      </c>
    </row>
    <row r="67" spans="1:5" x14ac:dyDescent="0.3">
      <c r="A67" s="2">
        <v>115</v>
      </c>
      <c r="B67" s="2">
        <v>167</v>
      </c>
      <c r="D67" s="2">
        <v>8</v>
      </c>
      <c r="E67" s="2">
        <v>63</v>
      </c>
    </row>
    <row r="68" spans="1:5" x14ac:dyDescent="0.3">
      <c r="A68" s="2">
        <v>134</v>
      </c>
      <c r="B68" s="2">
        <v>167</v>
      </c>
      <c r="D68" s="2">
        <v>18</v>
      </c>
      <c r="E68" s="2">
        <v>63</v>
      </c>
    </row>
    <row r="69" spans="1:5" x14ac:dyDescent="0.3">
      <c r="A69" s="2">
        <v>178</v>
      </c>
      <c r="B69" s="2">
        <v>167</v>
      </c>
      <c r="D69" s="2">
        <v>30</v>
      </c>
      <c r="E69" s="2">
        <v>63</v>
      </c>
    </row>
    <row r="70" spans="1:5" x14ac:dyDescent="0.3">
      <c r="A70" s="2">
        <v>190</v>
      </c>
      <c r="B70" s="2">
        <v>167</v>
      </c>
      <c r="D70" s="2">
        <v>52</v>
      </c>
      <c r="E70" s="2">
        <v>63</v>
      </c>
    </row>
    <row r="71" spans="1:5" x14ac:dyDescent="0.3">
      <c r="A71" s="2">
        <v>200</v>
      </c>
      <c r="B71" s="2">
        <v>167</v>
      </c>
      <c r="D71" s="2">
        <v>81</v>
      </c>
      <c r="E71" s="2">
        <v>63</v>
      </c>
    </row>
    <row r="72" spans="1:5" x14ac:dyDescent="0.3">
      <c r="A72" s="2">
        <v>1</v>
      </c>
      <c r="B72" s="2">
        <v>168</v>
      </c>
      <c r="D72" s="2">
        <v>87</v>
      </c>
      <c r="E72" s="2">
        <v>63</v>
      </c>
    </row>
    <row r="73" spans="1:5" x14ac:dyDescent="0.3">
      <c r="A73" s="2">
        <v>30</v>
      </c>
      <c r="B73" s="2">
        <v>168</v>
      </c>
      <c r="D73" s="2">
        <v>90</v>
      </c>
      <c r="E73" s="2">
        <v>63</v>
      </c>
    </row>
    <row r="74" spans="1:5" x14ac:dyDescent="0.3">
      <c r="A74" s="2">
        <v>31</v>
      </c>
      <c r="B74" s="2">
        <v>168</v>
      </c>
      <c r="D74" s="2">
        <v>104</v>
      </c>
      <c r="E74" s="2">
        <v>63</v>
      </c>
    </row>
    <row r="75" spans="1:5" x14ac:dyDescent="0.3">
      <c r="A75" s="2">
        <v>33</v>
      </c>
      <c r="B75" s="2">
        <v>168</v>
      </c>
      <c r="D75" s="2">
        <v>132</v>
      </c>
      <c r="E75" s="2">
        <v>63</v>
      </c>
    </row>
    <row r="76" spans="1:5" x14ac:dyDescent="0.3">
      <c r="A76" s="2">
        <v>43</v>
      </c>
      <c r="B76" s="2">
        <v>168</v>
      </c>
      <c r="D76" s="2">
        <v>133</v>
      </c>
      <c r="E76" s="2">
        <v>63</v>
      </c>
    </row>
    <row r="77" spans="1:5" x14ac:dyDescent="0.3">
      <c r="A77" s="2">
        <v>46</v>
      </c>
      <c r="B77" s="2">
        <v>168</v>
      </c>
      <c r="D77" s="2">
        <v>134</v>
      </c>
      <c r="E77" s="2">
        <v>63</v>
      </c>
    </row>
    <row r="78" spans="1:5" x14ac:dyDescent="0.3">
      <c r="A78" s="2">
        <v>56</v>
      </c>
      <c r="B78" s="2">
        <v>168</v>
      </c>
      <c r="D78" s="2">
        <v>152</v>
      </c>
      <c r="E78" s="2">
        <v>63</v>
      </c>
    </row>
    <row r="79" spans="1:5" x14ac:dyDescent="0.3">
      <c r="A79" s="2">
        <v>61</v>
      </c>
      <c r="B79" s="2">
        <v>168</v>
      </c>
      <c r="D79" s="2">
        <v>172</v>
      </c>
      <c r="E79" s="2">
        <v>63</v>
      </c>
    </row>
    <row r="80" spans="1:5" x14ac:dyDescent="0.3">
      <c r="A80" s="2">
        <v>77</v>
      </c>
      <c r="B80" s="2">
        <v>168</v>
      </c>
      <c r="D80" s="2">
        <v>181</v>
      </c>
      <c r="E80" s="2">
        <v>63</v>
      </c>
    </row>
    <row r="81" spans="1:5" x14ac:dyDescent="0.3">
      <c r="A81" s="2">
        <v>101</v>
      </c>
      <c r="B81" s="2">
        <v>168</v>
      </c>
      <c r="D81" s="2">
        <v>182</v>
      </c>
      <c r="E81" s="2">
        <v>63</v>
      </c>
    </row>
    <row r="82" spans="1:5" x14ac:dyDescent="0.3">
      <c r="A82" s="2">
        <v>133</v>
      </c>
      <c r="B82" s="2">
        <v>168</v>
      </c>
      <c r="D82" s="2">
        <v>193</v>
      </c>
      <c r="E82" s="2">
        <v>63</v>
      </c>
    </row>
    <row r="83" spans="1:5" x14ac:dyDescent="0.3">
      <c r="A83" s="2">
        <v>142</v>
      </c>
      <c r="B83" s="2">
        <v>168</v>
      </c>
      <c r="D83" s="2">
        <v>200</v>
      </c>
      <c r="E83" s="2">
        <v>63</v>
      </c>
    </row>
    <row r="84" spans="1:5" x14ac:dyDescent="0.3">
      <c r="A84" s="2">
        <v>173</v>
      </c>
      <c r="B84" s="2">
        <v>168</v>
      </c>
      <c r="D84" s="2">
        <v>9</v>
      </c>
      <c r="E84" s="2">
        <v>64</v>
      </c>
    </row>
    <row r="85" spans="1:5" x14ac:dyDescent="0.3">
      <c r="A85" s="2">
        <v>191</v>
      </c>
      <c r="B85" s="2">
        <v>168</v>
      </c>
      <c r="D85" s="2">
        <v>33</v>
      </c>
      <c r="E85" s="2">
        <v>64</v>
      </c>
    </row>
    <row r="86" spans="1:5" x14ac:dyDescent="0.3">
      <c r="A86" s="2">
        <v>196</v>
      </c>
      <c r="B86" s="2">
        <v>168</v>
      </c>
      <c r="D86" s="2">
        <v>40</v>
      </c>
      <c r="E86" s="2">
        <v>64</v>
      </c>
    </row>
    <row r="87" spans="1:5" x14ac:dyDescent="0.3">
      <c r="A87" s="2">
        <v>26</v>
      </c>
      <c r="B87" s="2">
        <v>169</v>
      </c>
      <c r="D87" s="2">
        <v>47</v>
      </c>
      <c r="E87" s="2">
        <v>64</v>
      </c>
    </row>
    <row r="88" spans="1:5" x14ac:dyDescent="0.3">
      <c r="A88" s="2">
        <v>37</v>
      </c>
      <c r="B88" s="2">
        <v>169</v>
      </c>
      <c r="D88" s="2">
        <v>71</v>
      </c>
      <c r="E88" s="2">
        <v>64</v>
      </c>
    </row>
    <row r="89" spans="1:5" x14ac:dyDescent="0.3">
      <c r="A89" s="2">
        <v>40</v>
      </c>
      <c r="B89" s="2">
        <v>169</v>
      </c>
      <c r="D89" s="2">
        <v>73</v>
      </c>
      <c r="E89" s="2">
        <v>64</v>
      </c>
    </row>
    <row r="90" spans="1:5" x14ac:dyDescent="0.3">
      <c r="A90" s="2">
        <v>128</v>
      </c>
      <c r="B90" s="2">
        <v>169</v>
      </c>
      <c r="D90" s="2">
        <v>77</v>
      </c>
      <c r="E90" s="2">
        <v>64</v>
      </c>
    </row>
    <row r="91" spans="1:5" x14ac:dyDescent="0.3">
      <c r="A91" s="2">
        <v>136</v>
      </c>
      <c r="B91" s="2">
        <v>169</v>
      </c>
      <c r="D91" s="2">
        <v>129</v>
      </c>
      <c r="E91" s="2">
        <v>64</v>
      </c>
    </row>
    <row r="92" spans="1:5" x14ac:dyDescent="0.3">
      <c r="A92" s="2">
        <v>137</v>
      </c>
      <c r="B92" s="2">
        <v>169</v>
      </c>
      <c r="D92" s="2">
        <v>142</v>
      </c>
      <c r="E92" s="2">
        <v>64</v>
      </c>
    </row>
    <row r="93" spans="1:5" x14ac:dyDescent="0.3">
      <c r="A93" s="2">
        <v>138</v>
      </c>
      <c r="B93" s="2">
        <v>169</v>
      </c>
      <c r="D93" s="2">
        <v>184</v>
      </c>
      <c r="E93" s="2">
        <v>64</v>
      </c>
    </row>
    <row r="94" spans="1:5" x14ac:dyDescent="0.3">
      <c r="A94" s="2">
        <v>148</v>
      </c>
      <c r="B94" s="2">
        <v>169</v>
      </c>
      <c r="D94" s="2">
        <v>14</v>
      </c>
      <c r="E94" s="2">
        <v>65</v>
      </c>
    </row>
    <row r="95" spans="1:5" x14ac:dyDescent="0.3">
      <c r="A95" s="2">
        <v>165</v>
      </c>
      <c r="B95" s="2">
        <v>169</v>
      </c>
      <c r="D95" s="2">
        <v>59</v>
      </c>
      <c r="E95" s="2">
        <v>65</v>
      </c>
    </row>
    <row r="96" spans="1:5" x14ac:dyDescent="0.3">
      <c r="A96" s="2">
        <v>171</v>
      </c>
      <c r="B96" s="2">
        <v>169</v>
      </c>
      <c r="D96" s="2">
        <v>108</v>
      </c>
      <c r="E96" s="2">
        <v>65</v>
      </c>
    </row>
    <row r="97" spans="1:5" x14ac:dyDescent="0.3">
      <c r="A97" s="2">
        <v>180</v>
      </c>
      <c r="B97" s="2">
        <v>169</v>
      </c>
      <c r="D97" s="2">
        <v>113</v>
      </c>
      <c r="E97" s="2">
        <v>65</v>
      </c>
    </row>
    <row r="98" spans="1:5" x14ac:dyDescent="0.3">
      <c r="A98" s="2">
        <v>189</v>
      </c>
      <c r="B98" s="2">
        <v>169</v>
      </c>
      <c r="D98" s="2">
        <v>122</v>
      </c>
      <c r="E98" s="2">
        <v>65</v>
      </c>
    </row>
    <row r="99" spans="1:5" x14ac:dyDescent="0.3">
      <c r="A99" s="2">
        <v>192</v>
      </c>
      <c r="B99" s="2">
        <v>169</v>
      </c>
      <c r="D99" s="2">
        <v>139</v>
      </c>
      <c r="E99" s="2">
        <v>65</v>
      </c>
    </row>
    <row r="100" spans="1:5" x14ac:dyDescent="0.3">
      <c r="A100" s="2">
        <v>15</v>
      </c>
      <c r="B100" s="2">
        <v>170</v>
      </c>
      <c r="D100" s="2">
        <v>175</v>
      </c>
      <c r="E100" s="2">
        <v>65</v>
      </c>
    </row>
    <row r="101" spans="1:5" x14ac:dyDescent="0.3">
      <c r="A101" s="2">
        <v>35</v>
      </c>
      <c r="B101" s="2">
        <v>170</v>
      </c>
      <c r="D101" s="2">
        <v>177</v>
      </c>
      <c r="E101" s="2">
        <v>65</v>
      </c>
    </row>
    <row r="102" spans="1:5" x14ac:dyDescent="0.3">
      <c r="A102" s="2">
        <v>38</v>
      </c>
      <c r="B102" s="2">
        <v>170</v>
      </c>
      <c r="D102" s="2">
        <v>183</v>
      </c>
      <c r="E102" s="2">
        <v>65</v>
      </c>
    </row>
    <row r="103" spans="1:5" x14ac:dyDescent="0.3">
      <c r="A103" s="2">
        <v>41</v>
      </c>
      <c r="B103" s="2">
        <v>170</v>
      </c>
      <c r="D103" s="2">
        <v>197</v>
      </c>
      <c r="E103" s="2">
        <v>65</v>
      </c>
    </row>
    <row r="104" spans="1:5" x14ac:dyDescent="0.3">
      <c r="A104" s="2">
        <v>53</v>
      </c>
      <c r="B104" s="2">
        <v>170</v>
      </c>
      <c r="D104" s="2">
        <v>6</v>
      </c>
      <c r="E104" s="2">
        <v>66</v>
      </c>
    </row>
    <row r="105" spans="1:5" x14ac:dyDescent="0.3">
      <c r="A105" s="2">
        <v>64</v>
      </c>
      <c r="B105" s="2">
        <v>170</v>
      </c>
      <c r="D105" s="2">
        <v>24</v>
      </c>
      <c r="E105" s="2">
        <v>66</v>
      </c>
    </row>
    <row r="106" spans="1:5" x14ac:dyDescent="0.3">
      <c r="A106" s="2">
        <v>69</v>
      </c>
      <c r="B106" s="2">
        <v>170</v>
      </c>
      <c r="D106" s="2">
        <v>28</v>
      </c>
      <c r="E106" s="2">
        <v>66</v>
      </c>
    </row>
    <row r="107" spans="1:5" x14ac:dyDescent="0.3">
      <c r="A107" s="2">
        <v>80</v>
      </c>
      <c r="B107" s="2">
        <v>170</v>
      </c>
      <c r="D107" s="2">
        <v>37</v>
      </c>
      <c r="E107" s="2">
        <v>66</v>
      </c>
    </row>
    <row r="108" spans="1:5" x14ac:dyDescent="0.3">
      <c r="A108" s="2">
        <v>91</v>
      </c>
      <c r="B108" s="2">
        <v>170</v>
      </c>
      <c r="D108" s="2">
        <v>48</v>
      </c>
      <c r="E108" s="2">
        <v>66</v>
      </c>
    </row>
    <row r="109" spans="1:5" x14ac:dyDescent="0.3">
      <c r="A109" s="2">
        <v>92</v>
      </c>
      <c r="B109" s="2">
        <v>170</v>
      </c>
      <c r="D109" s="2">
        <v>66</v>
      </c>
      <c r="E109" s="2">
        <v>66</v>
      </c>
    </row>
    <row r="110" spans="1:5" x14ac:dyDescent="0.3">
      <c r="A110" s="2">
        <v>104</v>
      </c>
      <c r="B110" s="2">
        <v>170</v>
      </c>
      <c r="D110" s="2">
        <v>86</v>
      </c>
      <c r="E110" s="2">
        <v>66</v>
      </c>
    </row>
    <row r="111" spans="1:5" x14ac:dyDescent="0.3">
      <c r="A111" s="2">
        <v>176</v>
      </c>
      <c r="B111" s="2">
        <v>170</v>
      </c>
      <c r="D111" s="2">
        <v>89</v>
      </c>
      <c r="E111" s="2">
        <v>66</v>
      </c>
    </row>
    <row r="112" spans="1:5" x14ac:dyDescent="0.3">
      <c r="A112" s="2">
        <v>181</v>
      </c>
      <c r="B112" s="2">
        <v>170</v>
      </c>
      <c r="D112" s="2">
        <v>103</v>
      </c>
      <c r="E112" s="2">
        <v>66</v>
      </c>
    </row>
    <row r="113" spans="1:5" x14ac:dyDescent="0.3">
      <c r="A113" s="2">
        <v>6</v>
      </c>
      <c r="B113" s="2">
        <v>171</v>
      </c>
      <c r="D113" s="2">
        <v>137</v>
      </c>
      <c r="E113" s="2">
        <v>66</v>
      </c>
    </row>
    <row r="114" spans="1:5" x14ac:dyDescent="0.3">
      <c r="A114" s="2">
        <v>17</v>
      </c>
      <c r="B114" s="2">
        <v>171</v>
      </c>
      <c r="D114" s="2">
        <v>143</v>
      </c>
      <c r="E114" s="2">
        <v>66</v>
      </c>
    </row>
    <row r="115" spans="1:5" x14ac:dyDescent="0.3">
      <c r="A115" s="2">
        <v>42</v>
      </c>
      <c r="B115" s="2">
        <v>171</v>
      </c>
      <c r="D115" s="2">
        <v>159</v>
      </c>
      <c r="E115" s="2">
        <v>66</v>
      </c>
    </row>
    <row r="116" spans="1:5" x14ac:dyDescent="0.3">
      <c r="A116" s="2">
        <v>60</v>
      </c>
      <c r="B116" s="2">
        <v>171</v>
      </c>
      <c r="D116" s="2">
        <v>163</v>
      </c>
      <c r="E116" s="2">
        <v>66</v>
      </c>
    </row>
    <row r="117" spans="1:5" x14ac:dyDescent="0.3">
      <c r="A117" s="2">
        <v>65</v>
      </c>
      <c r="B117" s="2">
        <v>171</v>
      </c>
      <c r="D117" s="2">
        <v>174</v>
      </c>
      <c r="E117" s="2">
        <v>66</v>
      </c>
    </row>
    <row r="118" spans="1:5" x14ac:dyDescent="0.3">
      <c r="A118" s="2">
        <v>73</v>
      </c>
      <c r="B118" s="2">
        <v>171</v>
      </c>
      <c r="D118" s="2">
        <v>187</v>
      </c>
      <c r="E118" s="2">
        <v>66</v>
      </c>
    </row>
    <row r="119" spans="1:5" x14ac:dyDescent="0.3">
      <c r="A119" s="2">
        <v>89</v>
      </c>
      <c r="B119" s="2">
        <v>171</v>
      </c>
      <c r="D119" s="2">
        <v>189</v>
      </c>
      <c r="E119" s="2">
        <v>66</v>
      </c>
    </row>
    <row r="120" spans="1:5" x14ac:dyDescent="0.3">
      <c r="A120" s="2">
        <v>90</v>
      </c>
      <c r="B120" s="2">
        <v>171</v>
      </c>
      <c r="D120" s="2">
        <v>192</v>
      </c>
      <c r="E120" s="2">
        <v>66</v>
      </c>
    </row>
    <row r="121" spans="1:5" x14ac:dyDescent="0.3">
      <c r="A121" s="2">
        <v>105</v>
      </c>
      <c r="B121" s="2">
        <v>171</v>
      </c>
      <c r="D121" s="2">
        <v>1</v>
      </c>
      <c r="E121" s="2">
        <v>67</v>
      </c>
    </row>
    <row r="122" spans="1:5" x14ac:dyDescent="0.3">
      <c r="A122" s="2">
        <v>109</v>
      </c>
      <c r="B122" s="2">
        <v>171</v>
      </c>
      <c r="D122" s="2">
        <v>3</v>
      </c>
      <c r="E122" s="2">
        <v>67</v>
      </c>
    </row>
    <row r="123" spans="1:5" x14ac:dyDescent="0.3">
      <c r="A123" s="2">
        <v>143</v>
      </c>
      <c r="B123" s="2">
        <v>171</v>
      </c>
      <c r="D123" s="2">
        <v>31</v>
      </c>
      <c r="E123" s="2">
        <v>67</v>
      </c>
    </row>
    <row r="124" spans="1:5" x14ac:dyDescent="0.3">
      <c r="A124" s="2">
        <v>145</v>
      </c>
      <c r="B124" s="2">
        <v>171</v>
      </c>
      <c r="D124" s="2">
        <v>39</v>
      </c>
      <c r="E124" s="2">
        <v>67</v>
      </c>
    </row>
    <row r="125" spans="1:5" x14ac:dyDescent="0.3">
      <c r="A125" s="2">
        <v>147</v>
      </c>
      <c r="B125" s="2">
        <v>171</v>
      </c>
      <c r="D125" s="2">
        <v>50</v>
      </c>
      <c r="E125" s="2">
        <v>67</v>
      </c>
    </row>
    <row r="126" spans="1:5" x14ac:dyDescent="0.3">
      <c r="A126" s="2">
        <v>153</v>
      </c>
      <c r="B126" s="2">
        <v>171</v>
      </c>
      <c r="D126" s="2">
        <v>79</v>
      </c>
      <c r="E126" s="2">
        <v>67</v>
      </c>
    </row>
    <row r="127" spans="1:5" x14ac:dyDescent="0.3">
      <c r="A127" s="2">
        <v>163</v>
      </c>
      <c r="B127" s="2">
        <v>171</v>
      </c>
      <c r="D127" s="2">
        <v>92</v>
      </c>
      <c r="E127" s="2">
        <v>67</v>
      </c>
    </row>
    <row r="128" spans="1:5" x14ac:dyDescent="0.3">
      <c r="A128" s="2">
        <v>174</v>
      </c>
      <c r="B128" s="2">
        <v>171</v>
      </c>
      <c r="D128" s="2">
        <v>98</v>
      </c>
      <c r="E128" s="2">
        <v>67</v>
      </c>
    </row>
    <row r="129" spans="1:5" x14ac:dyDescent="0.3">
      <c r="A129" s="2">
        <v>179</v>
      </c>
      <c r="B129" s="2">
        <v>171</v>
      </c>
      <c r="D129" s="2">
        <v>114</v>
      </c>
      <c r="E129" s="2">
        <v>67</v>
      </c>
    </row>
    <row r="130" spans="1:5" x14ac:dyDescent="0.3">
      <c r="A130" s="2">
        <v>184</v>
      </c>
      <c r="B130" s="2">
        <v>171</v>
      </c>
      <c r="D130" s="2">
        <v>126</v>
      </c>
      <c r="E130" s="2">
        <v>67</v>
      </c>
    </row>
    <row r="131" spans="1:5" x14ac:dyDescent="0.3">
      <c r="A131" s="2">
        <v>187</v>
      </c>
      <c r="B131" s="2">
        <v>171</v>
      </c>
      <c r="D131" s="2">
        <v>135</v>
      </c>
      <c r="E131" s="2">
        <v>67</v>
      </c>
    </row>
    <row r="132" spans="1:5" x14ac:dyDescent="0.3">
      <c r="A132" s="2">
        <v>195</v>
      </c>
      <c r="B132" s="2">
        <v>171</v>
      </c>
      <c r="D132" s="2">
        <v>146</v>
      </c>
      <c r="E132" s="2">
        <v>67</v>
      </c>
    </row>
    <row r="133" spans="1:5" x14ac:dyDescent="0.3">
      <c r="A133" s="2">
        <v>197</v>
      </c>
      <c r="B133" s="2">
        <v>171</v>
      </c>
      <c r="D133" s="2">
        <v>147</v>
      </c>
      <c r="E133" s="2">
        <v>67</v>
      </c>
    </row>
    <row r="134" spans="1:5" x14ac:dyDescent="0.3">
      <c r="A134" s="2">
        <v>198</v>
      </c>
      <c r="B134" s="2">
        <v>171</v>
      </c>
      <c r="D134" s="2">
        <v>154</v>
      </c>
      <c r="E134" s="2">
        <v>67</v>
      </c>
    </row>
    <row r="135" spans="1:5" x14ac:dyDescent="0.3">
      <c r="A135" s="2">
        <v>5</v>
      </c>
      <c r="B135" s="2">
        <v>172</v>
      </c>
      <c r="D135" s="2">
        <v>155</v>
      </c>
      <c r="E135" s="2">
        <v>67</v>
      </c>
    </row>
    <row r="136" spans="1:5" x14ac:dyDescent="0.3">
      <c r="A136" s="2">
        <v>18</v>
      </c>
      <c r="B136" s="2">
        <v>172</v>
      </c>
      <c r="D136" s="2">
        <v>190</v>
      </c>
      <c r="E136" s="2">
        <v>67</v>
      </c>
    </row>
    <row r="137" spans="1:5" x14ac:dyDescent="0.3">
      <c r="A137" s="2">
        <v>98</v>
      </c>
      <c r="B137" s="2">
        <v>172</v>
      </c>
      <c r="D137" s="2">
        <v>191</v>
      </c>
      <c r="E137" s="2">
        <v>67</v>
      </c>
    </row>
    <row r="138" spans="1:5" x14ac:dyDescent="0.3">
      <c r="A138" s="2">
        <v>129</v>
      </c>
      <c r="B138" s="2">
        <v>172</v>
      </c>
      <c r="D138" s="2">
        <v>2</v>
      </c>
      <c r="E138" s="2">
        <v>68</v>
      </c>
    </row>
    <row r="139" spans="1:5" x14ac:dyDescent="0.3">
      <c r="A139" s="2">
        <v>146</v>
      </c>
      <c r="B139" s="2">
        <v>172</v>
      </c>
      <c r="D139" s="2">
        <v>16</v>
      </c>
      <c r="E139" s="2">
        <v>68</v>
      </c>
    </row>
    <row r="140" spans="1:5" x14ac:dyDescent="0.3">
      <c r="A140" s="2">
        <v>154</v>
      </c>
      <c r="B140" s="2">
        <v>172</v>
      </c>
      <c r="D140" s="2">
        <v>36</v>
      </c>
      <c r="E140" s="2">
        <v>68</v>
      </c>
    </row>
    <row r="141" spans="1:5" x14ac:dyDescent="0.3">
      <c r="A141" s="2">
        <v>156</v>
      </c>
      <c r="B141" s="2">
        <v>172</v>
      </c>
      <c r="D141" s="2">
        <v>97</v>
      </c>
      <c r="E141" s="2">
        <v>68</v>
      </c>
    </row>
    <row r="142" spans="1:5" x14ac:dyDescent="0.3">
      <c r="A142" s="2">
        <v>168</v>
      </c>
      <c r="B142" s="2">
        <v>172</v>
      </c>
      <c r="D142" s="2">
        <v>117</v>
      </c>
      <c r="E142" s="2">
        <v>68</v>
      </c>
    </row>
    <row r="143" spans="1:5" x14ac:dyDescent="0.3">
      <c r="A143" s="2">
        <v>172</v>
      </c>
      <c r="B143" s="2">
        <v>172</v>
      </c>
      <c r="D143" s="2">
        <v>165</v>
      </c>
      <c r="E143" s="2">
        <v>68</v>
      </c>
    </row>
    <row r="144" spans="1:5" x14ac:dyDescent="0.3">
      <c r="A144" s="2">
        <v>183</v>
      </c>
      <c r="B144" s="2">
        <v>172</v>
      </c>
      <c r="D144" s="2">
        <v>34</v>
      </c>
      <c r="E144" s="2">
        <v>69</v>
      </c>
    </row>
    <row r="145" spans="1:5" x14ac:dyDescent="0.3">
      <c r="A145" s="2">
        <v>199</v>
      </c>
      <c r="B145" s="2">
        <v>172</v>
      </c>
      <c r="D145" s="2">
        <v>70</v>
      </c>
      <c r="E145" s="2">
        <v>69</v>
      </c>
    </row>
    <row r="146" spans="1:5" x14ac:dyDescent="0.3">
      <c r="A146" s="2">
        <v>9</v>
      </c>
      <c r="B146" s="2">
        <v>173</v>
      </c>
      <c r="D146" s="2">
        <v>76</v>
      </c>
      <c r="E146" s="2">
        <v>69</v>
      </c>
    </row>
    <row r="147" spans="1:5" x14ac:dyDescent="0.3">
      <c r="A147" s="2">
        <v>23</v>
      </c>
      <c r="B147" s="2">
        <v>173</v>
      </c>
      <c r="D147" s="2">
        <v>111</v>
      </c>
      <c r="E147" s="2">
        <v>69</v>
      </c>
    </row>
    <row r="148" spans="1:5" x14ac:dyDescent="0.3">
      <c r="A148" s="2">
        <v>27</v>
      </c>
      <c r="B148" s="2">
        <v>173</v>
      </c>
      <c r="D148" s="2">
        <v>120</v>
      </c>
      <c r="E148" s="2">
        <v>69</v>
      </c>
    </row>
    <row r="149" spans="1:5" x14ac:dyDescent="0.3">
      <c r="A149" s="2">
        <v>28</v>
      </c>
      <c r="B149" s="2">
        <v>173</v>
      </c>
      <c r="D149" s="2">
        <v>164</v>
      </c>
      <c r="E149" s="2">
        <v>69</v>
      </c>
    </row>
    <row r="150" spans="1:5" x14ac:dyDescent="0.3">
      <c r="A150" s="2">
        <v>62</v>
      </c>
      <c r="B150" s="2">
        <v>173</v>
      </c>
      <c r="D150" s="2">
        <v>167</v>
      </c>
      <c r="E150" s="2">
        <v>69</v>
      </c>
    </row>
    <row r="151" spans="1:5" x14ac:dyDescent="0.3">
      <c r="A151" s="2">
        <v>66</v>
      </c>
      <c r="B151" s="2">
        <v>173</v>
      </c>
      <c r="D151" s="2">
        <v>169</v>
      </c>
      <c r="E151" s="2">
        <v>69</v>
      </c>
    </row>
    <row r="152" spans="1:5" x14ac:dyDescent="0.3">
      <c r="A152" s="2">
        <v>71</v>
      </c>
      <c r="B152" s="2">
        <v>173</v>
      </c>
      <c r="D152" s="2">
        <v>195</v>
      </c>
      <c r="E152" s="2">
        <v>69</v>
      </c>
    </row>
    <row r="153" spans="1:5" x14ac:dyDescent="0.3">
      <c r="A153" s="2">
        <v>76</v>
      </c>
      <c r="B153" s="2">
        <v>173</v>
      </c>
      <c r="D153" s="2">
        <v>198</v>
      </c>
      <c r="E153" s="2">
        <v>69</v>
      </c>
    </row>
    <row r="154" spans="1:5" x14ac:dyDescent="0.3">
      <c r="A154" s="2">
        <v>86</v>
      </c>
      <c r="B154" s="2">
        <v>173</v>
      </c>
      <c r="D154" s="2">
        <v>199</v>
      </c>
      <c r="E154" s="2">
        <v>69</v>
      </c>
    </row>
    <row r="155" spans="1:5" x14ac:dyDescent="0.3">
      <c r="A155" s="2">
        <v>111</v>
      </c>
      <c r="B155" s="2">
        <v>173</v>
      </c>
      <c r="D155" s="2">
        <v>5</v>
      </c>
      <c r="E155" s="2">
        <v>70</v>
      </c>
    </row>
    <row r="156" spans="1:5" x14ac:dyDescent="0.3">
      <c r="A156" s="2">
        <v>127</v>
      </c>
      <c r="B156" s="2">
        <v>173</v>
      </c>
      <c r="D156" s="2">
        <v>19</v>
      </c>
      <c r="E156" s="2">
        <v>70</v>
      </c>
    </row>
    <row r="157" spans="1:5" x14ac:dyDescent="0.3">
      <c r="A157" s="2">
        <v>159</v>
      </c>
      <c r="B157" s="2">
        <v>173</v>
      </c>
      <c r="D157" s="2">
        <v>62</v>
      </c>
      <c r="E157" s="2">
        <v>70</v>
      </c>
    </row>
    <row r="158" spans="1:5" x14ac:dyDescent="0.3">
      <c r="A158" s="2">
        <v>164</v>
      </c>
      <c r="B158" s="2">
        <v>173</v>
      </c>
      <c r="D158" s="2">
        <v>75</v>
      </c>
      <c r="E158" s="2">
        <v>70</v>
      </c>
    </row>
    <row r="159" spans="1:5" x14ac:dyDescent="0.3">
      <c r="A159" s="2">
        <v>167</v>
      </c>
      <c r="B159" s="2">
        <v>173</v>
      </c>
      <c r="D159" s="2">
        <v>91</v>
      </c>
      <c r="E159" s="2">
        <v>70</v>
      </c>
    </row>
    <row r="160" spans="1:5" x14ac:dyDescent="0.3">
      <c r="A160" s="2">
        <v>169</v>
      </c>
      <c r="B160" s="2">
        <v>173</v>
      </c>
      <c r="D160" s="2">
        <v>145</v>
      </c>
      <c r="E160" s="2">
        <v>70</v>
      </c>
    </row>
    <row r="161" spans="1:5" x14ac:dyDescent="0.3">
      <c r="A161" s="2">
        <v>175</v>
      </c>
      <c r="B161" s="2">
        <v>173</v>
      </c>
      <c r="D161" s="2">
        <v>156</v>
      </c>
      <c r="E161" s="2">
        <v>70</v>
      </c>
    </row>
    <row r="162" spans="1:5" x14ac:dyDescent="0.3">
      <c r="A162" s="2">
        <v>10</v>
      </c>
      <c r="B162" s="2">
        <v>174</v>
      </c>
      <c r="D162" s="2">
        <v>173</v>
      </c>
      <c r="E162" s="2">
        <v>70</v>
      </c>
    </row>
    <row r="163" spans="1:5" x14ac:dyDescent="0.3">
      <c r="A163" s="2">
        <v>48</v>
      </c>
      <c r="B163" s="2">
        <v>174</v>
      </c>
      <c r="D163" s="2">
        <v>179</v>
      </c>
      <c r="E163" s="2">
        <v>70</v>
      </c>
    </row>
    <row r="164" spans="1:5" x14ac:dyDescent="0.3">
      <c r="A164" s="2">
        <v>74</v>
      </c>
      <c r="B164" s="2">
        <v>174</v>
      </c>
      <c r="D164" s="2">
        <v>180</v>
      </c>
      <c r="E164" s="2">
        <v>70</v>
      </c>
    </row>
    <row r="165" spans="1:5" x14ac:dyDescent="0.3">
      <c r="A165" s="2">
        <v>82</v>
      </c>
      <c r="B165" s="2">
        <v>174</v>
      </c>
      <c r="D165" s="2">
        <v>196</v>
      </c>
      <c r="E165" s="2">
        <v>70</v>
      </c>
    </row>
    <row r="166" spans="1:5" x14ac:dyDescent="0.3">
      <c r="A166" s="2">
        <v>114</v>
      </c>
      <c r="B166" s="2">
        <v>174</v>
      </c>
      <c r="D166" s="2">
        <v>23</v>
      </c>
      <c r="E166" s="2">
        <v>71</v>
      </c>
    </row>
    <row r="167" spans="1:5" x14ac:dyDescent="0.3">
      <c r="A167" s="2">
        <v>149</v>
      </c>
      <c r="B167" s="2">
        <v>174</v>
      </c>
      <c r="D167" s="2">
        <v>72</v>
      </c>
      <c r="E167" s="2">
        <v>71</v>
      </c>
    </row>
    <row r="168" spans="1:5" x14ac:dyDescent="0.3">
      <c r="A168" s="2">
        <v>160</v>
      </c>
      <c r="B168" s="2">
        <v>174</v>
      </c>
      <c r="D168" s="2">
        <v>119</v>
      </c>
      <c r="E168" s="2">
        <v>71</v>
      </c>
    </row>
    <row r="169" spans="1:5" x14ac:dyDescent="0.3">
      <c r="A169" s="2">
        <v>194</v>
      </c>
      <c r="B169" s="2">
        <v>174</v>
      </c>
      <c r="D169" s="2">
        <v>136</v>
      </c>
      <c r="E169" s="2">
        <v>71</v>
      </c>
    </row>
    <row r="170" spans="1:5" x14ac:dyDescent="0.3">
      <c r="A170" s="2">
        <v>3</v>
      </c>
      <c r="B170" s="2">
        <v>175</v>
      </c>
      <c r="D170" s="2">
        <v>162</v>
      </c>
      <c r="E170" s="2">
        <v>71</v>
      </c>
    </row>
    <row r="171" spans="1:5" x14ac:dyDescent="0.3">
      <c r="A171" s="2">
        <v>13</v>
      </c>
      <c r="B171" s="2">
        <v>175</v>
      </c>
      <c r="D171" s="2">
        <v>17</v>
      </c>
      <c r="E171" s="2">
        <v>72</v>
      </c>
    </row>
    <row r="172" spans="1:5" x14ac:dyDescent="0.3">
      <c r="A172" s="2">
        <v>24</v>
      </c>
      <c r="B172" s="2">
        <v>175</v>
      </c>
      <c r="D172" s="2">
        <v>42</v>
      </c>
      <c r="E172" s="2">
        <v>72</v>
      </c>
    </row>
    <row r="173" spans="1:5" x14ac:dyDescent="0.3">
      <c r="A173" s="2">
        <v>47</v>
      </c>
      <c r="B173" s="2">
        <v>175</v>
      </c>
      <c r="D173" s="2">
        <v>109</v>
      </c>
      <c r="E173" s="2">
        <v>72</v>
      </c>
    </row>
    <row r="174" spans="1:5" x14ac:dyDescent="0.3">
      <c r="A174" s="2">
        <v>112</v>
      </c>
      <c r="B174" s="2">
        <v>175</v>
      </c>
      <c r="D174" s="2">
        <v>125</v>
      </c>
      <c r="E174" s="2">
        <v>72</v>
      </c>
    </row>
    <row r="175" spans="1:5" x14ac:dyDescent="0.3">
      <c r="A175" s="2">
        <v>123</v>
      </c>
      <c r="B175" s="2">
        <v>175</v>
      </c>
      <c r="D175" s="2">
        <v>186</v>
      </c>
      <c r="E175" s="2">
        <v>72</v>
      </c>
    </row>
    <row r="176" spans="1:5" x14ac:dyDescent="0.3">
      <c r="A176" s="2">
        <v>155</v>
      </c>
      <c r="B176" s="2">
        <v>175</v>
      </c>
      <c r="D176" s="2">
        <v>15</v>
      </c>
      <c r="E176" s="2">
        <v>73</v>
      </c>
    </row>
    <row r="177" spans="1:5" x14ac:dyDescent="0.3">
      <c r="A177" s="2">
        <v>14</v>
      </c>
      <c r="B177" s="2">
        <v>176</v>
      </c>
      <c r="D177" s="2">
        <v>35</v>
      </c>
      <c r="E177" s="2">
        <v>73</v>
      </c>
    </row>
    <row r="178" spans="1:5" x14ac:dyDescent="0.3">
      <c r="A178" s="2">
        <v>19</v>
      </c>
      <c r="B178" s="2">
        <v>176</v>
      </c>
      <c r="D178" s="2">
        <v>51</v>
      </c>
      <c r="E178" s="2">
        <v>73</v>
      </c>
    </row>
    <row r="179" spans="1:5" x14ac:dyDescent="0.3">
      <c r="A179" s="2">
        <v>39</v>
      </c>
      <c r="B179" s="2">
        <v>176</v>
      </c>
      <c r="D179" s="2">
        <v>10</v>
      </c>
      <c r="E179" s="2">
        <v>74</v>
      </c>
    </row>
    <row r="180" spans="1:5" x14ac:dyDescent="0.3">
      <c r="A180" s="2">
        <v>116</v>
      </c>
      <c r="B180" s="2">
        <v>176</v>
      </c>
      <c r="D180" s="2">
        <v>64</v>
      </c>
      <c r="E180" s="2">
        <v>74</v>
      </c>
    </row>
    <row r="181" spans="1:5" x14ac:dyDescent="0.3">
      <c r="A181" s="2">
        <v>121</v>
      </c>
      <c r="B181" s="2">
        <v>176</v>
      </c>
      <c r="D181" s="2">
        <v>74</v>
      </c>
      <c r="E181" s="2">
        <v>74</v>
      </c>
    </row>
    <row r="182" spans="1:5" x14ac:dyDescent="0.3">
      <c r="A182" s="2">
        <v>162</v>
      </c>
      <c r="B182" s="2">
        <v>176</v>
      </c>
      <c r="D182" s="2">
        <v>149</v>
      </c>
      <c r="E182" s="2">
        <v>74</v>
      </c>
    </row>
    <row r="183" spans="1:5" x14ac:dyDescent="0.3">
      <c r="A183" s="2">
        <v>2</v>
      </c>
      <c r="B183" s="2">
        <v>177</v>
      </c>
      <c r="D183" s="2">
        <v>168</v>
      </c>
      <c r="E183" s="2">
        <v>74</v>
      </c>
    </row>
    <row r="184" spans="1:5" x14ac:dyDescent="0.3">
      <c r="A184" s="2">
        <v>79</v>
      </c>
      <c r="B184" s="2">
        <v>177</v>
      </c>
      <c r="D184" s="2">
        <v>194</v>
      </c>
      <c r="E184" s="2">
        <v>74</v>
      </c>
    </row>
    <row r="185" spans="1:5" x14ac:dyDescent="0.3">
      <c r="A185" s="2">
        <v>125</v>
      </c>
      <c r="B185" s="2">
        <v>177</v>
      </c>
      <c r="D185" s="2">
        <v>27</v>
      </c>
      <c r="E185" s="2">
        <v>75</v>
      </c>
    </row>
    <row r="186" spans="1:5" x14ac:dyDescent="0.3">
      <c r="A186" s="2">
        <v>186</v>
      </c>
      <c r="B186" s="2">
        <v>177</v>
      </c>
      <c r="D186" s="2">
        <v>49</v>
      </c>
      <c r="E186" s="2">
        <v>75</v>
      </c>
    </row>
    <row r="187" spans="1:5" x14ac:dyDescent="0.3">
      <c r="A187" s="2">
        <v>21</v>
      </c>
      <c r="B187" s="2">
        <v>178</v>
      </c>
      <c r="D187" s="2">
        <v>53</v>
      </c>
      <c r="E187" s="2">
        <v>75</v>
      </c>
    </row>
    <row r="188" spans="1:5" x14ac:dyDescent="0.3">
      <c r="A188" s="2">
        <v>51</v>
      </c>
      <c r="B188" s="2">
        <v>178</v>
      </c>
      <c r="D188" s="2">
        <v>69</v>
      </c>
      <c r="E188" s="2">
        <v>75</v>
      </c>
    </row>
    <row r="189" spans="1:5" x14ac:dyDescent="0.3">
      <c r="A189" s="2">
        <v>70</v>
      </c>
      <c r="B189" s="2">
        <v>178</v>
      </c>
      <c r="D189" s="2">
        <v>82</v>
      </c>
      <c r="E189" s="2">
        <v>75</v>
      </c>
    </row>
    <row r="190" spans="1:5" x14ac:dyDescent="0.3">
      <c r="A190" s="2">
        <v>85</v>
      </c>
      <c r="B190" s="2">
        <v>178</v>
      </c>
      <c r="D190" s="2">
        <v>99</v>
      </c>
      <c r="E190" s="2">
        <v>75</v>
      </c>
    </row>
    <row r="191" spans="1:5" x14ac:dyDescent="0.3">
      <c r="A191" s="2">
        <v>99</v>
      </c>
      <c r="B191" s="2">
        <v>178</v>
      </c>
      <c r="D191" s="2">
        <v>38</v>
      </c>
      <c r="E191" s="2">
        <v>76</v>
      </c>
    </row>
    <row r="192" spans="1:5" x14ac:dyDescent="0.3">
      <c r="A192" s="2">
        <v>72</v>
      </c>
      <c r="B192" s="2">
        <v>179</v>
      </c>
      <c r="D192" s="2">
        <v>121</v>
      </c>
      <c r="E192" s="2">
        <v>77</v>
      </c>
    </row>
    <row r="193" spans="1:5" x14ac:dyDescent="0.3">
      <c r="A193" s="2">
        <v>87</v>
      </c>
      <c r="B193" s="2">
        <v>179</v>
      </c>
      <c r="D193" s="2">
        <v>127</v>
      </c>
      <c r="E193" s="2">
        <v>77</v>
      </c>
    </row>
    <row r="194" spans="1:5" x14ac:dyDescent="0.3">
      <c r="A194" s="2">
        <v>119</v>
      </c>
      <c r="B194" s="2">
        <v>179</v>
      </c>
      <c r="D194" s="2">
        <v>123</v>
      </c>
      <c r="E194" s="2">
        <v>78</v>
      </c>
    </row>
    <row r="195" spans="1:5" x14ac:dyDescent="0.3">
      <c r="A195" s="2">
        <v>120</v>
      </c>
      <c r="B195" s="2">
        <v>179</v>
      </c>
      <c r="D195" s="2">
        <v>144</v>
      </c>
      <c r="E195" s="2">
        <v>78</v>
      </c>
    </row>
    <row r="196" spans="1:5" x14ac:dyDescent="0.3">
      <c r="A196" s="2">
        <v>140</v>
      </c>
      <c r="B196" s="2">
        <v>179</v>
      </c>
      <c r="D196" s="2">
        <v>185</v>
      </c>
      <c r="E196" s="2">
        <v>78</v>
      </c>
    </row>
    <row r="197" spans="1:5" x14ac:dyDescent="0.3">
      <c r="A197" s="2">
        <v>34</v>
      </c>
      <c r="B197" s="2">
        <v>181</v>
      </c>
      <c r="D197" s="2">
        <v>160</v>
      </c>
      <c r="E197" s="2">
        <v>79</v>
      </c>
    </row>
    <row r="198" spans="1:5" x14ac:dyDescent="0.3">
      <c r="A198" s="2">
        <v>16</v>
      </c>
      <c r="B198" s="2">
        <v>184</v>
      </c>
      <c r="D198" s="2">
        <v>112</v>
      </c>
      <c r="E198" s="2">
        <v>80</v>
      </c>
    </row>
    <row r="199" spans="1:5" x14ac:dyDescent="0.3">
      <c r="A199" s="2">
        <v>36</v>
      </c>
      <c r="B199" s="2">
        <v>184</v>
      </c>
      <c r="D199" s="2">
        <v>140</v>
      </c>
      <c r="E199" s="2">
        <v>80</v>
      </c>
    </row>
    <row r="200" spans="1:5" x14ac:dyDescent="0.3">
      <c r="A200" s="2">
        <v>67</v>
      </c>
      <c r="B200" s="2">
        <v>187</v>
      </c>
      <c r="D200" s="2">
        <v>116</v>
      </c>
      <c r="E200" s="2">
        <v>81</v>
      </c>
    </row>
    <row r="201" spans="1:5" x14ac:dyDescent="0.3">
      <c r="A201" s="2">
        <v>49</v>
      </c>
      <c r="B201" s="2">
        <v>188</v>
      </c>
      <c r="D201" s="2">
        <v>67</v>
      </c>
      <c r="E201" s="2">
        <v>84</v>
      </c>
    </row>
  </sheetData>
  <sortState xmlns:xlrd2="http://schemas.microsoft.com/office/spreadsheetml/2017/richdata2" ref="D2:E201">
    <sortCondition ref="E2:E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AE4F-FFFD-4B3B-B106-5D60B140EA36}">
  <dimension ref="A1:M201"/>
  <sheetViews>
    <sheetView topLeftCell="B1" workbookViewId="0">
      <selection activeCell="F16" sqref="F16"/>
    </sheetView>
  </sheetViews>
  <sheetFormatPr defaultRowHeight="14.4" x14ac:dyDescent="0.3"/>
  <cols>
    <col min="6" max="6" width="12" bestFit="1" customWidth="1"/>
    <col min="7" max="7" width="12.44140625" bestFit="1" customWidth="1"/>
    <col min="8" max="8" width="16.77734375" bestFit="1" customWidth="1"/>
    <col min="9" max="9" width="16" bestFit="1" customWidth="1"/>
    <col min="10" max="11" width="12.44140625" bestFit="1" customWidth="1"/>
    <col min="12" max="12" width="16.77734375" bestFit="1" customWidth="1"/>
    <col min="13" max="13" width="16" bestFit="1" customWidth="1"/>
  </cols>
  <sheetData>
    <row r="1" spans="1:13" x14ac:dyDescent="0.3">
      <c r="A1" t="s">
        <v>1</v>
      </c>
      <c r="B1" t="s">
        <v>2</v>
      </c>
      <c r="D1" t="s">
        <v>8</v>
      </c>
      <c r="E1" t="s">
        <v>9</v>
      </c>
      <c r="G1" s="16" t="s">
        <v>1</v>
      </c>
      <c r="H1" s="16"/>
      <c r="I1" s="16"/>
      <c r="K1" s="17" t="s">
        <v>2</v>
      </c>
      <c r="L1" s="17"/>
      <c r="M1" s="17"/>
    </row>
    <row r="2" spans="1:13" x14ac:dyDescent="0.3">
      <c r="A2" s="2">
        <v>156</v>
      </c>
      <c r="B2" s="2">
        <v>48</v>
      </c>
      <c r="C2" s="5"/>
      <c r="D2">
        <v>156</v>
      </c>
      <c r="E2">
        <v>188</v>
      </c>
      <c r="G2" s="4" t="s">
        <v>7</v>
      </c>
      <c r="H2" s="4" t="s">
        <v>5</v>
      </c>
      <c r="I2" s="4" t="s">
        <v>6</v>
      </c>
      <c r="K2" s="4" t="s">
        <v>7</v>
      </c>
      <c r="L2" s="4" t="s">
        <v>5</v>
      </c>
      <c r="M2" s="4" t="s">
        <v>6</v>
      </c>
    </row>
    <row r="3" spans="1:13" x14ac:dyDescent="0.3">
      <c r="A3" s="2">
        <v>156</v>
      </c>
      <c r="B3" s="2">
        <v>50</v>
      </c>
      <c r="C3" s="5"/>
      <c r="G3">
        <v>1</v>
      </c>
      <c r="H3">
        <v>156</v>
      </c>
      <c r="I3" s="7">
        <f>H3 + $D$9</f>
        <v>159.19999999999999</v>
      </c>
      <c r="K3">
        <v>1</v>
      </c>
      <c r="L3">
        <v>48</v>
      </c>
      <c r="M3">
        <v>51.6</v>
      </c>
    </row>
    <row r="4" spans="1:13" x14ac:dyDescent="0.3">
      <c r="A4" s="2">
        <v>156</v>
      </c>
      <c r="B4" s="2">
        <v>50</v>
      </c>
      <c r="C4" s="5"/>
      <c r="G4">
        <v>2</v>
      </c>
      <c r="H4" s="7">
        <f>H3 + $D$9</f>
        <v>159.19999999999999</v>
      </c>
      <c r="I4" s="7">
        <f t="shared" ref="I4:I12" si="0">H4 + $D$9</f>
        <v>162.39999999999998</v>
      </c>
      <c r="K4">
        <v>2</v>
      </c>
      <c r="L4">
        <f>L3+$E$9</f>
        <v>51.6</v>
      </c>
      <c r="M4">
        <f>M3+$E$9</f>
        <v>55.2</v>
      </c>
    </row>
    <row r="5" spans="1:13" x14ac:dyDescent="0.3">
      <c r="A5" s="2">
        <v>156</v>
      </c>
      <c r="B5" s="2">
        <v>51</v>
      </c>
      <c r="C5" s="5"/>
      <c r="D5" t="s">
        <v>10</v>
      </c>
      <c r="E5" t="s">
        <v>11</v>
      </c>
      <c r="G5">
        <v>3</v>
      </c>
      <c r="H5" s="7">
        <f t="shared" ref="H5:H12" si="1">H4 + $D$9</f>
        <v>162.39999999999998</v>
      </c>
      <c r="I5" s="7">
        <f t="shared" si="0"/>
        <v>165.59999999999997</v>
      </c>
      <c r="K5">
        <v>3</v>
      </c>
      <c r="L5">
        <f t="shared" ref="L5:L12" si="2">L4+$E$9</f>
        <v>55.2</v>
      </c>
      <c r="M5">
        <f t="shared" ref="M5:M12" si="3">M4+$E$9</f>
        <v>58.800000000000004</v>
      </c>
    </row>
    <row r="6" spans="1:13" x14ac:dyDescent="0.3">
      <c r="A6" s="2">
        <v>157</v>
      </c>
      <c r="B6" s="2">
        <v>52</v>
      </c>
      <c r="C6" s="5"/>
      <c r="D6">
        <v>48</v>
      </c>
      <c r="E6">
        <v>84</v>
      </c>
      <c r="G6">
        <v>4</v>
      </c>
      <c r="H6" s="7">
        <f t="shared" si="1"/>
        <v>165.59999999999997</v>
      </c>
      <c r="I6" s="7">
        <f t="shared" si="0"/>
        <v>168.79999999999995</v>
      </c>
      <c r="K6">
        <v>4</v>
      </c>
      <c r="L6">
        <f t="shared" si="2"/>
        <v>58.800000000000004</v>
      </c>
      <c r="M6">
        <f t="shared" si="3"/>
        <v>62.400000000000006</v>
      </c>
    </row>
    <row r="7" spans="1:13" x14ac:dyDescent="0.3">
      <c r="A7" s="2">
        <v>158</v>
      </c>
      <c r="B7" s="2">
        <v>53</v>
      </c>
      <c r="C7" s="5"/>
      <c r="G7">
        <v>5</v>
      </c>
      <c r="H7" s="7">
        <f t="shared" si="1"/>
        <v>168.79999999999995</v>
      </c>
      <c r="I7" s="7">
        <f t="shared" si="0"/>
        <v>171.99999999999994</v>
      </c>
      <c r="K7">
        <v>5</v>
      </c>
      <c r="L7">
        <f t="shared" si="2"/>
        <v>62.400000000000006</v>
      </c>
      <c r="M7">
        <f t="shared" si="3"/>
        <v>66</v>
      </c>
    </row>
    <row r="8" spans="1:13" x14ac:dyDescent="0.3">
      <c r="A8" s="2">
        <v>159</v>
      </c>
      <c r="B8" s="2">
        <v>54</v>
      </c>
      <c r="C8" s="5"/>
      <c r="D8" t="s">
        <v>12</v>
      </c>
      <c r="E8" t="s">
        <v>13</v>
      </c>
      <c r="G8">
        <v>6</v>
      </c>
      <c r="H8" s="7">
        <f t="shared" si="1"/>
        <v>171.99999999999994</v>
      </c>
      <c r="I8" s="7">
        <f t="shared" si="0"/>
        <v>175.19999999999993</v>
      </c>
      <c r="K8">
        <v>6</v>
      </c>
      <c r="L8">
        <f t="shared" si="2"/>
        <v>66</v>
      </c>
      <c r="M8">
        <f t="shared" si="3"/>
        <v>69.599999999999994</v>
      </c>
    </row>
    <row r="9" spans="1:13" x14ac:dyDescent="0.3">
      <c r="A9" s="2">
        <v>159</v>
      </c>
      <c r="B9" s="2">
        <v>55</v>
      </c>
      <c r="C9" s="5"/>
      <c r="D9" s="7">
        <v>3.2</v>
      </c>
      <c r="E9">
        <v>3.6</v>
      </c>
      <c r="G9">
        <v>7</v>
      </c>
      <c r="H9" s="7">
        <f t="shared" si="1"/>
        <v>175.19999999999993</v>
      </c>
      <c r="I9" s="7">
        <f t="shared" si="0"/>
        <v>178.39999999999992</v>
      </c>
      <c r="K9">
        <v>7</v>
      </c>
      <c r="L9">
        <f t="shared" si="2"/>
        <v>69.599999999999994</v>
      </c>
      <c r="M9">
        <f t="shared" si="3"/>
        <v>73.199999999999989</v>
      </c>
    </row>
    <row r="10" spans="1:13" x14ac:dyDescent="0.3">
      <c r="A10" s="2">
        <v>159</v>
      </c>
      <c r="B10" s="2">
        <v>55</v>
      </c>
      <c r="C10" s="5"/>
      <c r="G10">
        <v>8</v>
      </c>
      <c r="H10" s="7">
        <f t="shared" si="1"/>
        <v>178.39999999999992</v>
      </c>
      <c r="I10" s="7">
        <f t="shared" si="0"/>
        <v>181.59999999999991</v>
      </c>
      <c r="K10">
        <v>8</v>
      </c>
      <c r="L10">
        <f t="shared" si="2"/>
        <v>73.199999999999989</v>
      </c>
      <c r="M10">
        <f t="shared" si="3"/>
        <v>76.799999999999983</v>
      </c>
    </row>
    <row r="11" spans="1:13" x14ac:dyDescent="0.3">
      <c r="A11" s="2">
        <v>159</v>
      </c>
      <c r="B11" s="2">
        <v>55</v>
      </c>
      <c r="C11" s="5"/>
      <c r="G11">
        <v>9</v>
      </c>
      <c r="H11" s="7">
        <f t="shared" si="1"/>
        <v>181.59999999999991</v>
      </c>
      <c r="I11" s="7">
        <f t="shared" si="0"/>
        <v>184.7999999999999</v>
      </c>
      <c r="K11">
        <v>9</v>
      </c>
      <c r="L11">
        <f t="shared" si="2"/>
        <v>76.799999999999983</v>
      </c>
      <c r="M11">
        <f t="shared" si="3"/>
        <v>80.399999999999977</v>
      </c>
    </row>
    <row r="12" spans="1:13" x14ac:dyDescent="0.3">
      <c r="A12" s="2">
        <v>160</v>
      </c>
      <c r="B12" s="2">
        <v>55</v>
      </c>
      <c r="C12" s="5"/>
      <c r="G12">
        <v>10</v>
      </c>
      <c r="H12" s="7">
        <f t="shared" si="1"/>
        <v>184.7999999999999</v>
      </c>
      <c r="I12" s="7">
        <f t="shared" si="0"/>
        <v>187.99999999999989</v>
      </c>
      <c r="K12">
        <v>10</v>
      </c>
      <c r="L12">
        <f t="shared" si="2"/>
        <v>80.399999999999977</v>
      </c>
      <c r="M12">
        <f t="shared" si="3"/>
        <v>83.999999999999972</v>
      </c>
    </row>
    <row r="13" spans="1:13" x14ac:dyDescent="0.3">
      <c r="A13" s="2">
        <v>160</v>
      </c>
      <c r="B13" s="2">
        <v>55</v>
      </c>
    </row>
    <row r="14" spans="1:13" x14ac:dyDescent="0.3">
      <c r="A14" s="2">
        <v>161</v>
      </c>
      <c r="B14" s="2">
        <v>55</v>
      </c>
    </row>
    <row r="15" spans="1:13" x14ac:dyDescent="0.3">
      <c r="A15" s="2">
        <v>161</v>
      </c>
      <c r="B15" s="2">
        <v>55</v>
      </c>
    </row>
    <row r="16" spans="1:13" x14ac:dyDescent="0.3">
      <c r="A16" s="2">
        <v>161</v>
      </c>
      <c r="B16" s="2">
        <v>56</v>
      </c>
    </row>
    <row r="17" spans="1:2" x14ac:dyDescent="0.3">
      <c r="A17" s="2">
        <v>161</v>
      </c>
      <c r="B17" s="2">
        <v>56</v>
      </c>
    </row>
    <row r="18" spans="1:2" x14ac:dyDescent="0.3">
      <c r="A18" s="2">
        <v>161</v>
      </c>
      <c r="B18" s="2">
        <v>57</v>
      </c>
    </row>
    <row r="19" spans="1:2" x14ac:dyDescent="0.3">
      <c r="A19" s="2">
        <v>162</v>
      </c>
      <c r="B19" s="2">
        <v>57</v>
      </c>
    </row>
    <row r="20" spans="1:2" x14ac:dyDescent="0.3">
      <c r="A20" s="2">
        <v>162</v>
      </c>
      <c r="B20" s="2">
        <v>57</v>
      </c>
    </row>
    <row r="21" spans="1:2" x14ac:dyDescent="0.3">
      <c r="A21" s="2">
        <v>162</v>
      </c>
      <c r="B21" s="2">
        <v>58</v>
      </c>
    </row>
    <row r="22" spans="1:2" x14ac:dyDescent="0.3">
      <c r="A22" s="2">
        <v>163</v>
      </c>
      <c r="B22" s="2">
        <v>59</v>
      </c>
    </row>
    <row r="23" spans="1:2" x14ac:dyDescent="0.3">
      <c r="A23" s="2">
        <v>163</v>
      </c>
      <c r="B23" s="2">
        <v>59</v>
      </c>
    </row>
    <row r="24" spans="1:2" x14ac:dyDescent="0.3">
      <c r="A24" s="2">
        <v>163</v>
      </c>
      <c r="B24" s="2">
        <v>59</v>
      </c>
    </row>
    <row r="25" spans="1:2" x14ac:dyDescent="0.3">
      <c r="A25" s="2">
        <v>163</v>
      </c>
      <c r="B25" s="2">
        <v>59</v>
      </c>
    </row>
    <row r="26" spans="1:2" x14ac:dyDescent="0.3">
      <c r="A26" s="2">
        <v>163</v>
      </c>
      <c r="B26" s="2">
        <v>59</v>
      </c>
    </row>
    <row r="27" spans="1:2" x14ac:dyDescent="0.3">
      <c r="A27" s="2">
        <v>163</v>
      </c>
      <c r="B27" s="2">
        <v>59</v>
      </c>
    </row>
    <row r="28" spans="1:2" x14ac:dyDescent="0.3">
      <c r="A28" s="2">
        <v>163</v>
      </c>
      <c r="B28" s="2">
        <v>59</v>
      </c>
    </row>
    <row r="29" spans="1:2" x14ac:dyDescent="0.3">
      <c r="A29" s="2">
        <v>164</v>
      </c>
      <c r="B29" s="2">
        <v>59</v>
      </c>
    </row>
    <row r="30" spans="1:2" x14ac:dyDescent="0.3">
      <c r="A30" s="2">
        <v>164</v>
      </c>
      <c r="B30" s="2">
        <v>59</v>
      </c>
    </row>
    <row r="31" spans="1:2" x14ac:dyDescent="0.3">
      <c r="A31" s="2">
        <v>164</v>
      </c>
      <c r="B31" s="2">
        <v>59</v>
      </c>
    </row>
    <row r="32" spans="1:2" x14ac:dyDescent="0.3">
      <c r="A32" s="2">
        <v>164</v>
      </c>
      <c r="B32" s="2">
        <v>59</v>
      </c>
    </row>
    <row r="33" spans="1:2" x14ac:dyDescent="0.3">
      <c r="A33" s="2">
        <v>164</v>
      </c>
      <c r="B33" s="2">
        <v>60</v>
      </c>
    </row>
    <row r="34" spans="1:2" x14ac:dyDescent="0.3">
      <c r="A34" s="2">
        <v>164</v>
      </c>
      <c r="B34" s="2">
        <v>60</v>
      </c>
    </row>
    <row r="35" spans="1:2" x14ac:dyDescent="0.3">
      <c r="A35" s="2">
        <v>164</v>
      </c>
      <c r="B35" s="2">
        <v>60</v>
      </c>
    </row>
    <row r="36" spans="1:2" x14ac:dyDescent="0.3">
      <c r="A36" s="2">
        <v>164</v>
      </c>
      <c r="B36" s="2">
        <v>60</v>
      </c>
    </row>
    <row r="37" spans="1:2" x14ac:dyDescent="0.3">
      <c r="A37" s="2">
        <v>164</v>
      </c>
      <c r="B37" s="2">
        <v>60</v>
      </c>
    </row>
    <row r="38" spans="1:2" x14ac:dyDescent="0.3">
      <c r="A38" s="2">
        <v>164</v>
      </c>
      <c r="B38" s="2">
        <v>60</v>
      </c>
    </row>
    <row r="39" spans="1:2" x14ac:dyDescent="0.3">
      <c r="A39" s="2">
        <v>164</v>
      </c>
      <c r="B39" s="2">
        <v>60</v>
      </c>
    </row>
    <row r="40" spans="1:2" x14ac:dyDescent="0.3">
      <c r="A40" s="2">
        <v>164</v>
      </c>
      <c r="B40" s="2">
        <v>60</v>
      </c>
    </row>
    <row r="41" spans="1:2" x14ac:dyDescent="0.3">
      <c r="A41" s="2">
        <v>164</v>
      </c>
      <c r="B41" s="2">
        <v>60</v>
      </c>
    </row>
    <row r="42" spans="1:2" x14ac:dyDescent="0.3">
      <c r="A42" s="2">
        <v>164</v>
      </c>
      <c r="B42" s="2">
        <v>60</v>
      </c>
    </row>
    <row r="43" spans="1:2" x14ac:dyDescent="0.3">
      <c r="A43" s="2">
        <v>165</v>
      </c>
      <c r="B43" s="2">
        <v>60</v>
      </c>
    </row>
    <row r="44" spans="1:2" x14ac:dyDescent="0.3">
      <c r="A44" s="2">
        <v>165</v>
      </c>
      <c r="B44" s="2">
        <v>60</v>
      </c>
    </row>
    <row r="45" spans="1:2" x14ac:dyDescent="0.3">
      <c r="A45" s="2">
        <v>165</v>
      </c>
      <c r="B45" s="2">
        <v>60</v>
      </c>
    </row>
    <row r="46" spans="1:2" x14ac:dyDescent="0.3">
      <c r="A46" s="2">
        <v>165</v>
      </c>
      <c r="B46" s="2">
        <v>61</v>
      </c>
    </row>
    <row r="47" spans="1:2" x14ac:dyDescent="0.3">
      <c r="A47" s="2">
        <v>165</v>
      </c>
      <c r="B47" s="2">
        <v>61</v>
      </c>
    </row>
    <row r="48" spans="1:2" x14ac:dyDescent="0.3">
      <c r="A48" s="2">
        <v>165</v>
      </c>
      <c r="B48" s="2">
        <v>61</v>
      </c>
    </row>
    <row r="49" spans="1:2" x14ac:dyDescent="0.3">
      <c r="A49" s="2">
        <v>165</v>
      </c>
      <c r="B49" s="2">
        <v>61</v>
      </c>
    </row>
    <row r="50" spans="1:2" x14ac:dyDescent="0.3">
      <c r="A50" s="2">
        <v>165</v>
      </c>
      <c r="B50" s="2">
        <v>61</v>
      </c>
    </row>
    <row r="51" spans="1:2" x14ac:dyDescent="0.3">
      <c r="A51" s="2">
        <v>165</v>
      </c>
      <c r="B51" s="2">
        <v>61</v>
      </c>
    </row>
    <row r="52" spans="1:2" x14ac:dyDescent="0.3">
      <c r="A52" s="2">
        <v>165</v>
      </c>
      <c r="B52" s="2">
        <v>61</v>
      </c>
    </row>
    <row r="53" spans="1:2" x14ac:dyDescent="0.3">
      <c r="A53" s="2">
        <v>166</v>
      </c>
      <c r="B53" s="2">
        <v>61</v>
      </c>
    </row>
    <row r="54" spans="1:2" x14ac:dyDescent="0.3">
      <c r="A54" s="2">
        <v>166</v>
      </c>
      <c r="B54" s="2">
        <v>61</v>
      </c>
    </row>
    <row r="55" spans="1:2" x14ac:dyDescent="0.3">
      <c r="A55" s="2">
        <v>166</v>
      </c>
      <c r="B55" s="2">
        <v>61</v>
      </c>
    </row>
    <row r="56" spans="1:2" x14ac:dyDescent="0.3">
      <c r="A56" s="2">
        <v>166</v>
      </c>
      <c r="B56" s="2">
        <v>61</v>
      </c>
    </row>
    <row r="57" spans="1:2" x14ac:dyDescent="0.3">
      <c r="A57" s="2">
        <v>166</v>
      </c>
      <c r="B57" s="2">
        <v>62</v>
      </c>
    </row>
    <row r="58" spans="1:2" x14ac:dyDescent="0.3">
      <c r="A58" s="2">
        <v>166</v>
      </c>
      <c r="B58" s="2">
        <v>62</v>
      </c>
    </row>
    <row r="59" spans="1:2" x14ac:dyDescent="0.3">
      <c r="A59" s="2">
        <v>166</v>
      </c>
      <c r="B59" s="2">
        <v>62</v>
      </c>
    </row>
    <row r="60" spans="1:2" x14ac:dyDescent="0.3">
      <c r="A60" s="2">
        <v>166</v>
      </c>
      <c r="B60" s="2">
        <v>62</v>
      </c>
    </row>
    <row r="61" spans="1:2" x14ac:dyDescent="0.3">
      <c r="A61" s="2">
        <v>166</v>
      </c>
      <c r="B61" s="2">
        <v>62</v>
      </c>
    </row>
    <row r="62" spans="1:2" x14ac:dyDescent="0.3">
      <c r="A62" s="2">
        <v>166</v>
      </c>
      <c r="B62" s="2">
        <v>62</v>
      </c>
    </row>
    <row r="63" spans="1:2" x14ac:dyDescent="0.3">
      <c r="A63" s="2">
        <v>166</v>
      </c>
      <c r="B63" s="2">
        <v>62</v>
      </c>
    </row>
    <row r="64" spans="1:2" x14ac:dyDescent="0.3">
      <c r="A64" s="2">
        <v>167</v>
      </c>
      <c r="B64" s="2">
        <v>62</v>
      </c>
    </row>
    <row r="65" spans="1:2" x14ac:dyDescent="0.3">
      <c r="A65" s="2">
        <v>167</v>
      </c>
      <c r="B65" s="2">
        <v>62</v>
      </c>
    </row>
    <row r="66" spans="1:2" x14ac:dyDescent="0.3">
      <c r="A66" s="2">
        <v>167</v>
      </c>
      <c r="B66" s="2">
        <v>62</v>
      </c>
    </row>
    <row r="67" spans="1:2" x14ac:dyDescent="0.3">
      <c r="A67" s="2">
        <v>167</v>
      </c>
      <c r="B67" s="2">
        <v>63</v>
      </c>
    </row>
    <row r="68" spans="1:2" x14ac:dyDescent="0.3">
      <c r="A68" s="2">
        <v>167</v>
      </c>
      <c r="B68" s="2">
        <v>63</v>
      </c>
    </row>
    <row r="69" spans="1:2" x14ac:dyDescent="0.3">
      <c r="A69" s="2">
        <v>167</v>
      </c>
      <c r="B69" s="2">
        <v>63</v>
      </c>
    </row>
    <row r="70" spans="1:2" x14ac:dyDescent="0.3">
      <c r="A70" s="2">
        <v>167</v>
      </c>
      <c r="B70" s="2">
        <v>63</v>
      </c>
    </row>
    <row r="71" spans="1:2" x14ac:dyDescent="0.3">
      <c r="A71" s="2">
        <v>167</v>
      </c>
      <c r="B71" s="2">
        <v>63</v>
      </c>
    </row>
    <row r="72" spans="1:2" x14ac:dyDescent="0.3">
      <c r="A72" s="2">
        <v>168</v>
      </c>
      <c r="B72" s="2">
        <v>63</v>
      </c>
    </row>
    <row r="73" spans="1:2" x14ac:dyDescent="0.3">
      <c r="A73" s="2">
        <v>168</v>
      </c>
      <c r="B73" s="2">
        <v>63</v>
      </c>
    </row>
    <row r="74" spans="1:2" x14ac:dyDescent="0.3">
      <c r="A74" s="2">
        <v>168</v>
      </c>
      <c r="B74" s="2">
        <v>63</v>
      </c>
    </row>
    <row r="75" spans="1:2" x14ac:dyDescent="0.3">
      <c r="A75" s="2">
        <v>168</v>
      </c>
      <c r="B75" s="2">
        <v>63</v>
      </c>
    </row>
    <row r="76" spans="1:2" x14ac:dyDescent="0.3">
      <c r="A76" s="2">
        <v>168</v>
      </c>
      <c r="B76" s="2">
        <v>63</v>
      </c>
    </row>
    <row r="77" spans="1:2" x14ac:dyDescent="0.3">
      <c r="A77" s="2">
        <v>168</v>
      </c>
      <c r="B77" s="2">
        <v>63</v>
      </c>
    </row>
    <row r="78" spans="1:2" x14ac:dyDescent="0.3">
      <c r="A78" s="2">
        <v>168</v>
      </c>
      <c r="B78" s="2">
        <v>63</v>
      </c>
    </row>
    <row r="79" spans="1:2" x14ac:dyDescent="0.3">
      <c r="A79" s="2">
        <v>168</v>
      </c>
      <c r="B79" s="2">
        <v>63</v>
      </c>
    </row>
    <row r="80" spans="1:2" x14ac:dyDescent="0.3">
      <c r="A80" s="2">
        <v>168</v>
      </c>
      <c r="B80" s="2">
        <v>63</v>
      </c>
    </row>
    <row r="81" spans="1:2" x14ac:dyDescent="0.3">
      <c r="A81" s="2">
        <v>168</v>
      </c>
      <c r="B81" s="2">
        <v>63</v>
      </c>
    </row>
    <row r="82" spans="1:2" x14ac:dyDescent="0.3">
      <c r="A82" s="2">
        <v>168</v>
      </c>
      <c r="B82" s="2">
        <v>63</v>
      </c>
    </row>
    <row r="83" spans="1:2" x14ac:dyDescent="0.3">
      <c r="A83" s="2">
        <v>168</v>
      </c>
      <c r="B83" s="2">
        <v>63</v>
      </c>
    </row>
    <row r="84" spans="1:2" x14ac:dyDescent="0.3">
      <c r="A84" s="2">
        <v>168</v>
      </c>
      <c r="B84" s="2">
        <v>64</v>
      </c>
    </row>
    <row r="85" spans="1:2" x14ac:dyDescent="0.3">
      <c r="A85" s="2">
        <v>168</v>
      </c>
      <c r="B85" s="2">
        <v>64</v>
      </c>
    </row>
    <row r="86" spans="1:2" x14ac:dyDescent="0.3">
      <c r="A86" s="2">
        <v>168</v>
      </c>
      <c r="B86" s="2">
        <v>64</v>
      </c>
    </row>
    <row r="87" spans="1:2" x14ac:dyDescent="0.3">
      <c r="A87" s="2">
        <v>169</v>
      </c>
      <c r="B87" s="2">
        <v>64</v>
      </c>
    </row>
    <row r="88" spans="1:2" x14ac:dyDescent="0.3">
      <c r="A88" s="2">
        <v>169</v>
      </c>
      <c r="B88" s="2">
        <v>64</v>
      </c>
    </row>
    <row r="89" spans="1:2" x14ac:dyDescent="0.3">
      <c r="A89" s="2">
        <v>169</v>
      </c>
      <c r="B89" s="2">
        <v>64</v>
      </c>
    </row>
    <row r="90" spans="1:2" x14ac:dyDescent="0.3">
      <c r="A90" s="2">
        <v>169</v>
      </c>
      <c r="B90" s="2">
        <v>64</v>
      </c>
    </row>
    <row r="91" spans="1:2" x14ac:dyDescent="0.3">
      <c r="A91" s="2">
        <v>169</v>
      </c>
      <c r="B91" s="2">
        <v>64</v>
      </c>
    </row>
    <row r="92" spans="1:2" x14ac:dyDescent="0.3">
      <c r="A92" s="2">
        <v>169</v>
      </c>
      <c r="B92" s="2">
        <v>64</v>
      </c>
    </row>
    <row r="93" spans="1:2" x14ac:dyDescent="0.3">
      <c r="A93" s="2">
        <v>169</v>
      </c>
      <c r="B93" s="2">
        <v>64</v>
      </c>
    </row>
    <row r="94" spans="1:2" x14ac:dyDescent="0.3">
      <c r="A94" s="2">
        <v>169</v>
      </c>
      <c r="B94" s="2">
        <v>65</v>
      </c>
    </row>
    <row r="95" spans="1:2" x14ac:dyDescent="0.3">
      <c r="A95" s="2">
        <v>169</v>
      </c>
      <c r="B95" s="2">
        <v>65</v>
      </c>
    </row>
    <row r="96" spans="1:2" x14ac:dyDescent="0.3">
      <c r="A96" s="2">
        <v>169</v>
      </c>
      <c r="B96" s="2">
        <v>65</v>
      </c>
    </row>
    <row r="97" spans="1:2" x14ac:dyDescent="0.3">
      <c r="A97" s="2">
        <v>169</v>
      </c>
      <c r="B97" s="2">
        <v>65</v>
      </c>
    </row>
    <row r="98" spans="1:2" x14ac:dyDescent="0.3">
      <c r="A98" s="2">
        <v>169</v>
      </c>
      <c r="B98" s="2">
        <v>65</v>
      </c>
    </row>
    <row r="99" spans="1:2" x14ac:dyDescent="0.3">
      <c r="A99" s="2">
        <v>169</v>
      </c>
      <c r="B99" s="2">
        <v>65</v>
      </c>
    </row>
    <row r="100" spans="1:2" x14ac:dyDescent="0.3">
      <c r="A100" s="2">
        <v>170</v>
      </c>
      <c r="B100" s="2">
        <v>65</v>
      </c>
    </row>
    <row r="101" spans="1:2" x14ac:dyDescent="0.3">
      <c r="A101" s="2">
        <v>170</v>
      </c>
      <c r="B101" s="2">
        <v>65</v>
      </c>
    </row>
    <row r="102" spans="1:2" x14ac:dyDescent="0.3">
      <c r="A102" s="2">
        <v>170</v>
      </c>
      <c r="B102" s="2">
        <v>65</v>
      </c>
    </row>
    <row r="103" spans="1:2" x14ac:dyDescent="0.3">
      <c r="A103" s="2">
        <v>170</v>
      </c>
      <c r="B103" s="2">
        <v>65</v>
      </c>
    </row>
    <row r="104" spans="1:2" x14ac:dyDescent="0.3">
      <c r="A104" s="2">
        <v>170</v>
      </c>
      <c r="B104" s="2">
        <v>66</v>
      </c>
    </row>
    <row r="105" spans="1:2" x14ac:dyDescent="0.3">
      <c r="A105" s="2">
        <v>170</v>
      </c>
      <c r="B105" s="2">
        <v>66</v>
      </c>
    </row>
    <row r="106" spans="1:2" x14ac:dyDescent="0.3">
      <c r="A106" s="2">
        <v>170</v>
      </c>
      <c r="B106" s="2">
        <v>66</v>
      </c>
    </row>
    <row r="107" spans="1:2" x14ac:dyDescent="0.3">
      <c r="A107" s="2">
        <v>170</v>
      </c>
      <c r="B107" s="2">
        <v>66</v>
      </c>
    </row>
    <row r="108" spans="1:2" x14ac:dyDescent="0.3">
      <c r="A108" s="2">
        <v>170</v>
      </c>
      <c r="B108" s="2">
        <v>66</v>
      </c>
    </row>
    <row r="109" spans="1:2" x14ac:dyDescent="0.3">
      <c r="A109" s="2">
        <v>170</v>
      </c>
      <c r="B109" s="2">
        <v>66</v>
      </c>
    </row>
    <row r="110" spans="1:2" x14ac:dyDescent="0.3">
      <c r="A110" s="2">
        <v>170</v>
      </c>
      <c r="B110" s="2">
        <v>66</v>
      </c>
    </row>
    <row r="111" spans="1:2" x14ac:dyDescent="0.3">
      <c r="A111" s="2">
        <v>170</v>
      </c>
      <c r="B111" s="2">
        <v>66</v>
      </c>
    </row>
    <row r="112" spans="1:2" x14ac:dyDescent="0.3">
      <c r="A112" s="2">
        <v>170</v>
      </c>
      <c r="B112" s="2">
        <v>66</v>
      </c>
    </row>
    <row r="113" spans="1:2" x14ac:dyDescent="0.3">
      <c r="A113" s="2">
        <v>171</v>
      </c>
      <c r="B113" s="2">
        <v>66</v>
      </c>
    </row>
    <row r="114" spans="1:2" x14ac:dyDescent="0.3">
      <c r="A114" s="2">
        <v>171</v>
      </c>
      <c r="B114" s="2">
        <v>66</v>
      </c>
    </row>
    <row r="115" spans="1:2" x14ac:dyDescent="0.3">
      <c r="A115" s="2">
        <v>171</v>
      </c>
      <c r="B115" s="2">
        <v>66</v>
      </c>
    </row>
    <row r="116" spans="1:2" x14ac:dyDescent="0.3">
      <c r="A116" s="2">
        <v>171</v>
      </c>
      <c r="B116" s="2">
        <v>66</v>
      </c>
    </row>
    <row r="117" spans="1:2" x14ac:dyDescent="0.3">
      <c r="A117" s="2">
        <v>171</v>
      </c>
      <c r="B117" s="2">
        <v>66</v>
      </c>
    </row>
    <row r="118" spans="1:2" x14ac:dyDescent="0.3">
      <c r="A118" s="2">
        <v>171</v>
      </c>
      <c r="B118" s="2">
        <v>66</v>
      </c>
    </row>
    <row r="119" spans="1:2" x14ac:dyDescent="0.3">
      <c r="A119" s="2">
        <v>171</v>
      </c>
      <c r="B119" s="2">
        <v>66</v>
      </c>
    </row>
    <row r="120" spans="1:2" x14ac:dyDescent="0.3">
      <c r="A120" s="2">
        <v>171</v>
      </c>
      <c r="B120" s="2">
        <v>66</v>
      </c>
    </row>
    <row r="121" spans="1:2" x14ac:dyDescent="0.3">
      <c r="A121" s="2">
        <v>171</v>
      </c>
      <c r="B121" s="2">
        <v>67</v>
      </c>
    </row>
    <row r="122" spans="1:2" x14ac:dyDescent="0.3">
      <c r="A122" s="2">
        <v>171</v>
      </c>
      <c r="B122" s="2">
        <v>67</v>
      </c>
    </row>
    <row r="123" spans="1:2" x14ac:dyDescent="0.3">
      <c r="A123" s="2">
        <v>171</v>
      </c>
      <c r="B123" s="2">
        <v>67</v>
      </c>
    </row>
    <row r="124" spans="1:2" x14ac:dyDescent="0.3">
      <c r="A124" s="2">
        <v>171</v>
      </c>
      <c r="B124" s="2">
        <v>67</v>
      </c>
    </row>
    <row r="125" spans="1:2" x14ac:dyDescent="0.3">
      <c r="A125" s="2">
        <v>171</v>
      </c>
      <c r="B125" s="2">
        <v>67</v>
      </c>
    </row>
    <row r="126" spans="1:2" x14ac:dyDescent="0.3">
      <c r="A126" s="2">
        <v>171</v>
      </c>
      <c r="B126" s="2">
        <v>67</v>
      </c>
    </row>
    <row r="127" spans="1:2" x14ac:dyDescent="0.3">
      <c r="A127" s="2">
        <v>171</v>
      </c>
      <c r="B127" s="2">
        <v>67</v>
      </c>
    </row>
    <row r="128" spans="1:2" x14ac:dyDescent="0.3">
      <c r="A128" s="2">
        <v>171</v>
      </c>
      <c r="B128" s="2">
        <v>67</v>
      </c>
    </row>
    <row r="129" spans="1:2" x14ac:dyDescent="0.3">
      <c r="A129" s="2">
        <v>171</v>
      </c>
      <c r="B129" s="2">
        <v>67</v>
      </c>
    </row>
    <row r="130" spans="1:2" x14ac:dyDescent="0.3">
      <c r="A130" s="2">
        <v>171</v>
      </c>
      <c r="B130" s="2">
        <v>67</v>
      </c>
    </row>
    <row r="131" spans="1:2" x14ac:dyDescent="0.3">
      <c r="A131" s="2">
        <v>171</v>
      </c>
      <c r="B131" s="2">
        <v>67</v>
      </c>
    </row>
    <row r="132" spans="1:2" x14ac:dyDescent="0.3">
      <c r="A132" s="2">
        <v>171</v>
      </c>
      <c r="B132" s="2">
        <v>67</v>
      </c>
    </row>
    <row r="133" spans="1:2" x14ac:dyDescent="0.3">
      <c r="A133" s="2">
        <v>171</v>
      </c>
      <c r="B133" s="2">
        <v>67</v>
      </c>
    </row>
    <row r="134" spans="1:2" x14ac:dyDescent="0.3">
      <c r="A134" s="2">
        <v>171</v>
      </c>
      <c r="B134" s="2">
        <v>67</v>
      </c>
    </row>
    <row r="135" spans="1:2" x14ac:dyDescent="0.3">
      <c r="A135" s="2">
        <v>172</v>
      </c>
      <c r="B135" s="2">
        <v>67</v>
      </c>
    </row>
    <row r="136" spans="1:2" x14ac:dyDescent="0.3">
      <c r="A136" s="2">
        <v>172</v>
      </c>
      <c r="B136" s="2">
        <v>67</v>
      </c>
    </row>
    <row r="137" spans="1:2" x14ac:dyDescent="0.3">
      <c r="A137" s="2">
        <v>172</v>
      </c>
      <c r="B137" s="2">
        <v>67</v>
      </c>
    </row>
    <row r="138" spans="1:2" x14ac:dyDescent="0.3">
      <c r="A138" s="2">
        <v>172</v>
      </c>
      <c r="B138" s="2">
        <v>68</v>
      </c>
    </row>
    <row r="139" spans="1:2" x14ac:dyDescent="0.3">
      <c r="A139" s="2">
        <v>172</v>
      </c>
      <c r="B139" s="2">
        <v>68</v>
      </c>
    </row>
    <row r="140" spans="1:2" x14ac:dyDescent="0.3">
      <c r="A140" s="2">
        <v>172</v>
      </c>
      <c r="B140" s="2">
        <v>68</v>
      </c>
    </row>
    <row r="141" spans="1:2" x14ac:dyDescent="0.3">
      <c r="A141" s="2">
        <v>172</v>
      </c>
      <c r="B141" s="2">
        <v>68</v>
      </c>
    </row>
    <row r="142" spans="1:2" x14ac:dyDescent="0.3">
      <c r="A142" s="2">
        <v>172</v>
      </c>
      <c r="B142" s="2">
        <v>68</v>
      </c>
    </row>
    <row r="143" spans="1:2" x14ac:dyDescent="0.3">
      <c r="A143" s="2">
        <v>172</v>
      </c>
      <c r="B143" s="2">
        <v>68</v>
      </c>
    </row>
    <row r="144" spans="1:2" x14ac:dyDescent="0.3">
      <c r="A144" s="2">
        <v>172</v>
      </c>
      <c r="B144" s="2">
        <v>69</v>
      </c>
    </row>
    <row r="145" spans="1:2" x14ac:dyDescent="0.3">
      <c r="A145" s="2">
        <v>172</v>
      </c>
      <c r="B145" s="2">
        <v>69</v>
      </c>
    </row>
    <row r="146" spans="1:2" x14ac:dyDescent="0.3">
      <c r="A146" s="2">
        <v>173</v>
      </c>
      <c r="B146" s="2">
        <v>69</v>
      </c>
    </row>
    <row r="147" spans="1:2" x14ac:dyDescent="0.3">
      <c r="A147" s="2">
        <v>173</v>
      </c>
      <c r="B147" s="2">
        <v>69</v>
      </c>
    </row>
    <row r="148" spans="1:2" x14ac:dyDescent="0.3">
      <c r="A148" s="2">
        <v>173</v>
      </c>
      <c r="B148" s="2">
        <v>69</v>
      </c>
    </row>
    <row r="149" spans="1:2" x14ac:dyDescent="0.3">
      <c r="A149" s="2">
        <v>173</v>
      </c>
      <c r="B149" s="2">
        <v>69</v>
      </c>
    </row>
    <row r="150" spans="1:2" x14ac:dyDescent="0.3">
      <c r="A150" s="2">
        <v>173</v>
      </c>
      <c r="B150" s="2">
        <v>69</v>
      </c>
    </row>
    <row r="151" spans="1:2" x14ac:dyDescent="0.3">
      <c r="A151" s="2">
        <v>173</v>
      </c>
      <c r="B151" s="2">
        <v>69</v>
      </c>
    </row>
    <row r="152" spans="1:2" x14ac:dyDescent="0.3">
      <c r="A152" s="2">
        <v>173</v>
      </c>
      <c r="B152" s="2">
        <v>69</v>
      </c>
    </row>
    <row r="153" spans="1:2" x14ac:dyDescent="0.3">
      <c r="A153" s="2">
        <v>173</v>
      </c>
      <c r="B153" s="2">
        <v>69</v>
      </c>
    </row>
    <row r="154" spans="1:2" x14ac:dyDescent="0.3">
      <c r="A154" s="2">
        <v>173</v>
      </c>
      <c r="B154" s="2">
        <v>69</v>
      </c>
    </row>
    <row r="155" spans="1:2" x14ac:dyDescent="0.3">
      <c r="A155" s="2">
        <v>173</v>
      </c>
      <c r="B155" s="2">
        <v>70</v>
      </c>
    </row>
    <row r="156" spans="1:2" x14ac:dyDescent="0.3">
      <c r="A156" s="2">
        <v>173</v>
      </c>
      <c r="B156" s="2">
        <v>70</v>
      </c>
    </row>
    <row r="157" spans="1:2" x14ac:dyDescent="0.3">
      <c r="A157" s="2">
        <v>173</v>
      </c>
      <c r="B157" s="2">
        <v>70</v>
      </c>
    </row>
    <row r="158" spans="1:2" x14ac:dyDescent="0.3">
      <c r="A158" s="2">
        <v>173</v>
      </c>
      <c r="B158" s="2">
        <v>70</v>
      </c>
    </row>
    <row r="159" spans="1:2" x14ac:dyDescent="0.3">
      <c r="A159" s="2">
        <v>173</v>
      </c>
      <c r="B159" s="2">
        <v>70</v>
      </c>
    </row>
    <row r="160" spans="1:2" x14ac:dyDescent="0.3">
      <c r="A160" s="2">
        <v>173</v>
      </c>
      <c r="B160" s="2">
        <v>70</v>
      </c>
    </row>
    <row r="161" spans="1:2" x14ac:dyDescent="0.3">
      <c r="A161" s="2">
        <v>173</v>
      </c>
      <c r="B161" s="2">
        <v>70</v>
      </c>
    </row>
    <row r="162" spans="1:2" x14ac:dyDescent="0.3">
      <c r="A162" s="2">
        <v>174</v>
      </c>
      <c r="B162" s="2">
        <v>70</v>
      </c>
    </row>
    <row r="163" spans="1:2" x14ac:dyDescent="0.3">
      <c r="A163" s="2">
        <v>174</v>
      </c>
      <c r="B163" s="2">
        <v>70</v>
      </c>
    </row>
    <row r="164" spans="1:2" x14ac:dyDescent="0.3">
      <c r="A164" s="2">
        <v>174</v>
      </c>
      <c r="B164" s="2">
        <v>70</v>
      </c>
    </row>
    <row r="165" spans="1:2" x14ac:dyDescent="0.3">
      <c r="A165" s="2">
        <v>174</v>
      </c>
      <c r="B165" s="2">
        <v>70</v>
      </c>
    </row>
    <row r="166" spans="1:2" x14ac:dyDescent="0.3">
      <c r="A166" s="2">
        <v>174</v>
      </c>
      <c r="B166" s="2">
        <v>71</v>
      </c>
    </row>
    <row r="167" spans="1:2" x14ac:dyDescent="0.3">
      <c r="A167" s="2">
        <v>174</v>
      </c>
      <c r="B167" s="2">
        <v>71</v>
      </c>
    </row>
    <row r="168" spans="1:2" x14ac:dyDescent="0.3">
      <c r="A168" s="2">
        <v>174</v>
      </c>
      <c r="B168" s="2">
        <v>71</v>
      </c>
    </row>
    <row r="169" spans="1:2" x14ac:dyDescent="0.3">
      <c r="A169" s="2">
        <v>174</v>
      </c>
      <c r="B169" s="2">
        <v>71</v>
      </c>
    </row>
    <row r="170" spans="1:2" x14ac:dyDescent="0.3">
      <c r="A170" s="2">
        <v>175</v>
      </c>
      <c r="B170" s="2">
        <v>71</v>
      </c>
    </row>
    <row r="171" spans="1:2" x14ac:dyDescent="0.3">
      <c r="A171" s="2">
        <v>175</v>
      </c>
      <c r="B171" s="2">
        <v>72</v>
      </c>
    </row>
    <row r="172" spans="1:2" x14ac:dyDescent="0.3">
      <c r="A172" s="2">
        <v>175</v>
      </c>
      <c r="B172" s="2">
        <v>72</v>
      </c>
    </row>
    <row r="173" spans="1:2" x14ac:dyDescent="0.3">
      <c r="A173" s="2">
        <v>175</v>
      </c>
      <c r="B173" s="2">
        <v>72</v>
      </c>
    </row>
    <row r="174" spans="1:2" x14ac:dyDescent="0.3">
      <c r="A174" s="2">
        <v>175</v>
      </c>
      <c r="B174" s="2">
        <v>72</v>
      </c>
    </row>
    <row r="175" spans="1:2" x14ac:dyDescent="0.3">
      <c r="A175" s="2">
        <v>175</v>
      </c>
      <c r="B175" s="2">
        <v>72</v>
      </c>
    </row>
    <row r="176" spans="1:2" x14ac:dyDescent="0.3">
      <c r="A176" s="2">
        <v>175</v>
      </c>
      <c r="B176" s="2">
        <v>73</v>
      </c>
    </row>
    <row r="177" spans="1:2" x14ac:dyDescent="0.3">
      <c r="A177" s="2">
        <v>176</v>
      </c>
      <c r="B177" s="2">
        <v>73</v>
      </c>
    </row>
    <row r="178" spans="1:2" x14ac:dyDescent="0.3">
      <c r="A178" s="2">
        <v>176</v>
      </c>
      <c r="B178" s="2">
        <v>73</v>
      </c>
    </row>
    <row r="179" spans="1:2" x14ac:dyDescent="0.3">
      <c r="A179" s="2">
        <v>176</v>
      </c>
      <c r="B179" s="2">
        <v>74</v>
      </c>
    </row>
    <row r="180" spans="1:2" x14ac:dyDescent="0.3">
      <c r="A180" s="2">
        <v>176</v>
      </c>
      <c r="B180" s="2">
        <v>74</v>
      </c>
    </row>
    <row r="181" spans="1:2" x14ac:dyDescent="0.3">
      <c r="A181" s="2">
        <v>176</v>
      </c>
      <c r="B181" s="2">
        <v>74</v>
      </c>
    </row>
    <row r="182" spans="1:2" x14ac:dyDescent="0.3">
      <c r="A182" s="2">
        <v>176</v>
      </c>
      <c r="B182" s="2">
        <v>74</v>
      </c>
    </row>
    <row r="183" spans="1:2" x14ac:dyDescent="0.3">
      <c r="A183" s="2">
        <v>177</v>
      </c>
      <c r="B183" s="2">
        <v>74</v>
      </c>
    </row>
    <row r="184" spans="1:2" x14ac:dyDescent="0.3">
      <c r="A184" s="2">
        <v>177</v>
      </c>
      <c r="B184" s="2">
        <v>74</v>
      </c>
    </row>
    <row r="185" spans="1:2" x14ac:dyDescent="0.3">
      <c r="A185" s="2">
        <v>177</v>
      </c>
      <c r="B185" s="2">
        <v>75</v>
      </c>
    </row>
    <row r="186" spans="1:2" x14ac:dyDescent="0.3">
      <c r="A186" s="2">
        <v>177</v>
      </c>
      <c r="B186" s="2">
        <v>75</v>
      </c>
    </row>
    <row r="187" spans="1:2" x14ac:dyDescent="0.3">
      <c r="A187" s="2">
        <v>178</v>
      </c>
      <c r="B187" s="2">
        <v>75</v>
      </c>
    </row>
    <row r="188" spans="1:2" x14ac:dyDescent="0.3">
      <c r="A188" s="2">
        <v>178</v>
      </c>
      <c r="B188" s="2">
        <v>75</v>
      </c>
    </row>
    <row r="189" spans="1:2" x14ac:dyDescent="0.3">
      <c r="A189" s="2">
        <v>178</v>
      </c>
      <c r="B189" s="2">
        <v>75</v>
      </c>
    </row>
    <row r="190" spans="1:2" x14ac:dyDescent="0.3">
      <c r="A190" s="2">
        <v>178</v>
      </c>
      <c r="B190" s="2">
        <v>75</v>
      </c>
    </row>
    <row r="191" spans="1:2" x14ac:dyDescent="0.3">
      <c r="A191" s="2">
        <v>178</v>
      </c>
      <c r="B191" s="2">
        <v>76</v>
      </c>
    </row>
    <row r="192" spans="1:2" x14ac:dyDescent="0.3">
      <c r="A192" s="2">
        <v>179</v>
      </c>
      <c r="B192" s="2">
        <v>77</v>
      </c>
    </row>
    <row r="193" spans="1:2" x14ac:dyDescent="0.3">
      <c r="A193" s="2">
        <v>179</v>
      </c>
      <c r="B193" s="2">
        <v>77</v>
      </c>
    </row>
    <row r="194" spans="1:2" x14ac:dyDescent="0.3">
      <c r="A194" s="2">
        <v>179</v>
      </c>
      <c r="B194" s="2">
        <v>78</v>
      </c>
    </row>
    <row r="195" spans="1:2" x14ac:dyDescent="0.3">
      <c r="A195" s="2">
        <v>179</v>
      </c>
      <c r="B195" s="2">
        <v>78</v>
      </c>
    </row>
    <row r="196" spans="1:2" x14ac:dyDescent="0.3">
      <c r="A196" s="2">
        <v>179</v>
      </c>
      <c r="B196" s="2">
        <v>78</v>
      </c>
    </row>
    <row r="197" spans="1:2" x14ac:dyDescent="0.3">
      <c r="A197" s="2">
        <v>181</v>
      </c>
      <c r="B197" s="2">
        <v>79</v>
      </c>
    </row>
    <row r="198" spans="1:2" x14ac:dyDescent="0.3">
      <c r="A198" s="2">
        <v>184</v>
      </c>
      <c r="B198" s="2">
        <v>80</v>
      </c>
    </row>
    <row r="199" spans="1:2" x14ac:dyDescent="0.3">
      <c r="A199" s="2">
        <v>184</v>
      </c>
      <c r="B199" s="2">
        <v>80</v>
      </c>
    </row>
    <row r="200" spans="1:2" x14ac:dyDescent="0.3">
      <c r="A200" s="2">
        <v>187</v>
      </c>
      <c r="B200" s="2">
        <v>81</v>
      </c>
    </row>
    <row r="201" spans="1:2" x14ac:dyDescent="0.3">
      <c r="A201" s="2">
        <v>188</v>
      </c>
      <c r="B201" s="2">
        <v>84</v>
      </c>
    </row>
  </sheetData>
  <mergeCells count="2">
    <mergeCell ref="G1:I1"/>
    <mergeCell ref="K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4199-394A-44C4-9967-63063E52129B}">
  <dimension ref="A1:P200"/>
  <sheetViews>
    <sheetView topLeftCell="C12" workbookViewId="0">
      <selection activeCell="I35" sqref="I35:I39"/>
    </sheetView>
  </sheetViews>
  <sheetFormatPr defaultRowHeight="14.4" x14ac:dyDescent="0.3"/>
  <cols>
    <col min="3" max="4" width="12.44140625" bestFit="1" customWidth="1"/>
    <col min="5" max="5" width="16.77734375" bestFit="1" customWidth="1"/>
    <col min="6" max="6" width="16" bestFit="1" customWidth="1"/>
    <col min="7" max="7" width="7.6640625" bestFit="1" customWidth="1"/>
    <col min="8" max="8" width="23.21875" bestFit="1" customWidth="1"/>
    <col min="9" max="9" width="12.44140625" bestFit="1" customWidth="1"/>
    <col min="10" max="10" width="7.6640625" bestFit="1" customWidth="1"/>
    <col min="11" max="11" width="23.21875" bestFit="1" customWidth="1"/>
    <col min="13" max="14" width="12.44140625" bestFit="1" customWidth="1"/>
    <col min="15" max="15" width="10.5546875" bestFit="1" customWidth="1"/>
    <col min="16" max="16" width="23.21875" bestFit="1" customWidth="1"/>
    <col min="17" max="17" width="12.44140625" bestFit="1" customWidth="1"/>
    <col min="18" max="18" width="7.6640625" bestFit="1" customWidth="1"/>
    <col min="19" max="19" width="23.21875" bestFit="1" customWidth="1"/>
  </cols>
  <sheetData>
    <row r="1" spans="1:16" x14ac:dyDescent="0.3">
      <c r="A1" s="2">
        <v>156</v>
      </c>
      <c r="D1" s="16" t="s">
        <v>26</v>
      </c>
      <c r="E1" s="16"/>
      <c r="F1" s="16"/>
      <c r="I1" s="17" t="s">
        <v>26</v>
      </c>
      <c r="J1" s="17"/>
      <c r="K1" s="17"/>
      <c r="L1" s="3"/>
      <c r="N1" s="17" t="s">
        <v>28</v>
      </c>
      <c r="O1" s="17"/>
      <c r="P1" s="17"/>
    </row>
    <row r="2" spans="1:16" x14ac:dyDescent="0.3">
      <c r="A2" s="2">
        <v>156</v>
      </c>
      <c r="D2" s="4" t="s">
        <v>7</v>
      </c>
      <c r="E2" s="4" t="s">
        <v>5</v>
      </c>
      <c r="F2" s="4" t="s">
        <v>6</v>
      </c>
      <c r="I2" s="3"/>
      <c r="J2" s="3"/>
      <c r="K2" s="3"/>
      <c r="L2" s="3"/>
    </row>
    <row r="3" spans="1:16" x14ac:dyDescent="0.3">
      <c r="A3" s="2">
        <v>156</v>
      </c>
      <c r="D3">
        <v>1</v>
      </c>
      <c r="E3">
        <v>156</v>
      </c>
      <c r="F3" s="7">
        <v>159.19999999999999</v>
      </c>
      <c r="I3" t="s">
        <v>7</v>
      </c>
      <c r="J3" t="s">
        <v>14</v>
      </c>
      <c r="K3" t="s">
        <v>15</v>
      </c>
      <c r="N3" t="s">
        <v>7</v>
      </c>
      <c r="O3" t="s">
        <v>14</v>
      </c>
      <c r="P3" t="s">
        <v>15</v>
      </c>
    </row>
    <row r="4" spans="1:16" x14ac:dyDescent="0.3">
      <c r="A4" s="2">
        <v>156</v>
      </c>
      <c r="D4">
        <v>2</v>
      </c>
      <c r="E4" s="7">
        <v>159.19999999999999</v>
      </c>
      <c r="F4" s="7">
        <v>162.39999999999998</v>
      </c>
      <c r="I4">
        <v>1</v>
      </c>
      <c r="J4">
        <f>COUNTIFS(РОСТ_ИСХОДНЫЙ, "&gt;=" &amp; E3, РОСТ_ИСХОДНЫЙ, "&lt;" &amp; F3)</f>
        <v>10</v>
      </c>
      <c r="K4">
        <f>J4/200</f>
        <v>0.05</v>
      </c>
      <c r="N4">
        <v>1</v>
      </c>
      <c r="O4">
        <v>4</v>
      </c>
      <c r="P4">
        <f>O4/КОЛИЧЕСТВО</f>
        <v>0.02</v>
      </c>
    </row>
    <row r="5" spans="1:16" x14ac:dyDescent="0.3">
      <c r="A5" s="2">
        <v>157</v>
      </c>
      <c r="D5">
        <v>3</v>
      </c>
      <c r="E5" s="7">
        <v>162.39999999999998</v>
      </c>
      <c r="F5" s="7">
        <v>165.59999999999997</v>
      </c>
      <c r="I5">
        <v>2</v>
      </c>
      <c r="J5">
        <f>COUNTIFS(РОСТ_ИСХОДНЫЙ, "&gt;=" &amp; E4, РОСТ_ИСХОДНЫЙ, "&lt;" &amp; F4)</f>
        <v>10</v>
      </c>
      <c r="K5">
        <f>J5/200 + K4</f>
        <v>0.1</v>
      </c>
      <c r="N5">
        <v>2</v>
      </c>
      <c r="O5">
        <v>10</v>
      </c>
      <c r="P5">
        <f t="shared" ref="P5:P13" si="0">O5/КОЛИЧЕСТВО + P4</f>
        <v>7.0000000000000007E-2</v>
      </c>
    </row>
    <row r="6" spans="1:16" x14ac:dyDescent="0.3">
      <c r="A6" s="2">
        <v>158</v>
      </c>
      <c r="D6">
        <v>4</v>
      </c>
      <c r="E6" s="7">
        <v>165.59999999999997</v>
      </c>
      <c r="F6" s="7">
        <v>168.79999999999995</v>
      </c>
      <c r="I6">
        <v>3</v>
      </c>
      <c r="J6">
        <f>COUNTIFS(РОСТ_ИСХОДНЫЙ, "&gt;=" &amp; E5, РОСТ_ИСХОДНЫЙ, "&lt;" &amp; F5)</f>
        <v>31</v>
      </c>
      <c r="K6">
        <f t="shared" ref="K6:K13" si="1">J6/200 + K5</f>
        <v>0.255</v>
      </c>
      <c r="N6">
        <v>3</v>
      </c>
      <c r="O6">
        <v>6</v>
      </c>
      <c r="P6">
        <f t="shared" si="0"/>
        <v>0.1</v>
      </c>
    </row>
    <row r="7" spans="1:16" x14ac:dyDescent="0.3">
      <c r="A7" s="2">
        <v>159</v>
      </c>
      <c r="D7">
        <v>5</v>
      </c>
      <c r="E7" s="7">
        <v>168.79999999999995</v>
      </c>
      <c r="F7" s="7">
        <v>172</v>
      </c>
      <c r="I7">
        <v>4</v>
      </c>
      <c r="J7">
        <f>COUNTIFS(РОСТ_ИСХОДНЫЙ, "&gt;=" &amp; E6, РОСТ_ИСХОДНЫЙ, "&lt;" &amp; F6)</f>
        <v>34</v>
      </c>
      <c r="K7">
        <f t="shared" si="1"/>
        <v>0.42500000000000004</v>
      </c>
      <c r="N7">
        <v>4</v>
      </c>
      <c r="O7">
        <v>45</v>
      </c>
      <c r="P7">
        <f t="shared" si="0"/>
        <v>0.32500000000000001</v>
      </c>
    </row>
    <row r="8" spans="1:16" x14ac:dyDescent="0.3">
      <c r="A8" s="2">
        <v>159</v>
      </c>
      <c r="D8">
        <v>6</v>
      </c>
      <c r="E8" s="7">
        <v>171.99999999999994</v>
      </c>
      <c r="F8" s="7">
        <v>175.19999999999993</v>
      </c>
      <c r="I8">
        <v>5</v>
      </c>
      <c r="J8">
        <f>COUNTIFS(РОСТ_ИСХОДНЫЙ, "&gt;=" &amp; E7, РОСТ_ИСХОДНЫЙ, "&lt;" &amp; F7)</f>
        <v>48</v>
      </c>
      <c r="K8">
        <f t="shared" si="1"/>
        <v>0.66500000000000004</v>
      </c>
      <c r="N8">
        <v>5</v>
      </c>
      <c r="O8">
        <v>37</v>
      </c>
      <c r="P8">
        <f t="shared" si="0"/>
        <v>0.51</v>
      </c>
    </row>
    <row r="9" spans="1:16" x14ac:dyDescent="0.3">
      <c r="A9" s="2">
        <v>159</v>
      </c>
      <c r="D9">
        <v>7</v>
      </c>
      <c r="E9" s="7">
        <v>175.19999999999993</v>
      </c>
      <c r="F9" s="7">
        <v>178.39999999999992</v>
      </c>
      <c r="I9">
        <v>6</v>
      </c>
      <c r="J9">
        <f>COUNTIFS(РОСТ_ИСХОДНЫЙ, "&gt;=" &amp; E8, РОСТ_ИСХОДНЫЙ, "&lt;" &amp; F8)</f>
        <v>42</v>
      </c>
      <c r="K9">
        <f t="shared" si="1"/>
        <v>0.875</v>
      </c>
      <c r="N9">
        <v>6</v>
      </c>
      <c r="O9">
        <v>51</v>
      </c>
      <c r="P9">
        <f t="shared" si="0"/>
        <v>0.76500000000000001</v>
      </c>
    </row>
    <row r="10" spans="1:16" x14ac:dyDescent="0.3">
      <c r="A10" s="2">
        <v>159</v>
      </c>
      <c r="D10">
        <v>8</v>
      </c>
      <c r="E10" s="7">
        <v>178.39999999999992</v>
      </c>
      <c r="F10" s="7">
        <v>181.59999999999991</v>
      </c>
      <c r="I10">
        <v>7</v>
      </c>
      <c r="J10">
        <f>COUNTIFS(РОСТ_ИСХОДНЫЙ, "&gt;=" &amp; E9, РОСТ_ИСХОДНЫЙ, "&lt;" &amp; F9)</f>
        <v>15</v>
      </c>
      <c r="K10">
        <f t="shared" si="1"/>
        <v>0.95</v>
      </c>
      <c r="N10">
        <v>7</v>
      </c>
      <c r="O10">
        <v>24</v>
      </c>
      <c r="P10">
        <f t="shared" si="0"/>
        <v>0.88500000000000001</v>
      </c>
    </row>
    <row r="11" spans="1:16" x14ac:dyDescent="0.3">
      <c r="A11" s="2">
        <v>160</v>
      </c>
      <c r="D11">
        <v>9</v>
      </c>
      <c r="E11" s="7">
        <v>181.59999999999991</v>
      </c>
      <c r="F11" s="7">
        <v>184.7999999999999</v>
      </c>
      <c r="I11">
        <v>8</v>
      </c>
      <c r="J11">
        <f t="shared" ref="J5:J12" si="2">COUNTIFS(A:A, "&gt;=" &amp; E10, A:A, "&lt;" &amp; F10)</f>
        <v>6</v>
      </c>
      <c r="K11">
        <f t="shared" si="1"/>
        <v>0.98</v>
      </c>
      <c r="N11">
        <v>8</v>
      </c>
      <c r="O11">
        <v>13</v>
      </c>
      <c r="P11">
        <f t="shared" si="0"/>
        <v>0.95</v>
      </c>
    </row>
    <row r="12" spans="1:16" x14ac:dyDescent="0.3">
      <c r="A12" s="2">
        <v>160</v>
      </c>
      <c r="D12">
        <v>10</v>
      </c>
      <c r="E12" s="7">
        <v>184.7999999999999</v>
      </c>
      <c r="F12" s="7">
        <v>187.99999999999989</v>
      </c>
      <c r="I12">
        <v>9</v>
      </c>
      <c r="J12">
        <f t="shared" si="2"/>
        <v>2</v>
      </c>
      <c r="K12">
        <f t="shared" si="1"/>
        <v>0.99</v>
      </c>
      <c r="N12">
        <v>9</v>
      </c>
      <c r="O12">
        <v>8</v>
      </c>
      <c r="P12">
        <f t="shared" si="0"/>
        <v>0.99</v>
      </c>
    </row>
    <row r="13" spans="1:16" x14ac:dyDescent="0.3">
      <c r="A13" s="2">
        <v>161</v>
      </c>
      <c r="I13">
        <v>10</v>
      </c>
      <c r="J13">
        <f>COUNTIFS(A:A, "&gt;=" &amp; E12, A:A, "&lt;=" &amp; F12)</f>
        <v>2</v>
      </c>
      <c r="K13">
        <f t="shared" si="1"/>
        <v>1</v>
      </c>
      <c r="N13">
        <v>10</v>
      </c>
      <c r="O13">
        <v>2</v>
      </c>
      <c r="P13">
        <f t="shared" si="0"/>
        <v>1</v>
      </c>
    </row>
    <row r="14" spans="1:16" x14ac:dyDescent="0.3">
      <c r="A14" s="2">
        <v>161</v>
      </c>
    </row>
    <row r="15" spans="1:16" x14ac:dyDescent="0.3">
      <c r="A15" s="2">
        <v>161</v>
      </c>
    </row>
    <row r="16" spans="1:16" x14ac:dyDescent="0.3">
      <c r="A16" s="2">
        <v>161</v>
      </c>
    </row>
    <row r="17" spans="1:1" x14ac:dyDescent="0.3">
      <c r="A17" s="2">
        <v>161</v>
      </c>
    </row>
    <row r="18" spans="1:1" x14ac:dyDescent="0.3">
      <c r="A18" s="2">
        <v>162</v>
      </c>
    </row>
    <row r="19" spans="1:1" x14ac:dyDescent="0.3">
      <c r="A19" s="2">
        <v>162</v>
      </c>
    </row>
    <row r="20" spans="1:1" x14ac:dyDescent="0.3">
      <c r="A20" s="2">
        <v>162</v>
      </c>
    </row>
    <row r="21" spans="1:1" x14ac:dyDescent="0.3">
      <c r="A21" s="2">
        <v>163</v>
      </c>
    </row>
    <row r="22" spans="1:1" x14ac:dyDescent="0.3">
      <c r="A22" s="2">
        <v>163</v>
      </c>
    </row>
    <row r="23" spans="1:1" x14ac:dyDescent="0.3">
      <c r="A23" s="2">
        <v>163</v>
      </c>
    </row>
    <row r="24" spans="1:1" x14ac:dyDescent="0.3">
      <c r="A24" s="2">
        <v>163</v>
      </c>
    </row>
    <row r="25" spans="1:1" x14ac:dyDescent="0.3">
      <c r="A25" s="2">
        <v>163</v>
      </c>
    </row>
    <row r="26" spans="1:1" x14ac:dyDescent="0.3">
      <c r="A26" s="2">
        <v>163</v>
      </c>
    </row>
    <row r="27" spans="1:1" x14ac:dyDescent="0.3">
      <c r="A27" s="2">
        <v>163</v>
      </c>
    </row>
    <row r="28" spans="1:1" x14ac:dyDescent="0.3">
      <c r="A28" s="2">
        <v>164</v>
      </c>
    </row>
    <row r="29" spans="1:1" x14ac:dyDescent="0.3">
      <c r="A29" s="2">
        <v>164</v>
      </c>
    </row>
    <row r="30" spans="1:1" x14ac:dyDescent="0.3">
      <c r="A30" s="2">
        <v>164</v>
      </c>
    </row>
    <row r="31" spans="1:1" x14ac:dyDescent="0.3">
      <c r="A31" s="2">
        <v>164</v>
      </c>
    </row>
    <row r="32" spans="1:1" x14ac:dyDescent="0.3">
      <c r="A32" s="2">
        <v>164</v>
      </c>
    </row>
    <row r="33" spans="1:1" x14ac:dyDescent="0.3">
      <c r="A33" s="2">
        <v>164</v>
      </c>
    </row>
    <row r="34" spans="1:1" x14ac:dyDescent="0.3">
      <c r="A34" s="2">
        <v>164</v>
      </c>
    </row>
    <row r="35" spans="1:1" x14ac:dyDescent="0.3">
      <c r="A35" s="2">
        <v>164</v>
      </c>
    </row>
    <row r="36" spans="1:1" x14ac:dyDescent="0.3">
      <c r="A36" s="2">
        <v>164</v>
      </c>
    </row>
    <row r="37" spans="1:1" x14ac:dyDescent="0.3">
      <c r="A37" s="2">
        <v>164</v>
      </c>
    </row>
    <row r="38" spans="1:1" x14ac:dyDescent="0.3">
      <c r="A38" s="2">
        <v>164</v>
      </c>
    </row>
    <row r="39" spans="1:1" x14ac:dyDescent="0.3">
      <c r="A39" s="2">
        <v>164</v>
      </c>
    </row>
    <row r="40" spans="1:1" x14ac:dyDescent="0.3">
      <c r="A40" s="2">
        <v>164</v>
      </c>
    </row>
    <row r="41" spans="1:1" x14ac:dyDescent="0.3">
      <c r="A41" s="2">
        <v>164</v>
      </c>
    </row>
    <row r="42" spans="1:1" x14ac:dyDescent="0.3">
      <c r="A42" s="2">
        <v>165</v>
      </c>
    </row>
    <row r="43" spans="1:1" x14ac:dyDescent="0.3">
      <c r="A43" s="2">
        <v>165</v>
      </c>
    </row>
    <row r="44" spans="1:1" x14ac:dyDescent="0.3">
      <c r="A44" s="2">
        <v>165</v>
      </c>
    </row>
    <row r="45" spans="1:1" x14ac:dyDescent="0.3">
      <c r="A45" s="2">
        <v>165</v>
      </c>
    </row>
    <row r="46" spans="1:1" x14ac:dyDescent="0.3">
      <c r="A46" s="2">
        <v>165</v>
      </c>
    </row>
    <row r="47" spans="1:1" x14ac:dyDescent="0.3">
      <c r="A47" s="2">
        <v>165</v>
      </c>
    </row>
    <row r="48" spans="1:1" x14ac:dyDescent="0.3">
      <c r="A48" s="2">
        <v>165</v>
      </c>
    </row>
    <row r="49" spans="1:1" x14ac:dyDescent="0.3">
      <c r="A49" s="2">
        <v>165</v>
      </c>
    </row>
    <row r="50" spans="1:1" x14ac:dyDescent="0.3">
      <c r="A50" s="2">
        <v>165</v>
      </c>
    </row>
    <row r="51" spans="1:1" x14ac:dyDescent="0.3">
      <c r="A51" s="2">
        <v>165</v>
      </c>
    </row>
    <row r="52" spans="1:1" x14ac:dyDescent="0.3">
      <c r="A52" s="2">
        <v>166</v>
      </c>
    </row>
    <row r="53" spans="1:1" x14ac:dyDescent="0.3">
      <c r="A53" s="2">
        <v>166</v>
      </c>
    </row>
    <row r="54" spans="1:1" x14ac:dyDescent="0.3">
      <c r="A54" s="2">
        <v>166</v>
      </c>
    </row>
    <row r="55" spans="1:1" x14ac:dyDescent="0.3">
      <c r="A55" s="2">
        <v>166</v>
      </c>
    </row>
    <row r="56" spans="1:1" x14ac:dyDescent="0.3">
      <c r="A56" s="2">
        <v>166</v>
      </c>
    </row>
    <row r="57" spans="1:1" x14ac:dyDescent="0.3">
      <c r="A57" s="2">
        <v>166</v>
      </c>
    </row>
    <row r="58" spans="1:1" x14ac:dyDescent="0.3">
      <c r="A58" s="2">
        <v>166</v>
      </c>
    </row>
    <row r="59" spans="1:1" x14ac:dyDescent="0.3">
      <c r="A59" s="2">
        <v>166</v>
      </c>
    </row>
    <row r="60" spans="1:1" x14ac:dyDescent="0.3">
      <c r="A60" s="2">
        <v>166</v>
      </c>
    </row>
    <row r="61" spans="1:1" x14ac:dyDescent="0.3">
      <c r="A61" s="2">
        <v>166</v>
      </c>
    </row>
    <row r="62" spans="1:1" x14ac:dyDescent="0.3">
      <c r="A62" s="2">
        <v>166</v>
      </c>
    </row>
    <row r="63" spans="1:1" x14ac:dyDescent="0.3">
      <c r="A63" s="2">
        <v>167</v>
      </c>
    </row>
    <row r="64" spans="1:1" x14ac:dyDescent="0.3">
      <c r="A64" s="2">
        <v>167</v>
      </c>
    </row>
    <row r="65" spans="1:1" x14ac:dyDescent="0.3">
      <c r="A65" s="2">
        <v>167</v>
      </c>
    </row>
    <row r="66" spans="1:1" x14ac:dyDescent="0.3">
      <c r="A66" s="2">
        <v>167</v>
      </c>
    </row>
    <row r="67" spans="1:1" x14ac:dyDescent="0.3">
      <c r="A67" s="2">
        <v>167</v>
      </c>
    </row>
    <row r="68" spans="1:1" x14ac:dyDescent="0.3">
      <c r="A68" s="2">
        <v>167</v>
      </c>
    </row>
    <row r="69" spans="1:1" x14ac:dyDescent="0.3">
      <c r="A69" s="2">
        <v>167</v>
      </c>
    </row>
    <row r="70" spans="1:1" x14ac:dyDescent="0.3">
      <c r="A70" s="2">
        <v>167</v>
      </c>
    </row>
    <row r="71" spans="1:1" x14ac:dyDescent="0.3">
      <c r="A71" s="2">
        <v>168</v>
      </c>
    </row>
    <row r="72" spans="1:1" x14ac:dyDescent="0.3">
      <c r="A72" s="2">
        <v>168</v>
      </c>
    </row>
    <row r="73" spans="1:1" x14ac:dyDescent="0.3">
      <c r="A73" s="2">
        <v>168</v>
      </c>
    </row>
    <row r="74" spans="1:1" x14ac:dyDescent="0.3">
      <c r="A74" s="2">
        <v>168</v>
      </c>
    </row>
    <row r="75" spans="1:1" x14ac:dyDescent="0.3">
      <c r="A75" s="2">
        <v>168</v>
      </c>
    </row>
    <row r="76" spans="1:1" x14ac:dyDescent="0.3">
      <c r="A76" s="2">
        <v>168</v>
      </c>
    </row>
    <row r="77" spans="1:1" x14ac:dyDescent="0.3">
      <c r="A77" s="2">
        <v>168</v>
      </c>
    </row>
    <row r="78" spans="1:1" x14ac:dyDescent="0.3">
      <c r="A78" s="2">
        <v>168</v>
      </c>
    </row>
    <row r="79" spans="1:1" x14ac:dyDescent="0.3">
      <c r="A79" s="2">
        <v>168</v>
      </c>
    </row>
    <row r="80" spans="1:1" x14ac:dyDescent="0.3">
      <c r="A80" s="2">
        <v>168</v>
      </c>
    </row>
    <row r="81" spans="1:1" x14ac:dyDescent="0.3">
      <c r="A81" s="2">
        <v>168</v>
      </c>
    </row>
    <row r="82" spans="1:1" x14ac:dyDescent="0.3">
      <c r="A82" s="2">
        <v>168</v>
      </c>
    </row>
    <row r="83" spans="1:1" x14ac:dyDescent="0.3">
      <c r="A83" s="2">
        <v>168</v>
      </c>
    </row>
    <row r="84" spans="1:1" x14ac:dyDescent="0.3">
      <c r="A84" s="2">
        <v>168</v>
      </c>
    </row>
    <row r="85" spans="1:1" x14ac:dyDescent="0.3">
      <c r="A85" s="2">
        <v>168</v>
      </c>
    </row>
    <row r="86" spans="1:1" x14ac:dyDescent="0.3">
      <c r="A86" s="2">
        <v>169</v>
      </c>
    </row>
    <row r="87" spans="1:1" x14ac:dyDescent="0.3">
      <c r="A87" s="2">
        <v>169</v>
      </c>
    </row>
    <row r="88" spans="1:1" x14ac:dyDescent="0.3">
      <c r="A88" s="2">
        <v>169</v>
      </c>
    </row>
    <row r="89" spans="1:1" x14ac:dyDescent="0.3">
      <c r="A89" s="2">
        <v>169</v>
      </c>
    </row>
    <row r="90" spans="1:1" x14ac:dyDescent="0.3">
      <c r="A90" s="2">
        <v>169</v>
      </c>
    </row>
    <row r="91" spans="1:1" x14ac:dyDescent="0.3">
      <c r="A91" s="2">
        <v>169</v>
      </c>
    </row>
    <row r="92" spans="1:1" x14ac:dyDescent="0.3">
      <c r="A92" s="2">
        <v>169</v>
      </c>
    </row>
    <row r="93" spans="1:1" x14ac:dyDescent="0.3">
      <c r="A93" s="2">
        <v>169</v>
      </c>
    </row>
    <row r="94" spans="1:1" x14ac:dyDescent="0.3">
      <c r="A94" s="2">
        <v>169</v>
      </c>
    </row>
    <row r="95" spans="1:1" x14ac:dyDescent="0.3">
      <c r="A95" s="2">
        <v>169</v>
      </c>
    </row>
    <row r="96" spans="1:1" x14ac:dyDescent="0.3">
      <c r="A96" s="2">
        <v>169</v>
      </c>
    </row>
    <row r="97" spans="1:1" x14ac:dyDescent="0.3">
      <c r="A97" s="2">
        <v>169</v>
      </c>
    </row>
    <row r="98" spans="1:1" x14ac:dyDescent="0.3">
      <c r="A98" s="2">
        <v>169</v>
      </c>
    </row>
    <row r="99" spans="1:1" x14ac:dyDescent="0.3">
      <c r="A99" s="2">
        <v>170</v>
      </c>
    </row>
    <row r="100" spans="1:1" x14ac:dyDescent="0.3">
      <c r="A100" s="2">
        <v>170</v>
      </c>
    </row>
    <row r="101" spans="1:1" x14ac:dyDescent="0.3">
      <c r="A101" s="2">
        <v>170</v>
      </c>
    </row>
    <row r="102" spans="1:1" x14ac:dyDescent="0.3">
      <c r="A102" s="2">
        <v>170</v>
      </c>
    </row>
    <row r="103" spans="1:1" x14ac:dyDescent="0.3">
      <c r="A103" s="2">
        <v>170</v>
      </c>
    </row>
    <row r="104" spans="1:1" x14ac:dyDescent="0.3">
      <c r="A104" s="2">
        <v>170</v>
      </c>
    </row>
    <row r="105" spans="1:1" x14ac:dyDescent="0.3">
      <c r="A105" s="2">
        <v>170</v>
      </c>
    </row>
    <row r="106" spans="1:1" x14ac:dyDescent="0.3">
      <c r="A106" s="2">
        <v>170</v>
      </c>
    </row>
    <row r="107" spans="1:1" x14ac:dyDescent="0.3">
      <c r="A107" s="2">
        <v>170</v>
      </c>
    </row>
    <row r="108" spans="1:1" x14ac:dyDescent="0.3">
      <c r="A108" s="2">
        <v>170</v>
      </c>
    </row>
    <row r="109" spans="1:1" x14ac:dyDescent="0.3">
      <c r="A109" s="2">
        <v>170</v>
      </c>
    </row>
    <row r="110" spans="1:1" x14ac:dyDescent="0.3">
      <c r="A110" s="2">
        <v>170</v>
      </c>
    </row>
    <row r="111" spans="1:1" x14ac:dyDescent="0.3">
      <c r="A111" s="2">
        <v>170</v>
      </c>
    </row>
    <row r="112" spans="1:1" x14ac:dyDescent="0.3">
      <c r="A112" s="2">
        <v>171</v>
      </c>
    </row>
    <row r="113" spans="1:1" x14ac:dyDescent="0.3">
      <c r="A113" s="2">
        <v>171</v>
      </c>
    </row>
    <row r="114" spans="1:1" x14ac:dyDescent="0.3">
      <c r="A114" s="2">
        <v>171</v>
      </c>
    </row>
    <row r="115" spans="1:1" x14ac:dyDescent="0.3">
      <c r="A115" s="2">
        <v>171</v>
      </c>
    </row>
    <row r="116" spans="1:1" x14ac:dyDescent="0.3">
      <c r="A116" s="2">
        <v>171</v>
      </c>
    </row>
    <row r="117" spans="1:1" x14ac:dyDescent="0.3">
      <c r="A117" s="2">
        <v>171</v>
      </c>
    </row>
    <row r="118" spans="1:1" x14ac:dyDescent="0.3">
      <c r="A118" s="2">
        <v>171</v>
      </c>
    </row>
    <row r="119" spans="1:1" x14ac:dyDescent="0.3">
      <c r="A119" s="2">
        <v>171</v>
      </c>
    </row>
    <row r="120" spans="1:1" x14ac:dyDescent="0.3">
      <c r="A120" s="2">
        <v>171</v>
      </c>
    </row>
    <row r="121" spans="1:1" x14ac:dyDescent="0.3">
      <c r="A121" s="2">
        <v>171</v>
      </c>
    </row>
    <row r="122" spans="1:1" x14ac:dyDescent="0.3">
      <c r="A122" s="2">
        <v>171</v>
      </c>
    </row>
    <row r="123" spans="1:1" x14ac:dyDescent="0.3">
      <c r="A123" s="2">
        <v>171</v>
      </c>
    </row>
    <row r="124" spans="1:1" x14ac:dyDescent="0.3">
      <c r="A124" s="2">
        <v>171</v>
      </c>
    </row>
    <row r="125" spans="1:1" x14ac:dyDescent="0.3">
      <c r="A125" s="2">
        <v>171</v>
      </c>
    </row>
    <row r="126" spans="1:1" x14ac:dyDescent="0.3">
      <c r="A126" s="2">
        <v>171</v>
      </c>
    </row>
    <row r="127" spans="1:1" x14ac:dyDescent="0.3">
      <c r="A127" s="2">
        <v>171</v>
      </c>
    </row>
    <row r="128" spans="1:1" x14ac:dyDescent="0.3">
      <c r="A128" s="2">
        <v>171</v>
      </c>
    </row>
    <row r="129" spans="1:1" x14ac:dyDescent="0.3">
      <c r="A129" s="2">
        <v>171</v>
      </c>
    </row>
    <row r="130" spans="1:1" x14ac:dyDescent="0.3">
      <c r="A130" s="2">
        <v>171</v>
      </c>
    </row>
    <row r="131" spans="1:1" x14ac:dyDescent="0.3">
      <c r="A131" s="2">
        <v>171</v>
      </c>
    </row>
    <row r="132" spans="1:1" x14ac:dyDescent="0.3">
      <c r="A132" s="2">
        <v>171</v>
      </c>
    </row>
    <row r="133" spans="1:1" x14ac:dyDescent="0.3">
      <c r="A133" s="2">
        <v>171</v>
      </c>
    </row>
    <row r="134" spans="1:1" x14ac:dyDescent="0.3">
      <c r="A134" s="2">
        <v>172</v>
      </c>
    </row>
    <row r="135" spans="1:1" x14ac:dyDescent="0.3">
      <c r="A135" s="2">
        <v>172</v>
      </c>
    </row>
    <row r="136" spans="1:1" x14ac:dyDescent="0.3">
      <c r="A136" s="2">
        <v>172</v>
      </c>
    </row>
    <row r="137" spans="1:1" x14ac:dyDescent="0.3">
      <c r="A137" s="2">
        <v>172</v>
      </c>
    </row>
    <row r="138" spans="1:1" x14ac:dyDescent="0.3">
      <c r="A138" s="2">
        <v>172</v>
      </c>
    </row>
    <row r="139" spans="1:1" x14ac:dyDescent="0.3">
      <c r="A139" s="2">
        <v>172</v>
      </c>
    </row>
    <row r="140" spans="1:1" x14ac:dyDescent="0.3">
      <c r="A140" s="2">
        <v>172</v>
      </c>
    </row>
    <row r="141" spans="1:1" x14ac:dyDescent="0.3">
      <c r="A141" s="2">
        <v>172</v>
      </c>
    </row>
    <row r="142" spans="1:1" x14ac:dyDescent="0.3">
      <c r="A142" s="2">
        <v>172</v>
      </c>
    </row>
    <row r="143" spans="1:1" x14ac:dyDescent="0.3">
      <c r="A143" s="2">
        <v>172</v>
      </c>
    </row>
    <row r="144" spans="1:1" x14ac:dyDescent="0.3">
      <c r="A144" s="2">
        <v>172</v>
      </c>
    </row>
    <row r="145" spans="1:1" x14ac:dyDescent="0.3">
      <c r="A145" s="2">
        <v>173</v>
      </c>
    </row>
    <row r="146" spans="1:1" x14ac:dyDescent="0.3">
      <c r="A146" s="2">
        <v>173</v>
      </c>
    </row>
    <row r="147" spans="1:1" x14ac:dyDescent="0.3">
      <c r="A147" s="2">
        <v>173</v>
      </c>
    </row>
    <row r="148" spans="1:1" x14ac:dyDescent="0.3">
      <c r="A148" s="2">
        <v>173</v>
      </c>
    </row>
    <row r="149" spans="1:1" x14ac:dyDescent="0.3">
      <c r="A149" s="2">
        <v>173</v>
      </c>
    </row>
    <row r="150" spans="1:1" x14ac:dyDescent="0.3">
      <c r="A150" s="2">
        <v>173</v>
      </c>
    </row>
    <row r="151" spans="1:1" x14ac:dyDescent="0.3">
      <c r="A151" s="2">
        <v>173</v>
      </c>
    </row>
    <row r="152" spans="1:1" x14ac:dyDescent="0.3">
      <c r="A152" s="2">
        <v>173</v>
      </c>
    </row>
    <row r="153" spans="1:1" x14ac:dyDescent="0.3">
      <c r="A153" s="2">
        <v>173</v>
      </c>
    </row>
    <row r="154" spans="1:1" x14ac:dyDescent="0.3">
      <c r="A154" s="2">
        <v>173</v>
      </c>
    </row>
    <row r="155" spans="1:1" x14ac:dyDescent="0.3">
      <c r="A155" s="2">
        <v>173</v>
      </c>
    </row>
    <row r="156" spans="1:1" x14ac:dyDescent="0.3">
      <c r="A156" s="2">
        <v>173</v>
      </c>
    </row>
    <row r="157" spans="1:1" x14ac:dyDescent="0.3">
      <c r="A157" s="2">
        <v>173</v>
      </c>
    </row>
    <row r="158" spans="1:1" x14ac:dyDescent="0.3">
      <c r="A158" s="2">
        <v>173</v>
      </c>
    </row>
    <row r="159" spans="1:1" x14ac:dyDescent="0.3">
      <c r="A159" s="2">
        <v>173</v>
      </c>
    </row>
    <row r="160" spans="1:1" x14ac:dyDescent="0.3">
      <c r="A160" s="2">
        <v>173</v>
      </c>
    </row>
    <row r="161" spans="1:1" x14ac:dyDescent="0.3">
      <c r="A161" s="2">
        <v>174</v>
      </c>
    </row>
    <row r="162" spans="1:1" x14ac:dyDescent="0.3">
      <c r="A162" s="2">
        <v>174</v>
      </c>
    </row>
    <row r="163" spans="1:1" x14ac:dyDescent="0.3">
      <c r="A163" s="2">
        <v>174</v>
      </c>
    </row>
    <row r="164" spans="1:1" x14ac:dyDescent="0.3">
      <c r="A164" s="2">
        <v>174</v>
      </c>
    </row>
    <row r="165" spans="1:1" x14ac:dyDescent="0.3">
      <c r="A165" s="2">
        <v>174</v>
      </c>
    </row>
    <row r="166" spans="1:1" x14ac:dyDescent="0.3">
      <c r="A166" s="2">
        <v>174</v>
      </c>
    </row>
    <row r="167" spans="1:1" x14ac:dyDescent="0.3">
      <c r="A167" s="2">
        <v>174</v>
      </c>
    </row>
    <row r="168" spans="1:1" x14ac:dyDescent="0.3">
      <c r="A168" s="2">
        <v>174</v>
      </c>
    </row>
    <row r="169" spans="1:1" x14ac:dyDescent="0.3">
      <c r="A169" s="2">
        <v>175</v>
      </c>
    </row>
    <row r="170" spans="1:1" x14ac:dyDescent="0.3">
      <c r="A170" s="2">
        <v>175</v>
      </c>
    </row>
    <row r="171" spans="1:1" x14ac:dyDescent="0.3">
      <c r="A171" s="2">
        <v>175</v>
      </c>
    </row>
    <row r="172" spans="1:1" x14ac:dyDescent="0.3">
      <c r="A172" s="2">
        <v>175</v>
      </c>
    </row>
    <row r="173" spans="1:1" x14ac:dyDescent="0.3">
      <c r="A173" s="2">
        <v>175</v>
      </c>
    </row>
    <row r="174" spans="1:1" x14ac:dyDescent="0.3">
      <c r="A174" s="2">
        <v>175</v>
      </c>
    </row>
    <row r="175" spans="1:1" x14ac:dyDescent="0.3">
      <c r="A175" s="2">
        <v>175</v>
      </c>
    </row>
    <row r="176" spans="1:1" x14ac:dyDescent="0.3">
      <c r="A176" s="2">
        <v>176</v>
      </c>
    </row>
    <row r="177" spans="1:1" x14ac:dyDescent="0.3">
      <c r="A177" s="2">
        <v>176</v>
      </c>
    </row>
    <row r="178" spans="1:1" x14ac:dyDescent="0.3">
      <c r="A178" s="2">
        <v>176</v>
      </c>
    </row>
    <row r="179" spans="1:1" x14ac:dyDescent="0.3">
      <c r="A179" s="2">
        <v>176</v>
      </c>
    </row>
    <row r="180" spans="1:1" x14ac:dyDescent="0.3">
      <c r="A180" s="2">
        <v>176</v>
      </c>
    </row>
    <row r="181" spans="1:1" x14ac:dyDescent="0.3">
      <c r="A181" s="2">
        <v>176</v>
      </c>
    </row>
    <row r="182" spans="1:1" x14ac:dyDescent="0.3">
      <c r="A182" s="2">
        <v>177</v>
      </c>
    </row>
    <row r="183" spans="1:1" x14ac:dyDescent="0.3">
      <c r="A183" s="2">
        <v>177</v>
      </c>
    </row>
    <row r="184" spans="1:1" x14ac:dyDescent="0.3">
      <c r="A184" s="2">
        <v>177</v>
      </c>
    </row>
    <row r="185" spans="1:1" x14ac:dyDescent="0.3">
      <c r="A185" s="2">
        <v>177</v>
      </c>
    </row>
    <row r="186" spans="1:1" x14ac:dyDescent="0.3">
      <c r="A186" s="2">
        <v>178</v>
      </c>
    </row>
    <row r="187" spans="1:1" x14ac:dyDescent="0.3">
      <c r="A187" s="2">
        <v>178</v>
      </c>
    </row>
    <row r="188" spans="1:1" x14ac:dyDescent="0.3">
      <c r="A188" s="2">
        <v>178</v>
      </c>
    </row>
    <row r="189" spans="1:1" x14ac:dyDescent="0.3">
      <c r="A189" s="2">
        <v>178</v>
      </c>
    </row>
    <row r="190" spans="1:1" x14ac:dyDescent="0.3">
      <c r="A190" s="2">
        <v>178</v>
      </c>
    </row>
    <row r="191" spans="1:1" x14ac:dyDescent="0.3">
      <c r="A191" s="2">
        <v>179</v>
      </c>
    </row>
    <row r="192" spans="1:1" x14ac:dyDescent="0.3">
      <c r="A192" s="2">
        <v>179</v>
      </c>
    </row>
    <row r="193" spans="1:1" x14ac:dyDescent="0.3">
      <c r="A193" s="2">
        <v>179</v>
      </c>
    </row>
    <row r="194" spans="1:1" x14ac:dyDescent="0.3">
      <c r="A194" s="2">
        <v>179</v>
      </c>
    </row>
    <row r="195" spans="1:1" x14ac:dyDescent="0.3">
      <c r="A195" s="2">
        <v>179</v>
      </c>
    </row>
    <row r="196" spans="1:1" x14ac:dyDescent="0.3">
      <c r="A196" s="2">
        <v>181</v>
      </c>
    </row>
    <row r="197" spans="1:1" x14ac:dyDescent="0.3">
      <c r="A197" s="2">
        <v>184</v>
      </c>
    </row>
    <row r="198" spans="1:1" x14ac:dyDescent="0.3">
      <c r="A198" s="2">
        <v>184</v>
      </c>
    </row>
    <row r="199" spans="1:1" x14ac:dyDescent="0.3">
      <c r="A199" s="2">
        <v>187</v>
      </c>
    </row>
    <row r="200" spans="1:1" x14ac:dyDescent="0.3">
      <c r="A200" s="2">
        <v>188</v>
      </c>
    </row>
  </sheetData>
  <mergeCells count="3">
    <mergeCell ref="D1:F1"/>
    <mergeCell ref="I1:K1"/>
    <mergeCell ref="N1:P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A43-91C1-4706-B391-CC3A6BC8CD96}">
  <dimension ref="A1:H23"/>
  <sheetViews>
    <sheetView workbookViewId="0">
      <selection activeCell="G28" sqref="G28"/>
    </sheetView>
  </sheetViews>
  <sheetFormatPr defaultRowHeight="14.4" x14ac:dyDescent="0.3"/>
  <cols>
    <col min="1" max="1" width="59" customWidth="1"/>
    <col min="2" max="2" width="9.21875" customWidth="1"/>
    <col min="3" max="3" width="8.88671875" customWidth="1"/>
    <col min="7" max="7" width="25.88671875" bestFit="1" customWidth="1"/>
    <col min="8" max="9" width="27.77734375" bestFit="1" customWidth="1"/>
  </cols>
  <sheetData>
    <row r="1" spans="1:8" x14ac:dyDescent="0.3">
      <c r="A1" t="s">
        <v>16</v>
      </c>
      <c r="B1" t="s">
        <v>17</v>
      </c>
      <c r="G1" t="s">
        <v>24</v>
      </c>
      <c r="H1" t="s">
        <v>25</v>
      </c>
    </row>
    <row r="2" spans="1:8" x14ac:dyDescent="0.3">
      <c r="A2" s="17" t="s">
        <v>1</v>
      </c>
      <c r="B2" s="17"/>
      <c r="G2">
        <f t="array" ref="G2:G11">(РОСТ_НАЧАЛО_ИНТЕРВАЛА + РОСТ_КОНЕЦ_ИНТЕРВАЛА) / 2</f>
        <v>157.6</v>
      </c>
      <c r="H2">
        <f t="array" ref="H2:H11">СЕРЕДИНЫ_ИНТЕРВАЛОВ_РОСТ*ЧАСТОТЫ_РОСТА</f>
        <v>1576</v>
      </c>
    </row>
    <row r="3" spans="1:8" x14ac:dyDescent="0.3">
      <c r="A3" t="s">
        <v>18</v>
      </c>
      <c r="B3">
        <f>SUM(ПРОИЗВЕДЕНИЕ_СЕРЕДИНЫ_НА_ЧАСТОТУ) / КОЛИЧЕСТВО</f>
        <v>169.47199999999998</v>
      </c>
      <c r="G3">
        <v>160.79999999999998</v>
      </c>
      <c r="H3">
        <v>1607.9999999999998</v>
      </c>
    </row>
    <row r="4" spans="1:8" x14ac:dyDescent="0.3">
      <c r="A4" t="s">
        <v>19</v>
      </c>
      <c r="B4" cm="1">
        <f t="array" ref="B4">SUMPRODUCT(ЧАСТОТЫ_РОСТА, (СЕРЕДИНЫ_ИНТЕРВАЛОВ_РОСТ- СРЕДНЕЕ_РОСТ_ИНТЕРВАЛ)^2) / КОЛИЧЕСТВО</f>
        <v>32.214015999999773</v>
      </c>
      <c r="G4">
        <v>163.99999999999997</v>
      </c>
      <c r="H4">
        <v>5083.9999999999991</v>
      </c>
    </row>
    <row r="5" spans="1:8" x14ac:dyDescent="0.3">
      <c r="A5" t="s">
        <v>20</v>
      </c>
      <c r="B5" cm="1">
        <f t="array" ref="B5">SUMPRODUCT(ЧАСТОТЫ_РОСТА, (СЕРЕДИНЫ_ИНТЕРВАЛОВ_РОСТ - СРЕДНЕЕ_РОСТ_ИНТЕРВАЛ)^2) / (КОЛИЧЕСТВО - 1)</f>
        <v>32.375895477386706</v>
      </c>
      <c r="G5">
        <v>167.19999999999996</v>
      </c>
      <c r="H5">
        <v>5684.7999999999984</v>
      </c>
    </row>
    <row r="6" spans="1:8" x14ac:dyDescent="0.3">
      <c r="A6" t="s">
        <v>21</v>
      </c>
      <c r="B6" cm="1">
        <f t="array" ref="B6">SQRT(ИСПРАВЛЕННАЯ_ДИСПЕРСИЯ_РОСТ_ИНТЕРВАЛ)</f>
        <v>5.6899820278614861</v>
      </c>
      <c r="G6">
        <v>170.39999999999995</v>
      </c>
      <c r="H6">
        <v>8179.1999999999971</v>
      </c>
    </row>
    <row r="7" spans="1:8" x14ac:dyDescent="0.3">
      <c r="A7" t="s">
        <v>22</v>
      </c>
      <c r="B7">
        <v>170.4</v>
      </c>
      <c r="G7">
        <v>173.59999999999994</v>
      </c>
      <c r="H7">
        <v>7291.1999999999971</v>
      </c>
    </row>
    <row r="8" spans="1:8" x14ac:dyDescent="0.3">
      <c r="A8" s="17" t="s">
        <v>2</v>
      </c>
      <c r="B8" s="17"/>
      <c r="G8">
        <v>176.79999999999993</v>
      </c>
      <c r="H8">
        <v>2651.9999999999991</v>
      </c>
    </row>
    <row r="9" spans="1:8" x14ac:dyDescent="0.3">
      <c r="A9" t="s">
        <v>18</v>
      </c>
      <c r="B9">
        <f>SUM(ПРОИЗВЕДЕНИЕ_СЕРЕДИНЫ_ВЕСА_НА_ЧАСТОТУ) / КОЛИЧЕСТВО</f>
        <v>65.585999999999999</v>
      </c>
      <c r="G9">
        <v>179.99999999999991</v>
      </c>
      <c r="H9">
        <v>1079.9999999999995</v>
      </c>
    </row>
    <row r="10" spans="1:8" x14ac:dyDescent="0.3">
      <c r="A10" t="s">
        <v>19</v>
      </c>
      <c r="B10" s="6" cm="1">
        <f t="array" ref="B10">SUMPRODUCT(ЧАСТОТЫ_ВЕСА, (СЕРЕДИНА_ИНТЕРВАЛА_ВЕС - СРЕДНЕЕ_ВЕС_ИНТЕРВАЛ)^2) / КОЛИЧЕСТВО</f>
        <v>41.171003999999911</v>
      </c>
      <c r="G10">
        <v>183.1999999999999</v>
      </c>
      <c r="H10">
        <v>366.39999999999981</v>
      </c>
    </row>
    <row r="11" spans="1:8" x14ac:dyDescent="0.3">
      <c r="A11" t="s">
        <v>20</v>
      </c>
      <c r="B11" cm="1">
        <f t="array" ref="B11">SUMPRODUCT(ЧАСТОТЫ_ВЕСА, (СЕРЕДИНА_ИНТЕРВАЛА_ВЕС - СРЕДНЕЕ_ВЕС_ИНТЕРВАЛ)^2) / (КОЛИЧЕСТВО - 1)</f>
        <v>41.377893467336598</v>
      </c>
      <c r="G11">
        <v>186.39999999999989</v>
      </c>
      <c r="H11">
        <v>372.79999999999978</v>
      </c>
    </row>
    <row r="12" spans="1:8" x14ac:dyDescent="0.3">
      <c r="A12" t="s">
        <v>21</v>
      </c>
      <c r="B12">
        <f>SQRT(ИСПРАВЛЕННАЯ_ДИСПЕРСИЯ_ВЕС_ИНТЕРВАЛ)</f>
        <v>6.4325650768054103</v>
      </c>
    </row>
    <row r="13" spans="1:8" x14ac:dyDescent="0.3">
      <c r="A13" t="s">
        <v>22</v>
      </c>
      <c r="B13">
        <v>60.6</v>
      </c>
      <c r="G13" t="s">
        <v>27</v>
      </c>
      <c r="H13" t="s">
        <v>25</v>
      </c>
    </row>
    <row r="14" spans="1:8" x14ac:dyDescent="0.3">
      <c r="G14" cm="1">
        <f t="array" ref="G14:G23">(ВЕС_НАЧАЛО_ИНТЕРВАЛА + ВЕС_КОНЕЦ_ИНТЕРВАЛА) / 2</f>
        <v>49.8</v>
      </c>
      <c r="H14">
        <f t="array" ref="H14:H23">СЕРЕДИНА_ИНТЕРВАЛА_ВЕС*ЧАСТОТЫ_ВЕСА</f>
        <v>199.2</v>
      </c>
    </row>
    <row r="15" spans="1:8" x14ac:dyDescent="0.3">
      <c r="G15">
        <v>53.400000000000006</v>
      </c>
      <c r="H15">
        <v>534</v>
      </c>
    </row>
    <row r="16" spans="1:8" x14ac:dyDescent="0.3">
      <c r="G16">
        <v>57</v>
      </c>
      <c r="H16">
        <v>342</v>
      </c>
    </row>
    <row r="17" spans="7:8" x14ac:dyDescent="0.3">
      <c r="G17">
        <v>60.600000000000009</v>
      </c>
      <c r="H17">
        <v>2727.0000000000005</v>
      </c>
    </row>
    <row r="18" spans="7:8" x14ac:dyDescent="0.3">
      <c r="G18">
        <v>64.2</v>
      </c>
      <c r="H18">
        <v>2375.4</v>
      </c>
    </row>
    <row r="19" spans="7:8" x14ac:dyDescent="0.3">
      <c r="G19">
        <v>67.8</v>
      </c>
      <c r="H19">
        <v>3457.7999999999997</v>
      </c>
    </row>
    <row r="20" spans="7:8" x14ac:dyDescent="0.3">
      <c r="G20">
        <v>71.399999999999991</v>
      </c>
      <c r="H20">
        <v>1713.6</v>
      </c>
    </row>
    <row r="21" spans="7:8" x14ac:dyDescent="0.3">
      <c r="G21">
        <v>74.999999999999986</v>
      </c>
      <c r="H21">
        <v>974.99999999999977</v>
      </c>
    </row>
    <row r="22" spans="7:8" x14ac:dyDescent="0.3">
      <c r="G22">
        <v>78.59999999999998</v>
      </c>
      <c r="H22">
        <v>628.79999999999984</v>
      </c>
    </row>
    <row r="23" spans="7:8" x14ac:dyDescent="0.3">
      <c r="G23">
        <v>82.199999999999974</v>
      </c>
      <c r="H23">
        <v>164.39999999999995</v>
      </c>
    </row>
  </sheetData>
  <mergeCells count="2">
    <mergeCell ref="A2:B2"/>
    <mergeCell ref="A8:B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F56E-2B1A-4C38-BF7C-0D3DC2010636}">
  <dimension ref="A1:F201"/>
  <sheetViews>
    <sheetView topLeftCell="A22" workbookViewId="0">
      <selection activeCell="B6" sqref="B6"/>
    </sheetView>
  </sheetViews>
  <sheetFormatPr defaultRowHeight="14.4" x14ac:dyDescent="0.3"/>
  <cols>
    <col min="1" max="1" width="59" bestFit="1" customWidth="1"/>
    <col min="2" max="2" width="9.21875" bestFit="1" customWidth="1"/>
  </cols>
  <sheetData>
    <row r="1" spans="1:6" x14ac:dyDescent="0.3">
      <c r="A1" t="s">
        <v>16</v>
      </c>
      <c r="B1" t="s">
        <v>17</v>
      </c>
      <c r="E1" t="s">
        <v>1</v>
      </c>
      <c r="F1" t="s">
        <v>2</v>
      </c>
    </row>
    <row r="2" spans="1:6" x14ac:dyDescent="0.3">
      <c r="A2" s="17" t="s">
        <v>1</v>
      </c>
      <c r="B2" s="17"/>
      <c r="C2" s="3"/>
      <c r="E2" s="2">
        <v>156</v>
      </c>
      <c r="F2" s="2">
        <v>48</v>
      </c>
    </row>
    <row r="3" spans="1:6" x14ac:dyDescent="0.3">
      <c r="A3" t="s">
        <v>18</v>
      </c>
      <c r="B3">
        <f>AVERAGE(E2:E201)</f>
        <v>169.37</v>
      </c>
      <c r="E3" s="2">
        <v>156</v>
      </c>
      <c r="F3" s="2">
        <v>50</v>
      </c>
    </row>
    <row r="4" spans="1:6" x14ac:dyDescent="0.3">
      <c r="A4" t="s">
        <v>19</v>
      </c>
      <c r="B4">
        <f>_xlfn.VAR.P(E2:E201)</f>
        <v>32.463100000000061</v>
      </c>
      <c r="E4" s="2">
        <v>156</v>
      </c>
      <c r="F4" s="2">
        <v>50</v>
      </c>
    </row>
    <row r="5" spans="1:6" x14ac:dyDescent="0.3">
      <c r="A5" t="s">
        <v>20</v>
      </c>
      <c r="B5">
        <f>VAR(E2:E201)</f>
        <v>32.62623115577896</v>
      </c>
      <c r="E5" s="2">
        <v>156</v>
      </c>
      <c r="F5" s="2">
        <v>51</v>
      </c>
    </row>
    <row r="6" spans="1:6" x14ac:dyDescent="0.3">
      <c r="A6" t="s">
        <v>21</v>
      </c>
      <c r="B6">
        <f>_xlfn.STDEV.P(E2:E201)</f>
        <v>5.6976398622587636</v>
      </c>
      <c r="E6" s="2">
        <v>157</v>
      </c>
      <c r="F6" s="2">
        <v>52</v>
      </c>
    </row>
    <row r="7" spans="1:6" x14ac:dyDescent="0.3">
      <c r="A7" t="s">
        <v>22</v>
      </c>
      <c r="B7">
        <f>MODE(E2:E201)</f>
        <v>171</v>
      </c>
      <c r="E7" s="2">
        <v>158</v>
      </c>
      <c r="F7" s="2">
        <v>53</v>
      </c>
    </row>
    <row r="8" spans="1:6" x14ac:dyDescent="0.3">
      <c r="A8" t="s">
        <v>23</v>
      </c>
      <c r="B8">
        <f>MEDIAN(РОСТ)</f>
        <v>170</v>
      </c>
      <c r="C8" s="3"/>
      <c r="E8" s="2">
        <v>159</v>
      </c>
      <c r="F8" s="2">
        <v>54</v>
      </c>
    </row>
    <row r="9" spans="1:6" x14ac:dyDescent="0.3">
      <c r="A9" s="17" t="s">
        <v>2</v>
      </c>
      <c r="B9" s="17"/>
      <c r="E9" s="2">
        <v>159</v>
      </c>
      <c r="F9" s="2">
        <v>55</v>
      </c>
    </row>
    <row r="10" spans="1:6" x14ac:dyDescent="0.3">
      <c r="A10" t="s">
        <v>18</v>
      </c>
      <c r="B10">
        <f>AVERAGE(F2:F201)</f>
        <v>65.295000000000002</v>
      </c>
      <c r="E10" s="2">
        <v>159</v>
      </c>
      <c r="F10" s="2">
        <v>55</v>
      </c>
    </row>
    <row r="11" spans="1:6" x14ac:dyDescent="0.3">
      <c r="A11" t="s">
        <v>19</v>
      </c>
      <c r="B11">
        <f>_xlfn.VAR.P(F2:F201)</f>
        <v>39.957975000000012</v>
      </c>
      <c r="E11" s="2">
        <v>159</v>
      </c>
      <c r="F11" s="2">
        <v>55</v>
      </c>
    </row>
    <row r="12" spans="1:6" x14ac:dyDescent="0.3">
      <c r="A12" t="s">
        <v>20</v>
      </c>
      <c r="B12">
        <f>VAR(F2:F201)</f>
        <v>40.158768844221115</v>
      </c>
      <c r="E12" s="2">
        <v>160</v>
      </c>
      <c r="F12" s="2">
        <v>55</v>
      </c>
    </row>
    <row r="13" spans="1:6" x14ac:dyDescent="0.3">
      <c r="A13" t="s">
        <v>21</v>
      </c>
      <c r="B13">
        <f>_xlfn.STDEV.P(F2:F201)</f>
        <v>6.321232079270624</v>
      </c>
      <c r="E13" s="2">
        <v>160</v>
      </c>
      <c r="F13" s="2">
        <v>55</v>
      </c>
    </row>
    <row r="14" spans="1:6" x14ac:dyDescent="0.3">
      <c r="A14" t="s">
        <v>22</v>
      </c>
      <c r="B14">
        <f>MODE(F2:F201)</f>
        <v>63</v>
      </c>
      <c r="E14" s="2">
        <v>161</v>
      </c>
      <c r="F14" s="2">
        <v>55</v>
      </c>
    </row>
    <row r="15" spans="1:6" x14ac:dyDescent="0.3">
      <c r="A15" t="s">
        <v>23</v>
      </c>
      <c r="B15">
        <f>MEDIAN(ВЕС)</f>
        <v>65</v>
      </c>
      <c r="E15" s="2">
        <v>161</v>
      </c>
      <c r="F15" s="2">
        <v>55</v>
      </c>
    </row>
    <row r="16" spans="1:6" x14ac:dyDescent="0.3">
      <c r="E16" s="2">
        <v>161</v>
      </c>
      <c r="F16" s="2">
        <v>56</v>
      </c>
    </row>
    <row r="17" spans="5:6" x14ac:dyDescent="0.3">
      <c r="E17" s="2">
        <v>161</v>
      </c>
      <c r="F17" s="2">
        <v>56</v>
      </c>
    </row>
    <row r="18" spans="5:6" x14ac:dyDescent="0.3">
      <c r="E18" s="2">
        <v>161</v>
      </c>
      <c r="F18" s="2">
        <v>57</v>
      </c>
    </row>
    <row r="19" spans="5:6" x14ac:dyDescent="0.3">
      <c r="E19" s="2">
        <v>162</v>
      </c>
      <c r="F19" s="2">
        <v>57</v>
      </c>
    </row>
    <row r="20" spans="5:6" x14ac:dyDescent="0.3">
      <c r="E20" s="2">
        <v>162</v>
      </c>
      <c r="F20" s="2">
        <v>57</v>
      </c>
    </row>
    <row r="21" spans="5:6" x14ac:dyDescent="0.3">
      <c r="E21" s="2">
        <v>162</v>
      </c>
      <c r="F21" s="2">
        <v>58</v>
      </c>
    </row>
    <row r="22" spans="5:6" x14ac:dyDescent="0.3">
      <c r="E22" s="2">
        <v>163</v>
      </c>
      <c r="F22" s="2">
        <v>59</v>
      </c>
    </row>
    <row r="23" spans="5:6" x14ac:dyDescent="0.3">
      <c r="E23" s="2">
        <v>163</v>
      </c>
      <c r="F23" s="2">
        <v>59</v>
      </c>
    </row>
    <row r="24" spans="5:6" x14ac:dyDescent="0.3">
      <c r="E24" s="2">
        <v>163</v>
      </c>
      <c r="F24" s="2">
        <v>59</v>
      </c>
    </row>
    <row r="25" spans="5:6" x14ac:dyDescent="0.3">
      <c r="E25" s="2">
        <v>163</v>
      </c>
      <c r="F25" s="2">
        <v>59</v>
      </c>
    </row>
    <row r="26" spans="5:6" x14ac:dyDescent="0.3">
      <c r="E26" s="2">
        <v>163</v>
      </c>
      <c r="F26" s="2">
        <v>59</v>
      </c>
    </row>
    <row r="27" spans="5:6" x14ac:dyDescent="0.3">
      <c r="E27" s="2">
        <v>163</v>
      </c>
      <c r="F27" s="2">
        <v>59</v>
      </c>
    </row>
    <row r="28" spans="5:6" x14ac:dyDescent="0.3">
      <c r="E28" s="2">
        <v>163</v>
      </c>
      <c r="F28" s="2">
        <v>59</v>
      </c>
    </row>
    <row r="29" spans="5:6" x14ac:dyDescent="0.3">
      <c r="E29" s="2">
        <v>164</v>
      </c>
      <c r="F29" s="2">
        <v>59</v>
      </c>
    </row>
    <row r="30" spans="5:6" x14ac:dyDescent="0.3">
      <c r="E30" s="2">
        <v>164</v>
      </c>
      <c r="F30" s="2">
        <v>59</v>
      </c>
    </row>
    <row r="31" spans="5:6" x14ac:dyDescent="0.3">
      <c r="E31" s="2">
        <v>164</v>
      </c>
      <c r="F31" s="2">
        <v>59</v>
      </c>
    </row>
    <row r="32" spans="5:6" x14ac:dyDescent="0.3">
      <c r="E32" s="2">
        <v>164</v>
      </c>
      <c r="F32" s="2">
        <v>59</v>
      </c>
    </row>
    <row r="33" spans="5:6" x14ac:dyDescent="0.3">
      <c r="E33" s="2">
        <v>164</v>
      </c>
      <c r="F33" s="2">
        <v>60</v>
      </c>
    </row>
    <row r="34" spans="5:6" x14ac:dyDescent="0.3">
      <c r="E34" s="2">
        <v>164</v>
      </c>
      <c r="F34" s="2">
        <v>60</v>
      </c>
    </row>
    <row r="35" spans="5:6" x14ac:dyDescent="0.3">
      <c r="E35" s="2">
        <v>164</v>
      </c>
      <c r="F35" s="2">
        <v>60</v>
      </c>
    </row>
    <row r="36" spans="5:6" x14ac:dyDescent="0.3">
      <c r="E36" s="2">
        <v>164</v>
      </c>
      <c r="F36" s="2">
        <v>60</v>
      </c>
    </row>
    <row r="37" spans="5:6" x14ac:dyDescent="0.3">
      <c r="E37" s="2">
        <v>164</v>
      </c>
      <c r="F37" s="2">
        <v>60</v>
      </c>
    </row>
    <row r="38" spans="5:6" x14ac:dyDescent="0.3">
      <c r="E38" s="2">
        <v>164</v>
      </c>
      <c r="F38" s="2">
        <v>60</v>
      </c>
    </row>
    <row r="39" spans="5:6" x14ac:dyDescent="0.3">
      <c r="E39" s="2">
        <v>164</v>
      </c>
      <c r="F39" s="2">
        <v>60</v>
      </c>
    </row>
    <row r="40" spans="5:6" x14ac:dyDescent="0.3">
      <c r="E40" s="2">
        <v>164</v>
      </c>
      <c r="F40" s="2">
        <v>60</v>
      </c>
    </row>
    <row r="41" spans="5:6" x14ac:dyDescent="0.3">
      <c r="E41" s="2">
        <v>164</v>
      </c>
      <c r="F41" s="2">
        <v>60</v>
      </c>
    </row>
    <row r="42" spans="5:6" x14ac:dyDescent="0.3">
      <c r="E42" s="2">
        <v>164</v>
      </c>
      <c r="F42" s="2">
        <v>60</v>
      </c>
    </row>
    <row r="43" spans="5:6" x14ac:dyDescent="0.3">
      <c r="E43" s="2">
        <v>165</v>
      </c>
      <c r="F43" s="2">
        <v>60</v>
      </c>
    </row>
    <row r="44" spans="5:6" x14ac:dyDescent="0.3">
      <c r="E44" s="2">
        <v>165</v>
      </c>
      <c r="F44" s="2">
        <v>60</v>
      </c>
    </row>
    <row r="45" spans="5:6" x14ac:dyDescent="0.3">
      <c r="E45" s="2">
        <v>165</v>
      </c>
      <c r="F45" s="2">
        <v>60</v>
      </c>
    </row>
    <row r="46" spans="5:6" x14ac:dyDescent="0.3">
      <c r="E46" s="2">
        <v>165</v>
      </c>
      <c r="F46" s="2">
        <v>61</v>
      </c>
    </row>
    <row r="47" spans="5:6" x14ac:dyDescent="0.3">
      <c r="E47" s="2">
        <v>165</v>
      </c>
      <c r="F47" s="2">
        <v>61</v>
      </c>
    </row>
    <row r="48" spans="5:6" x14ac:dyDescent="0.3">
      <c r="E48" s="2">
        <v>165</v>
      </c>
      <c r="F48" s="2">
        <v>61</v>
      </c>
    </row>
    <row r="49" spans="5:6" x14ac:dyDescent="0.3">
      <c r="E49" s="2">
        <v>165</v>
      </c>
      <c r="F49" s="2">
        <v>61</v>
      </c>
    </row>
    <row r="50" spans="5:6" x14ac:dyDescent="0.3">
      <c r="E50" s="2">
        <v>165</v>
      </c>
      <c r="F50" s="2">
        <v>61</v>
      </c>
    </row>
    <row r="51" spans="5:6" x14ac:dyDescent="0.3">
      <c r="E51" s="2">
        <v>165</v>
      </c>
      <c r="F51" s="2">
        <v>61</v>
      </c>
    </row>
    <row r="52" spans="5:6" x14ac:dyDescent="0.3">
      <c r="E52" s="2">
        <v>165</v>
      </c>
      <c r="F52" s="2">
        <v>61</v>
      </c>
    </row>
    <row r="53" spans="5:6" x14ac:dyDescent="0.3">
      <c r="E53" s="2">
        <v>166</v>
      </c>
      <c r="F53" s="2">
        <v>61</v>
      </c>
    </row>
    <row r="54" spans="5:6" x14ac:dyDescent="0.3">
      <c r="E54" s="2">
        <v>166</v>
      </c>
      <c r="F54" s="2">
        <v>61</v>
      </c>
    </row>
    <row r="55" spans="5:6" x14ac:dyDescent="0.3">
      <c r="E55" s="2">
        <v>166</v>
      </c>
      <c r="F55" s="2">
        <v>61</v>
      </c>
    </row>
    <row r="56" spans="5:6" x14ac:dyDescent="0.3">
      <c r="E56" s="2">
        <v>166</v>
      </c>
      <c r="F56" s="2">
        <v>61</v>
      </c>
    </row>
    <row r="57" spans="5:6" x14ac:dyDescent="0.3">
      <c r="E57" s="2">
        <v>166</v>
      </c>
      <c r="F57" s="2">
        <v>62</v>
      </c>
    </row>
    <row r="58" spans="5:6" x14ac:dyDescent="0.3">
      <c r="E58" s="2">
        <v>166</v>
      </c>
      <c r="F58" s="2">
        <v>62</v>
      </c>
    </row>
    <row r="59" spans="5:6" x14ac:dyDescent="0.3">
      <c r="E59" s="2">
        <v>166</v>
      </c>
      <c r="F59" s="2">
        <v>62</v>
      </c>
    </row>
    <row r="60" spans="5:6" x14ac:dyDescent="0.3">
      <c r="E60" s="2">
        <v>166</v>
      </c>
      <c r="F60" s="2">
        <v>62</v>
      </c>
    </row>
    <row r="61" spans="5:6" x14ac:dyDescent="0.3">
      <c r="E61" s="2">
        <v>166</v>
      </c>
      <c r="F61" s="2">
        <v>62</v>
      </c>
    </row>
    <row r="62" spans="5:6" x14ac:dyDescent="0.3">
      <c r="E62" s="2">
        <v>166</v>
      </c>
      <c r="F62" s="2">
        <v>62</v>
      </c>
    </row>
    <row r="63" spans="5:6" x14ac:dyDescent="0.3">
      <c r="E63" s="2">
        <v>166</v>
      </c>
      <c r="F63" s="2">
        <v>62</v>
      </c>
    </row>
    <row r="64" spans="5:6" x14ac:dyDescent="0.3">
      <c r="E64" s="2">
        <v>167</v>
      </c>
      <c r="F64" s="2">
        <v>62</v>
      </c>
    </row>
    <row r="65" spans="5:6" x14ac:dyDescent="0.3">
      <c r="E65" s="2">
        <v>167</v>
      </c>
      <c r="F65" s="2">
        <v>62</v>
      </c>
    </row>
    <row r="66" spans="5:6" x14ac:dyDescent="0.3">
      <c r="E66" s="2">
        <v>167</v>
      </c>
      <c r="F66" s="2">
        <v>62</v>
      </c>
    </row>
    <row r="67" spans="5:6" x14ac:dyDescent="0.3">
      <c r="E67" s="2">
        <v>167</v>
      </c>
      <c r="F67" s="2">
        <v>63</v>
      </c>
    </row>
    <row r="68" spans="5:6" x14ac:dyDescent="0.3">
      <c r="E68" s="2">
        <v>167</v>
      </c>
      <c r="F68" s="2">
        <v>63</v>
      </c>
    </row>
    <row r="69" spans="5:6" x14ac:dyDescent="0.3">
      <c r="E69" s="2">
        <v>167</v>
      </c>
      <c r="F69" s="2">
        <v>63</v>
      </c>
    </row>
    <row r="70" spans="5:6" x14ac:dyDescent="0.3">
      <c r="E70" s="2">
        <v>167</v>
      </c>
      <c r="F70" s="2">
        <v>63</v>
      </c>
    </row>
    <row r="71" spans="5:6" x14ac:dyDescent="0.3">
      <c r="E71" s="2">
        <v>167</v>
      </c>
      <c r="F71" s="2">
        <v>63</v>
      </c>
    </row>
    <row r="72" spans="5:6" x14ac:dyDescent="0.3">
      <c r="E72" s="2">
        <v>168</v>
      </c>
      <c r="F72" s="2">
        <v>63</v>
      </c>
    </row>
    <row r="73" spans="5:6" x14ac:dyDescent="0.3">
      <c r="E73" s="2">
        <v>168</v>
      </c>
      <c r="F73" s="2">
        <v>63</v>
      </c>
    </row>
    <row r="74" spans="5:6" x14ac:dyDescent="0.3">
      <c r="E74" s="2">
        <v>168</v>
      </c>
      <c r="F74" s="2">
        <v>63</v>
      </c>
    </row>
    <row r="75" spans="5:6" x14ac:dyDescent="0.3">
      <c r="E75" s="2">
        <v>168</v>
      </c>
      <c r="F75" s="2">
        <v>63</v>
      </c>
    </row>
    <row r="76" spans="5:6" x14ac:dyDescent="0.3">
      <c r="E76" s="2">
        <v>168</v>
      </c>
      <c r="F76" s="2">
        <v>63</v>
      </c>
    </row>
    <row r="77" spans="5:6" x14ac:dyDescent="0.3">
      <c r="E77" s="2">
        <v>168</v>
      </c>
      <c r="F77" s="2">
        <v>63</v>
      </c>
    </row>
    <row r="78" spans="5:6" x14ac:dyDescent="0.3">
      <c r="E78" s="2">
        <v>168</v>
      </c>
      <c r="F78" s="2">
        <v>63</v>
      </c>
    </row>
    <row r="79" spans="5:6" x14ac:dyDescent="0.3">
      <c r="E79" s="2">
        <v>168</v>
      </c>
      <c r="F79" s="2">
        <v>63</v>
      </c>
    </row>
    <row r="80" spans="5:6" x14ac:dyDescent="0.3">
      <c r="E80" s="2">
        <v>168</v>
      </c>
      <c r="F80" s="2">
        <v>63</v>
      </c>
    </row>
    <row r="81" spans="5:6" x14ac:dyDescent="0.3">
      <c r="E81" s="2">
        <v>168</v>
      </c>
      <c r="F81" s="2">
        <v>63</v>
      </c>
    </row>
    <row r="82" spans="5:6" x14ac:dyDescent="0.3">
      <c r="E82" s="2">
        <v>168</v>
      </c>
      <c r="F82" s="2">
        <v>63</v>
      </c>
    </row>
    <row r="83" spans="5:6" x14ac:dyDescent="0.3">
      <c r="E83" s="2">
        <v>168</v>
      </c>
      <c r="F83" s="2">
        <v>63</v>
      </c>
    </row>
    <row r="84" spans="5:6" x14ac:dyDescent="0.3">
      <c r="E84" s="2">
        <v>168</v>
      </c>
      <c r="F84" s="2">
        <v>64</v>
      </c>
    </row>
    <row r="85" spans="5:6" x14ac:dyDescent="0.3">
      <c r="E85" s="2">
        <v>168</v>
      </c>
      <c r="F85" s="2">
        <v>64</v>
      </c>
    </row>
    <row r="86" spans="5:6" x14ac:dyDescent="0.3">
      <c r="E86" s="2">
        <v>168</v>
      </c>
      <c r="F86" s="2">
        <v>64</v>
      </c>
    </row>
    <row r="87" spans="5:6" x14ac:dyDescent="0.3">
      <c r="E87" s="2">
        <v>169</v>
      </c>
      <c r="F87" s="2">
        <v>64</v>
      </c>
    </row>
    <row r="88" spans="5:6" x14ac:dyDescent="0.3">
      <c r="E88" s="2">
        <v>169</v>
      </c>
      <c r="F88" s="2">
        <v>64</v>
      </c>
    </row>
    <row r="89" spans="5:6" x14ac:dyDescent="0.3">
      <c r="E89" s="2">
        <v>169</v>
      </c>
      <c r="F89" s="2">
        <v>64</v>
      </c>
    </row>
    <row r="90" spans="5:6" x14ac:dyDescent="0.3">
      <c r="E90" s="2">
        <v>169</v>
      </c>
      <c r="F90" s="2">
        <v>64</v>
      </c>
    </row>
    <row r="91" spans="5:6" x14ac:dyDescent="0.3">
      <c r="E91" s="2">
        <v>169</v>
      </c>
      <c r="F91" s="2">
        <v>64</v>
      </c>
    </row>
    <row r="92" spans="5:6" x14ac:dyDescent="0.3">
      <c r="E92" s="2">
        <v>169</v>
      </c>
      <c r="F92" s="2">
        <v>64</v>
      </c>
    </row>
    <row r="93" spans="5:6" x14ac:dyDescent="0.3">
      <c r="E93" s="2">
        <v>169</v>
      </c>
      <c r="F93" s="2">
        <v>64</v>
      </c>
    </row>
    <row r="94" spans="5:6" x14ac:dyDescent="0.3">
      <c r="E94" s="2">
        <v>169</v>
      </c>
      <c r="F94" s="2">
        <v>65</v>
      </c>
    </row>
    <row r="95" spans="5:6" x14ac:dyDescent="0.3">
      <c r="E95" s="2">
        <v>169</v>
      </c>
      <c r="F95" s="2">
        <v>65</v>
      </c>
    </row>
    <row r="96" spans="5:6" x14ac:dyDescent="0.3">
      <c r="E96" s="2">
        <v>169</v>
      </c>
      <c r="F96" s="2">
        <v>65</v>
      </c>
    </row>
    <row r="97" spans="5:6" x14ac:dyDescent="0.3">
      <c r="E97" s="2">
        <v>169</v>
      </c>
      <c r="F97" s="2">
        <v>65</v>
      </c>
    </row>
    <row r="98" spans="5:6" x14ac:dyDescent="0.3">
      <c r="E98" s="2">
        <v>169</v>
      </c>
      <c r="F98" s="2">
        <v>65</v>
      </c>
    </row>
    <row r="99" spans="5:6" x14ac:dyDescent="0.3">
      <c r="E99" s="2">
        <v>169</v>
      </c>
      <c r="F99" s="2">
        <v>65</v>
      </c>
    </row>
    <row r="100" spans="5:6" x14ac:dyDescent="0.3">
      <c r="E100" s="2">
        <v>170</v>
      </c>
      <c r="F100" s="2">
        <v>65</v>
      </c>
    </row>
    <row r="101" spans="5:6" x14ac:dyDescent="0.3">
      <c r="E101" s="2">
        <v>170</v>
      </c>
      <c r="F101" s="2">
        <v>65</v>
      </c>
    </row>
    <row r="102" spans="5:6" x14ac:dyDescent="0.3">
      <c r="E102" s="2">
        <v>170</v>
      </c>
      <c r="F102" s="2">
        <v>65</v>
      </c>
    </row>
    <row r="103" spans="5:6" x14ac:dyDescent="0.3">
      <c r="E103" s="2">
        <v>170</v>
      </c>
      <c r="F103" s="2">
        <v>65</v>
      </c>
    </row>
    <row r="104" spans="5:6" x14ac:dyDescent="0.3">
      <c r="E104" s="2">
        <v>170</v>
      </c>
      <c r="F104" s="2">
        <v>66</v>
      </c>
    </row>
    <row r="105" spans="5:6" x14ac:dyDescent="0.3">
      <c r="E105" s="2">
        <v>170</v>
      </c>
      <c r="F105" s="2">
        <v>66</v>
      </c>
    </row>
    <row r="106" spans="5:6" x14ac:dyDescent="0.3">
      <c r="E106" s="2">
        <v>170</v>
      </c>
      <c r="F106" s="2">
        <v>66</v>
      </c>
    </row>
    <row r="107" spans="5:6" x14ac:dyDescent="0.3">
      <c r="E107" s="2">
        <v>170</v>
      </c>
      <c r="F107" s="2">
        <v>66</v>
      </c>
    </row>
    <row r="108" spans="5:6" x14ac:dyDescent="0.3">
      <c r="E108" s="2">
        <v>170</v>
      </c>
      <c r="F108" s="2">
        <v>66</v>
      </c>
    </row>
    <row r="109" spans="5:6" x14ac:dyDescent="0.3">
      <c r="E109" s="2">
        <v>170</v>
      </c>
      <c r="F109" s="2">
        <v>66</v>
      </c>
    </row>
    <row r="110" spans="5:6" x14ac:dyDescent="0.3">
      <c r="E110" s="2">
        <v>170</v>
      </c>
      <c r="F110" s="2">
        <v>66</v>
      </c>
    </row>
    <row r="111" spans="5:6" x14ac:dyDescent="0.3">
      <c r="E111" s="2">
        <v>170</v>
      </c>
      <c r="F111" s="2">
        <v>66</v>
      </c>
    </row>
    <row r="112" spans="5:6" x14ac:dyDescent="0.3">
      <c r="E112" s="2">
        <v>170</v>
      </c>
      <c r="F112" s="2">
        <v>66</v>
      </c>
    </row>
    <row r="113" spans="5:6" x14ac:dyDescent="0.3">
      <c r="E113" s="2">
        <v>171</v>
      </c>
      <c r="F113" s="2">
        <v>66</v>
      </c>
    </row>
    <row r="114" spans="5:6" x14ac:dyDescent="0.3">
      <c r="E114" s="2">
        <v>171</v>
      </c>
      <c r="F114" s="2">
        <v>66</v>
      </c>
    </row>
    <row r="115" spans="5:6" x14ac:dyDescent="0.3">
      <c r="E115" s="2">
        <v>171</v>
      </c>
      <c r="F115" s="2">
        <v>66</v>
      </c>
    </row>
    <row r="116" spans="5:6" x14ac:dyDescent="0.3">
      <c r="E116" s="2">
        <v>171</v>
      </c>
      <c r="F116" s="2">
        <v>66</v>
      </c>
    </row>
    <row r="117" spans="5:6" x14ac:dyDescent="0.3">
      <c r="E117" s="2">
        <v>171</v>
      </c>
      <c r="F117" s="2">
        <v>66</v>
      </c>
    </row>
    <row r="118" spans="5:6" x14ac:dyDescent="0.3">
      <c r="E118" s="2">
        <v>171</v>
      </c>
      <c r="F118" s="2">
        <v>66</v>
      </c>
    </row>
    <row r="119" spans="5:6" x14ac:dyDescent="0.3">
      <c r="E119" s="2">
        <v>171</v>
      </c>
      <c r="F119" s="2">
        <v>66</v>
      </c>
    </row>
    <row r="120" spans="5:6" x14ac:dyDescent="0.3">
      <c r="E120" s="2">
        <v>171</v>
      </c>
      <c r="F120" s="2">
        <v>66</v>
      </c>
    </row>
    <row r="121" spans="5:6" x14ac:dyDescent="0.3">
      <c r="E121" s="2">
        <v>171</v>
      </c>
      <c r="F121" s="2">
        <v>67</v>
      </c>
    </row>
    <row r="122" spans="5:6" x14ac:dyDescent="0.3">
      <c r="E122" s="2">
        <v>171</v>
      </c>
      <c r="F122" s="2">
        <v>67</v>
      </c>
    </row>
    <row r="123" spans="5:6" x14ac:dyDescent="0.3">
      <c r="E123" s="2">
        <v>171</v>
      </c>
      <c r="F123" s="2">
        <v>67</v>
      </c>
    </row>
    <row r="124" spans="5:6" x14ac:dyDescent="0.3">
      <c r="E124" s="2">
        <v>171</v>
      </c>
      <c r="F124" s="2">
        <v>67</v>
      </c>
    </row>
    <row r="125" spans="5:6" x14ac:dyDescent="0.3">
      <c r="E125" s="2">
        <v>171</v>
      </c>
      <c r="F125" s="2">
        <v>67</v>
      </c>
    </row>
    <row r="126" spans="5:6" x14ac:dyDescent="0.3">
      <c r="E126" s="2">
        <v>171</v>
      </c>
      <c r="F126" s="2">
        <v>67</v>
      </c>
    </row>
    <row r="127" spans="5:6" x14ac:dyDescent="0.3">
      <c r="E127" s="2">
        <v>171</v>
      </c>
      <c r="F127" s="2">
        <v>67</v>
      </c>
    </row>
    <row r="128" spans="5:6" x14ac:dyDescent="0.3">
      <c r="E128" s="2">
        <v>171</v>
      </c>
      <c r="F128" s="2">
        <v>67</v>
      </c>
    </row>
    <row r="129" spans="5:6" x14ac:dyDescent="0.3">
      <c r="E129" s="2">
        <v>171</v>
      </c>
      <c r="F129" s="2">
        <v>67</v>
      </c>
    </row>
    <row r="130" spans="5:6" x14ac:dyDescent="0.3">
      <c r="E130" s="2">
        <v>171</v>
      </c>
      <c r="F130" s="2">
        <v>67</v>
      </c>
    </row>
    <row r="131" spans="5:6" x14ac:dyDescent="0.3">
      <c r="E131" s="2">
        <v>171</v>
      </c>
      <c r="F131" s="2">
        <v>67</v>
      </c>
    </row>
    <row r="132" spans="5:6" x14ac:dyDescent="0.3">
      <c r="E132" s="2">
        <v>171</v>
      </c>
      <c r="F132" s="2">
        <v>67</v>
      </c>
    </row>
    <row r="133" spans="5:6" x14ac:dyDescent="0.3">
      <c r="E133" s="2">
        <v>171</v>
      </c>
      <c r="F133" s="2">
        <v>67</v>
      </c>
    </row>
    <row r="134" spans="5:6" x14ac:dyDescent="0.3">
      <c r="E134" s="2">
        <v>171</v>
      </c>
      <c r="F134" s="2">
        <v>67</v>
      </c>
    </row>
    <row r="135" spans="5:6" x14ac:dyDescent="0.3">
      <c r="E135" s="2">
        <v>172</v>
      </c>
      <c r="F135" s="2">
        <v>67</v>
      </c>
    </row>
    <row r="136" spans="5:6" x14ac:dyDescent="0.3">
      <c r="E136" s="2">
        <v>172</v>
      </c>
      <c r="F136" s="2">
        <v>67</v>
      </c>
    </row>
    <row r="137" spans="5:6" x14ac:dyDescent="0.3">
      <c r="E137" s="2">
        <v>172</v>
      </c>
      <c r="F137" s="2">
        <v>67</v>
      </c>
    </row>
    <row r="138" spans="5:6" x14ac:dyDescent="0.3">
      <c r="E138" s="2">
        <v>172</v>
      </c>
      <c r="F138" s="2">
        <v>68</v>
      </c>
    </row>
    <row r="139" spans="5:6" x14ac:dyDescent="0.3">
      <c r="E139" s="2">
        <v>172</v>
      </c>
      <c r="F139" s="2">
        <v>68</v>
      </c>
    </row>
    <row r="140" spans="5:6" x14ac:dyDescent="0.3">
      <c r="E140" s="2">
        <v>172</v>
      </c>
      <c r="F140" s="2">
        <v>68</v>
      </c>
    </row>
    <row r="141" spans="5:6" x14ac:dyDescent="0.3">
      <c r="E141" s="2">
        <v>172</v>
      </c>
      <c r="F141" s="2">
        <v>68</v>
      </c>
    </row>
    <row r="142" spans="5:6" x14ac:dyDescent="0.3">
      <c r="E142" s="2">
        <v>172</v>
      </c>
      <c r="F142" s="2">
        <v>68</v>
      </c>
    </row>
    <row r="143" spans="5:6" x14ac:dyDescent="0.3">
      <c r="E143" s="2">
        <v>172</v>
      </c>
      <c r="F143" s="2">
        <v>68</v>
      </c>
    </row>
    <row r="144" spans="5:6" x14ac:dyDescent="0.3">
      <c r="E144" s="2">
        <v>172</v>
      </c>
      <c r="F144" s="2">
        <v>69</v>
      </c>
    </row>
    <row r="145" spans="5:6" x14ac:dyDescent="0.3">
      <c r="E145" s="2">
        <v>172</v>
      </c>
      <c r="F145" s="2">
        <v>69</v>
      </c>
    </row>
    <row r="146" spans="5:6" x14ac:dyDescent="0.3">
      <c r="E146" s="2">
        <v>173</v>
      </c>
      <c r="F146" s="2">
        <v>69</v>
      </c>
    </row>
    <row r="147" spans="5:6" x14ac:dyDescent="0.3">
      <c r="E147" s="2">
        <v>173</v>
      </c>
      <c r="F147" s="2">
        <v>69</v>
      </c>
    </row>
    <row r="148" spans="5:6" x14ac:dyDescent="0.3">
      <c r="E148" s="2">
        <v>173</v>
      </c>
      <c r="F148" s="2">
        <v>69</v>
      </c>
    </row>
    <row r="149" spans="5:6" x14ac:dyDescent="0.3">
      <c r="E149" s="2">
        <v>173</v>
      </c>
      <c r="F149" s="2">
        <v>69</v>
      </c>
    </row>
    <row r="150" spans="5:6" x14ac:dyDescent="0.3">
      <c r="E150" s="2">
        <v>173</v>
      </c>
      <c r="F150" s="2">
        <v>69</v>
      </c>
    </row>
    <row r="151" spans="5:6" x14ac:dyDescent="0.3">
      <c r="E151" s="2">
        <v>173</v>
      </c>
      <c r="F151" s="2">
        <v>69</v>
      </c>
    </row>
    <row r="152" spans="5:6" x14ac:dyDescent="0.3">
      <c r="E152" s="2">
        <v>173</v>
      </c>
      <c r="F152" s="2">
        <v>69</v>
      </c>
    </row>
    <row r="153" spans="5:6" x14ac:dyDescent="0.3">
      <c r="E153" s="2">
        <v>173</v>
      </c>
      <c r="F153" s="2">
        <v>69</v>
      </c>
    </row>
    <row r="154" spans="5:6" x14ac:dyDescent="0.3">
      <c r="E154" s="2">
        <v>173</v>
      </c>
      <c r="F154" s="2">
        <v>69</v>
      </c>
    </row>
    <row r="155" spans="5:6" x14ac:dyDescent="0.3">
      <c r="E155" s="2">
        <v>173</v>
      </c>
      <c r="F155" s="2">
        <v>70</v>
      </c>
    </row>
    <row r="156" spans="5:6" x14ac:dyDescent="0.3">
      <c r="E156" s="2">
        <v>173</v>
      </c>
      <c r="F156" s="2">
        <v>70</v>
      </c>
    </row>
    <row r="157" spans="5:6" x14ac:dyDescent="0.3">
      <c r="E157" s="2">
        <v>173</v>
      </c>
      <c r="F157" s="2">
        <v>70</v>
      </c>
    </row>
    <row r="158" spans="5:6" x14ac:dyDescent="0.3">
      <c r="E158" s="2">
        <v>173</v>
      </c>
      <c r="F158" s="2">
        <v>70</v>
      </c>
    </row>
    <row r="159" spans="5:6" x14ac:dyDescent="0.3">
      <c r="E159" s="2">
        <v>173</v>
      </c>
      <c r="F159" s="2">
        <v>70</v>
      </c>
    </row>
    <row r="160" spans="5:6" x14ac:dyDescent="0.3">
      <c r="E160" s="2">
        <v>173</v>
      </c>
      <c r="F160" s="2">
        <v>70</v>
      </c>
    </row>
    <row r="161" spans="5:6" x14ac:dyDescent="0.3">
      <c r="E161" s="2">
        <v>173</v>
      </c>
      <c r="F161" s="2">
        <v>70</v>
      </c>
    </row>
    <row r="162" spans="5:6" x14ac:dyDescent="0.3">
      <c r="E162" s="2">
        <v>174</v>
      </c>
      <c r="F162" s="2">
        <v>70</v>
      </c>
    </row>
    <row r="163" spans="5:6" x14ac:dyDescent="0.3">
      <c r="E163" s="2">
        <v>174</v>
      </c>
      <c r="F163" s="2">
        <v>70</v>
      </c>
    </row>
    <row r="164" spans="5:6" x14ac:dyDescent="0.3">
      <c r="E164" s="2">
        <v>174</v>
      </c>
      <c r="F164" s="2">
        <v>70</v>
      </c>
    </row>
    <row r="165" spans="5:6" x14ac:dyDescent="0.3">
      <c r="E165" s="2">
        <v>174</v>
      </c>
      <c r="F165" s="2">
        <v>70</v>
      </c>
    </row>
    <row r="166" spans="5:6" x14ac:dyDescent="0.3">
      <c r="E166" s="2">
        <v>174</v>
      </c>
      <c r="F166" s="2">
        <v>71</v>
      </c>
    </row>
    <row r="167" spans="5:6" x14ac:dyDescent="0.3">
      <c r="E167" s="2">
        <v>174</v>
      </c>
      <c r="F167" s="2">
        <v>71</v>
      </c>
    </row>
    <row r="168" spans="5:6" x14ac:dyDescent="0.3">
      <c r="E168" s="2">
        <v>174</v>
      </c>
      <c r="F168" s="2">
        <v>71</v>
      </c>
    </row>
    <row r="169" spans="5:6" x14ac:dyDescent="0.3">
      <c r="E169" s="2">
        <v>174</v>
      </c>
      <c r="F169" s="2">
        <v>71</v>
      </c>
    </row>
    <row r="170" spans="5:6" x14ac:dyDescent="0.3">
      <c r="E170" s="2">
        <v>175</v>
      </c>
      <c r="F170" s="2">
        <v>71</v>
      </c>
    </row>
    <row r="171" spans="5:6" x14ac:dyDescent="0.3">
      <c r="E171" s="2">
        <v>175</v>
      </c>
      <c r="F171" s="2">
        <v>72</v>
      </c>
    </row>
    <row r="172" spans="5:6" x14ac:dyDescent="0.3">
      <c r="E172" s="2">
        <v>175</v>
      </c>
      <c r="F172" s="2">
        <v>72</v>
      </c>
    </row>
    <row r="173" spans="5:6" x14ac:dyDescent="0.3">
      <c r="E173" s="2">
        <v>175</v>
      </c>
      <c r="F173" s="2">
        <v>72</v>
      </c>
    </row>
    <row r="174" spans="5:6" x14ac:dyDescent="0.3">
      <c r="E174" s="2">
        <v>175</v>
      </c>
      <c r="F174" s="2">
        <v>72</v>
      </c>
    </row>
    <row r="175" spans="5:6" x14ac:dyDescent="0.3">
      <c r="E175" s="2">
        <v>175</v>
      </c>
      <c r="F175" s="2">
        <v>72</v>
      </c>
    </row>
    <row r="176" spans="5:6" x14ac:dyDescent="0.3">
      <c r="E176" s="2">
        <v>175</v>
      </c>
      <c r="F176" s="2">
        <v>73</v>
      </c>
    </row>
    <row r="177" spans="5:6" x14ac:dyDescent="0.3">
      <c r="E177" s="2">
        <v>176</v>
      </c>
      <c r="F177" s="2">
        <v>73</v>
      </c>
    </row>
    <row r="178" spans="5:6" x14ac:dyDescent="0.3">
      <c r="E178" s="2">
        <v>176</v>
      </c>
      <c r="F178" s="2">
        <v>73</v>
      </c>
    </row>
    <row r="179" spans="5:6" x14ac:dyDescent="0.3">
      <c r="E179" s="2">
        <v>176</v>
      </c>
      <c r="F179" s="2">
        <v>74</v>
      </c>
    </row>
    <row r="180" spans="5:6" x14ac:dyDescent="0.3">
      <c r="E180" s="2">
        <v>176</v>
      </c>
      <c r="F180" s="2">
        <v>74</v>
      </c>
    </row>
    <row r="181" spans="5:6" x14ac:dyDescent="0.3">
      <c r="E181" s="2">
        <v>176</v>
      </c>
      <c r="F181" s="2">
        <v>74</v>
      </c>
    </row>
    <row r="182" spans="5:6" x14ac:dyDescent="0.3">
      <c r="E182" s="2">
        <v>176</v>
      </c>
      <c r="F182" s="2">
        <v>74</v>
      </c>
    </row>
    <row r="183" spans="5:6" x14ac:dyDescent="0.3">
      <c r="E183" s="2">
        <v>177</v>
      </c>
      <c r="F183" s="2">
        <v>74</v>
      </c>
    </row>
    <row r="184" spans="5:6" x14ac:dyDescent="0.3">
      <c r="E184" s="2">
        <v>177</v>
      </c>
      <c r="F184" s="2">
        <v>74</v>
      </c>
    </row>
    <row r="185" spans="5:6" x14ac:dyDescent="0.3">
      <c r="E185" s="2">
        <v>177</v>
      </c>
      <c r="F185" s="2">
        <v>75</v>
      </c>
    </row>
    <row r="186" spans="5:6" x14ac:dyDescent="0.3">
      <c r="E186" s="2">
        <v>177</v>
      </c>
      <c r="F186" s="2">
        <v>75</v>
      </c>
    </row>
    <row r="187" spans="5:6" x14ac:dyDescent="0.3">
      <c r="E187" s="2">
        <v>178</v>
      </c>
      <c r="F187" s="2">
        <v>75</v>
      </c>
    </row>
    <row r="188" spans="5:6" x14ac:dyDescent="0.3">
      <c r="E188" s="2">
        <v>178</v>
      </c>
      <c r="F188" s="2">
        <v>75</v>
      </c>
    </row>
    <row r="189" spans="5:6" x14ac:dyDescent="0.3">
      <c r="E189" s="2">
        <v>178</v>
      </c>
      <c r="F189" s="2">
        <v>75</v>
      </c>
    </row>
    <row r="190" spans="5:6" x14ac:dyDescent="0.3">
      <c r="E190" s="2">
        <v>178</v>
      </c>
      <c r="F190" s="2">
        <v>75</v>
      </c>
    </row>
    <row r="191" spans="5:6" x14ac:dyDescent="0.3">
      <c r="E191" s="2">
        <v>178</v>
      </c>
      <c r="F191" s="2">
        <v>76</v>
      </c>
    </row>
    <row r="192" spans="5:6" x14ac:dyDescent="0.3">
      <c r="E192" s="2">
        <v>179</v>
      </c>
      <c r="F192" s="2">
        <v>77</v>
      </c>
    </row>
    <row r="193" spans="5:6" x14ac:dyDescent="0.3">
      <c r="E193" s="2">
        <v>179</v>
      </c>
      <c r="F193" s="2">
        <v>77</v>
      </c>
    </row>
    <row r="194" spans="5:6" x14ac:dyDescent="0.3">
      <c r="E194" s="2">
        <v>179</v>
      </c>
      <c r="F194" s="2">
        <v>78</v>
      </c>
    </row>
    <row r="195" spans="5:6" x14ac:dyDescent="0.3">
      <c r="E195" s="2">
        <v>179</v>
      </c>
      <c r="F195" s="2">
        <v>78</v>
      </c>
    </row>
    <row r="196" spans="5:6" x14ac:dyDescent="0.3">
      <c r="E196" s="2">
        <v>179</v>
      </c>
      <c r="F196" s="2">
        <v>78</v>
      </c>
    </row>
    <row r="197" spans="5:6" x14ac:dyDescent="0.3">
      <c r="E197" s="2">
        <v>181</v>
      </c>
      <c r="F197" s="2">
        <v>79</v>
      </c>
    </row>
    <row r="198" spans="5:6" x14ac:dyDescent="0.3">
      <c r="E198" s="2">
        <v>184</v>
      </c>
      <c r="F198" s="2">
        <v>80</v>
      </c>
    </row>
    <row r="199" spans="5:6" x14ac:dyDescent="0.3">
      <c r="E199" s="2">
        <v>184</v>
      </c>
      <c r="F199" s="2">
        <v>80</v>
      </c>
    </row>
    <row r="200" spans="5:6" x14ac:dyDescent="0.3">
      <c r="E200" s="2">
        <v>187</v>
      </c>
      <c r="F200" s="2">
        <v>81</v>
      </c>
    </row>
    <row r="201" spans="5:6" x14ac:dyDescent="0.3">
      <c r="E201" s="2">
        <v>188</v>
      </c>
      <c r="F201" s="2">
        <v>84</v>
      </c>
    </row>
  </sheetData>
  <mergeCells count="2">
    <mergeCell ref="A2:B2"/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02F-C6CB-4504-BF32-7D7209CCD86B}">
  <dimension ref="A1:G22"/>
  <sheetViews>
    <sheetView workbookViewId="0">
      <selection activeCell="A28" sqref="A28"/>
    </sheetView>
  </sheetViews>
  <sheetFormatPr defaultRowHeight="14.4" x14ac:dyDescent="0.3"/>
  <cols>
    <col min="1" max="1" width="19.44140625" bestFit="1" customWidth="1"/>
  </cols>
  <sheetData>
    <row r="1" spans="1:7" x14ac:dyDescent="0.3">
      <c r="A1" t="s">
        <v>29</v>
      </c>
      <c r="B1">
        <v>0.95</v>
      </c>
      <c r="G1" t="s">
        <v>76</v>
      </c>
    </row>
    <row r="2" spans="1:7" x14ac:dyDescent="0.3">
      <c r="A2" t="s">
        <v>63</v>
      </c>
      <c r="B2">
        <v>170</v>
      </c>
      <c r="G2" cm="1">
        <f t="array" ref="G2:G11">ЧАСТОТЫ_РОСТА * (СЕРЕДИНЫ_ИНТЕРВАЛОВ_РОСТ - 170)^2</f>
        <v>1537.6000000000013</v>
      </c>
    </row>
    <row r="3" spans="1:7" x14ac:dyDescent="0.3">
      <c r="A3" t="s">
        <v>66</v>
      </c>
      <c r="B3">
        <v>36</v>
      </c>
      <c r="G3">
        <v>846.40000000000316</v>
      </c>
    </row>
    <row r="4" spans="1:7" x14ac:dyDescent="0.3">
      <c r="A4" t="s">
        <v>66</v>
      </c>
      <c r="B4">
        <v>6</v>
      </c>
      <c r="G4">
        <v>1116.0000000000105</v>
      </c>
    </row>
    <row r="5" spans="1:7" x14ac:dyDescent="0.3">
      <c r="A5" t="s">
        <v>67</v>
      </c>
      <c r="G5">
        <v>266.56000000000756</v>
      </c>
    </row>
    <row r="6" spans="1:7" x14ac:dyDescent="0.3">
      <c r="A6" t="s">
        <v>68</v>
      </c>
      <c r="B6">
        <f>_xlfn.NORM.S.INV((1+0.95)/2)</f>
        <v>1.9599639845400536</v>
      </c>
      <c r="G6">
        <v>7.6799999999980351</v>
      </c>
    </row>
    <row r="7" spans="1:7" x14ac:dyDescent="0.3">
      <c r="A7" t="s">
        <v>69</v>
      </c>
      <c r="B7">
        <f>СРЕДНЕЕ_РОСТ_ИНТЕРВАЛ -  B6 * 6 / SQRT(200)</f>
        <v>168.64045770539016</v>
      </c>
      <c r="G7">
        <v>544.31999999998106</v>
      </c>
    </row>
    <row r="8" spans="1:7" x14ac:dyDescent="0.3">
      <c r="A8" t="s">
        <v>70</v>
      </c>
      <c r="B8">
        <f>СРЕДНЕЕ_РОСТ_ИНТЕРВАЛ +  B6 * 6 / SQRT(200)</f>
        <v>170.3035422946098</v>
      </c>
      <c r="G8">
        <v>693.5999999999849</v>
      </c>
    </row>
    <row r="9" spans="1:7" x14ac:dyDescent="0.3">
      <c r="A9" t="s">
        <v>71</v>
      </c>
      <c r="G9">
        <v>599.99999999998977</v>
      </c>
    </row>
    <row r="10" spans="1:7" x14ac:dyDescent="0.3">
      <c r="A10" t="s">
        <v>68</v>
      </c>
      <c r="B10">
        <f>_xlfn.T.INV.2T(1 - 0.95, (200 - 1))</f>
        <v>1.9719565442517553</v>
      </c>
      <c r="G10">
        <v>348.4799999999949</v>
      </c>
    </row>
    <row r="11" spans="1:7" x14ac:dyDescent="0.3">
      <c r="A11" t="s">
        <v>69</v>
      </c>
      <c r="B11">
        <f>СРЕДНЕЕ_РОСТ_ИНТЕРВАЛ - B10* ИСПРАВЛЕННАЯ_ДИСПЕРСИЯ_РОСТ_ИНТЕРВАЛ/SQRT(200)</f>
        <v>164.9575574390397</v>
      </c>
      <c r="G11">
        <v>537.91999999999291</v>
      </c>
    </row>
    <row r="12" spans="1:7" x14ac:dyDescent="0.3">
      <c r="A12" t="s">
        <v>70</v>
      </c>
      <c r="B12">
        <f>СРЕДНЕЕ_РОСТ_ИНТЕРВАЛ + B10* ИСПРАВЛЕННАЯ_ДИСПЕРСИЯ_РОСТ_ИНТЕРВАЛ/SQRT(200)</f>
        <v>173.98644256096026</v>
      </c>
      <c r="G12">
        <f>SUM(G2:G11)</f>
        <v>6498.559999999964</v>
      </c>
    </row>
    <row r="13" spans="1:7" x14ac:dyDescent="0.3">
      <c r="A13" t="s">
        <v>72</v>
      </c>
    </row>
    <row r="14" spans="1:7" x14ac:dyDescent="0.3">
      <c r="A14" t="s">
        <v>74</v>
      </c>
      <c r="B14">
        <f>_xlfn.CHISQ.INV((1 - 0.95) / 2, (199))</f>
        <v>161.82618239364686</v>
      </c>
    </row>
    <row r="15" spans="1:7" x14ac:dyDescent="0.3">
      <c r="A15" t="s">
        <v>75</v>
      </c>
      <c r="B15">
        <f>_xlfn.CHISQ.INV((1 + 0.95) / 2, (199))</f>
        <v>239.9596818276442</v>
      </c>
    </row>
    <row r="16" spans="1:7" x14ac:dyDescent="0.3">
      <c r="A16" t="s">
        <v>69</v>
      </c>
      <c r="B16">
        <f>199*ИСПРАВЛЕННАЯ_ДИСПЕРСИЯ_РОСТ_ИНТЕРВАЛ/B15</f>
        <v>26.849523848875688</v>
      </c>
    </row>
    <row r="17" spans="1:2" x14ac:dyDescent="0.3">
      <c r="A17" t="s">
        <v>70</v>
      </c>
      <c r="B17">
        <f>199*ИСПРАВЛЕННАЯ_ДИСПЕРСИЯ_РОСТ_ИНТЕРВАЛ/B14</f>
        <v>39.813107525008839</v>
      </c>
    </row>
    <row r="18" spans="1:2" x14ac:dyDescent="0.3">
      <c r="A18" t="s">
        <v>73</v>
      </c>
    </row>
    <row r="19" spans="1:2" x14ac:dyDescent="0.3">
      <c r="A19" t="s">
        <v>74</v>
      </c>
      <c r="B19">
        <f>_xlfn.CHISQ.INV((1 - 0.95) / 2, 200)</f>
        <v>162.7279825018463</v>
      </c>
    </row>
    <row r="20" spans="1:2" x14ac:dyDescent="0.3">
      <c r="A20" t="s">
        <v>75</v>
      </c>
      <c r="B20">
        <f>_xlfn.CHISQ.INV((1 + 0.95) / 2, 200)</f>
        <v>241.0578955063109</v>
      </c>
    </row>
    <row r="21" spans="1:2" x14ac:dyDescent="0.3">
      <c r="A21" t="s">
        <v>69</v>
      </c>
      <c r="B21">
        <f>G12/B20</f>
        <v>26.958503003399162</v>
      </c>
    </row>
    <row r="22" spans="1:2" x14ac:dyDescent="0.3">
      <c r="A22" t="s">
        <v>70</v>
      </c>
      <c r="B22">
        <f>G12/B19</f>
        <v>39.935110729503648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4BCF-C291-4A61-9E1A-E1E7488CD096}">
  <dimension ref="A1:L11"/>
  <sheetViews>
    <sheetView topLeftCell="B1" workbookViewId="0">
      <selection activeCell="G9" sqref="G9"/>
    </sheetView>
  </sheetViews>
  <sheetFormatPr defaultRowHeight="14.4" x14ac:dyDescent="0.3"/>
  <cols>
    <col min="1" max="1" width="24.5546875" bestFit="1" customWidth="1"/>
    <col min="2" max="2" width="28.44140625" bestFit="1" customWidth="1"/>
    <col min="5" max="5" width="22.21875" bestFit="1" customWidth="1"/>
    <col min="6" max="6" width="20.33203125" bestFit="1" customWidth="1"/>
    <col min="8" max="9" width="32.109375" bestFit="1" customWidth="1"/>
    <col min="10" max="10" width="11.6640625" bestFit="1" customWidth="1"/>
    <col min="11" max="11" width="20.5546875" bestFit="1" customWidth="1"/>
  </cols>
  <sheetData>
    <row r="1" spans="1:12" x14ac:dyDescent="0.3">
      <c r="A1" s="3" t="s">
        <v>31</v>
      </c>
      <c r="B1" s="3" t="s">
        <v>33</v>
      </c>
    </row>
    <row r="2" spans="1:12" x14ac:dyDescent="0.3">
      <c r="A2" s="3" t="s">
        <v>32</v>
      </c>
      <c r="B2" s="3" t="s">
        <v>34</v>
      </c>
      <c r="E2" t="s">
        <v>37</v>
      </c>
      <c r="F2" t="s">
        <v>38</v>
      </c>
      <c r="G2" t="s">
        <v>14</v>
      </c>
      <c r="H2" t="s">
        <v>80</v>
      </c>
      <c r="I2" t="s">
        <v>81</v>
      </c>
      <c r="J2" t="s">
        <v>79</v>
      </c>
      <c r="K2" t="s">
        <v>77</v>
      </c>
      <c r="L2" t="s">
        <v>82</v>
      </c>
    </row>
    <row r="3" spans="1:12" x14ac:dyDescent="0.3">
      <c r="A3" t="s">
        <v>30</v>
      </c>
      <c r="B3" s="3">
        <v>0.05</v>
      </c>
      <c r="E3">
        <v>-100000000</v>
      </c>
      <c r="F3" cm="1">
        <f t="array" ref="F3">INDEX(РОСТ, КОЛИЧЕСТВО * (1/КОЛИЧЕСТВО_ИНТЕРВАЛОВ)) + 0.1</f>
        <v>163.1</v>
      </c>
      <c r="G3">
        <f t="shared" ref="G3:G10" si="0">COUNTIFS(РОСТ, "&gt;=" &amp; E3, РОСТ, "&lt;" &amp; F3)</f>
        <v>27</v>
      </c>
      <c r="H3">
        <f>(E3-СРЕДНЕЕ_РОСТ_ИНТЕРВАЛ)/ИСПРАВЛЕННОЕ_СРЕДНЕЕ_РОСТ_ИНТЕРВАЛ</f>
        <v>-17574777.737845317</v>
      </c>
      <c r="I3">
        <v>0</v>
      </c>
      <c r="J3">
        <f>I4-I3</f>
        <v>0.1313860866264128</v>
      </c>
      <c r="K3">
        <f>200*J3</f>
        <v>26.27721732528256</v>
      </c>
      <c r="L3">
        <f>POWER(G3-K3,2)/K3</f>
        <v>1.9880902471703356E-2</v>
      </c>
    </row>
    <row r="4" spans="1:12" x14ac:dyDescent="0.3">
      <c r="A4" t="s">
        <v>35</v>
      </c>
      <c r="B4">
        <f>ROUND(LOG(КОЛИЧЕСТВО, 2), 0)</f>
        <v>8</v>
      </c>
      <c r="E4">
        <f>F3</f>
        <v>163.1</v>
      </c>
      <c r="F4" cm="1">
        <f t="array" ref="F4">INDEX(РОСТ_ИСХОДНЫЙ, КОЛИЧЕСТВО * (1/КОЛИЧЕСТВО_ИНТЕРВАЛОВ)*2) + 0.1</f>
        <v>166.1</v>
      </c>
      <c r="G4">
        <f t="shared" si="0"/>
        <v>35</v>
      </c>
      <c r="H4">
        <f>(E4-СРЕДНЕЕ_РОСТ_ИНТЕРВАЛ)/ИСПРАВЛЕННОЕ_СРЕДНЕЕ_РОСТ_ИНТЕРВАЛ</f>
        <v>-1.1198629396013802</v>
      </c>
      <c r="I4">
        <f>_xlfn.NORM.S.DIST(H4, 1)</f>
        <v>0.1313860866264128</v>
      </c>
      <c r="J4">
        <f t="shared" ref="J4:J10" si="1">I5-I4</f>
        <v>0.14533149132453496</v>
      </c>
      <c r="K4">
        <f t="shared" ref="K4:K10" si="2">200*J4</f>
        <v>29.066298264906994</v>
      </c>
      <c r="L4">
        <f t="shared" ref="L4:L10" si="3">POWER(G4-K4,2)/K4</f>
        <v>1.2113278395534419</v>
      </c>
    </row>
    <row r="5" spans="1:12" x14ac:dyDescent="0.3">
      <c r="A5" t="s">
        <v>36</v>
      </c>
      <c r="B5" s="9">
        <f>КОЛИЧЕСТВО_ИНТЕРВАЛОВ-2-1</f>
        <v>5</v>
      </c>
      <c r="E5">
        <f t="shared" ref="E5:E10" si="4">F4</f>
        <v>166.1</v>
      </c>
      <c r="F5" cm="1">
        <f t="array" ref="F5">INDEX(РОСТ, КОЛИЧЕСТВО * (1/КОЛИЧЕСТВО_ИНТЕРВАЛОВ)*3) + 0.1</f>
        <v>168.1</v>
      </c>
      <c r="G5">
        <f t="shared" si="0"/>
        <v>23</v>
      </c>
      <c r="H5">
        <f>(E5-СРЕДНЕЕ_РОСТ_ИНТЕРВАЛ)/ИСПРАВЛЕННОЕ_СРЕДНЕЕ_РОСТ_ИНТЕРВАЛ</f>
        <v>-0.59262050099432617</v>
      </c>
      <c r="I5">
        <f t="shared" ref="I5:I10" si="5">_xlfn.NORM.S.DIST(H5, 1)</f>
        <v>0.27671757795094776</v>
      </c>
      <c r="J5">
        <f t="shared" si="1"/>
        <v>0.12801133061369341</v>
      </c>
      <c r="K5">
        <f t="shared" si="2"/>
        <v>25.602266122738683</v>
      </c>
      <c r="L5">
        <f t="shared" si="3"/>
        <v>0.26449959316449134</v>
      </c>
    </row>
    <row r="6" spans="1:12" x14ac:dyDescent="0.3">
      <c r="A6" t="s">
        <v>78</v>
      </c>
      <c r="B6">
        <f>_xlfn.CHISQ.INV.RT(ЗНАЧИМОСТЬ, СТЕПЕНЬ_СВОБОДЫ)</f>
        <v>11.070497693516353</v>
      </c>
      <c r="E6">
        <f t="shared" si="4"/>
        <v>168.1</v>
      </c>
      <c r="F6" cm="1">
        <f t="array" ref="F6">INDEX(РОСТ, КОЛИЧЕСТВО * (1/КОЛИЧЕСТВО_ИНТЕРВАЛОВ)*4) + 0.1</f>
        <v>170.1</v>
      </c>
      <c r="G6">
        <f t="shared" si="0"/>
        <v>26</v>
      </c>
      <c r="H6">
        <f>(E6-СРЕДНЕЕ_РОСТ_ИНТЕРВАЛ)/ИСПРАВЛЕННОЕ_СРЕДНЕЕ_РОСТ_ИНТЕРВАЛ</f>
        <v>-0.24112554192295682</v>
      </c>
      <c r="I6">
        <f t="shared" si="5"/>
        <v>0.40472890856464117</v>
      </c>
      <c r="J6">
        <f t="shared" si="1"/>
        <v>0.13921288818388555</v>
      </c>
      <c r="K6">
        <f t="shared" si="2"/>
        <v>27.842577636777111</v>
      </c>
      <c r="L6">
        <f t="shared" si="3"/>
        <v>0.12193886614386469</v>
      </c>
    </row>
    <row r="7" spans="1:12" x14ac:dyDescent="0.3">
      <c r="A7" t="s">
        <v>83</v>
      </c>
      <c r="B7">
        <f>L11</f>
        <v>9.6708352895898528</v>
      </c>
      <c r="E7">
        <f t="shared" si="4"/>
        <v>170.1</v>
      </c>
      <c r="F7" cm="1">
        <f t="array" ref="F7">INDEX(РОСТ, КОЛИЧЕСТВО * (1/КОЛИЧЕСТВО_ИНТЕРВАЛОВ)*5) + 0.1</f>
        <v>171.1</v>
      </c>
      <c r="G7">
        <f t="shared" si="0"/>
        <v>22</v>
      </c>
      <c r="H7">
        <f>(E7-СРЕДНЕЕ_РОСТ_ИНТЕРВАЛ)/ИСПРАВЛЕННОЕ_СРЕДНЕЕ_РОСТ_ИНТЕРВАЛ</f>
        <v>0.11036941714841247</v>
      </c>
      <c r="I7">
        <f t="shared" si="5"/>
        <v>0.54394179674852672</v>
      </c>
      <c r="J7">
        <f t="shared" si="1"/>
        <v>6.8663907951863723E-2</v>
      </c>
      <c r="K7">
        <f t="shared" si="2"/>
        <v>13.732781590372745</v>
      </c>
      <c r="L7">
        <f t="shared" si="3"/>
        <v>4.9769159862262597</v>
      </c>
    </row>
    <row r="8" spans="1:12" x14ac:dyDescent="0.3">
      <c r="B8" t="str">
        <f>IF(B7 &lt; B6, "Принимаем теорию", "Не принимаем теорию")</f>
        <v>Принимаем теорию</v>
      </c>
      <c r="E8">
        <f t="shared" si="4"/>
        <v>171.1</v>
      </c>
      <c r="F8" cm="1">
        <f t="array" ref="F8">INDEX(РОСТ, КОЛИЧЕСТВО * (1/КОЛИЧЕСТВО_ИНТЕРВАЛОВ)*6) + 0.1</f>
        <v>173.1</v>
      </c>
      <c r="G8">
        <f t="shared" si="0"/>
        <v>27</v>
      </c>
      <c r="H8">
        <f>(E8-СРЕДНЕЕ_РОСТ_ИНТЕРВАЛ)/ИСПРАВЛЕННОЕ_СРЕДНЕЕ_РОСТ_ИНТЕРВАЛ</f>
        <v>0.28611689668409712</v>
      </c>
      <c r="I8">
        <f t="shared" si="5"/>
        <v>0.61260570470039044</v>
      </c>
      <c r="J8">
        <f t="shared" si="1"/>
        <v>0.12553110721818728</v>
      </c>
      <c r="K8">
        <f t="shared" si="2"/>
        <v>25.106221443637455</v>
      </c>
      <c r="L8">
        <f t="shared" si="3"/>
        <v>0.1428489439794807</v>
      </c>
    </row>
    <row r="9" spans="1:12" x14ac:dyDescent="0.3">
      <c r="E9">
        <f t="shared" si="4"/>
        <v>173.1</v>
      </c>
      <c r="F9" cm="1">
        <f t="array" ref="F9">INDEX(РОСТ, КОЛИЧЕСТВО * (1/КОЛИЧЕСТВО_ИНТЕРВАЛОВ)*7) + 0.1</f>
        <v>175.1</v>
      </c>
      <c r="G9">
        <f t="shared" si="0"/>
        <v>15</v>
      </c>
      <c r="H9">
        <f>(E9-СРЕДНЕЕ_РОСТ_ИНТЕРВАЛ)/ИСПРАВЛЕННОЕ_СРЕДНЕЕ_РОСТ_ИНТЕРВАЛ</f>
        <v>0.63761185575546642</v>
      </c>
      <c r="I9">
        <f t="shared" si="5"/>
        <v>0.73813681191857772</v>
      </c>
      <c r="J9">
        <f t="shared" si="1"/>
        <v>0.10055774622329883</v>
      </c>
      <c r="K9">
        <f t="shared" si="2"/>
        <v>20.111549244659766</v>
      </c>
      <c r="L9">
        <f t="shared" si="3"/>
        <v>1.2991508193989381</v>
      </c>
    </row>
    <row r="10" spans="1:12" x14ac:dyDescent="0.3">
      <c r="E10">
        <f t="shared" si="4"/>
        <v>175.1</v>
      </c>
      <c r="F10">
        <v>100000000</v>
      </c>
      <c r="G10">
        <f t="shared" si="0"/>
        <v>25</v>
      </c>
      <c r="H10">
        <f>(E10-СРЕДНЕЕ_РОСТ_ИНТЕРВАЛ)/ИСПРАВЛЕННОЕ_СРЕДНЕЕ_РОСТ_ИНТЕРВАЛ</f>
        <v>0.98910681482683571</v>
      </c>
      <c r="I10">
        <f t="shared" si="5"/>
        <v>0.83869455814187654</v>
      </c>
      <c r="J10">
        <f t="shared" si="1"/>
        <v>0.16130544185812346</v>
      </c>
      <c r="K10">
        <f t="shared" si="2"/>
        <v>32.261088371624695</v>
      </c>
      <c r="L10">
        <f>POWER(G10-K10,2)/K10</f>
        <v>1.6342723386516724</v>
      </c>
    </row>
    <row r="11" spans="1:12" x14ac:dyDescent="0.3">
      <c r="G11">
        <f>SUM(G3:G10)</f>
        <v>200</v>
      </c>
      <c r="H11">
        <v>100000000</v>
      </c>
      <c r="I11">
        <v>1</v>
      </c>
      <c r="J11">
        <f>SUM(J3:J10)</f>
        <v>1</v>
      </c>
      <c r="L11">
        <f>SUM(L3:L10)</f>
        <v>9.6708352895898528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9C37-1141-448C-9E88-EFF952B1C8E4}">
  <dimension ref="A1:B7"/>
  <sheetViews>
    <sheetView workbookViewId="0">
      <selection activeCell="B6" sqref="B6"/>
    </sheetView>
  </sheetViews>
  <sheetFormatPr defaultRowHeight="14.4" x14ac:dyDescent="0.3"/>
  <cols>
    <col min="1" max="1" width="24.5546875" bestFit="1" customWidth="1"/>
    <col min="2" max="2" width="70.77734375" bestFit="1" customWidth="1"/>
  </cols>
  <sheetData>
    <row r="1" spans="1:2" x14ac:dyDescent="0.3">
      <c r="A1" t="s">
        <v>104</v>
      </c>
      <c r="B1">
        <f>AVERAGE(ПЕРВАЯ_ЧАСТЬ_РОСТ)</f>
        <v>169.95</v>
      </c>
    </row>
    <row r="2" spans="1:2" x14ac:dyDescent="0.3">
      <c r="A2" t="s">
        <v>105</v>
      </c>
      <c r="B2">
        <f>AVERAGE(ВТОРАЯ_ЧАСТЬ_РОСТ)</f>
        <v>168.79</v>
      </c>
    </row>
    <row r="3" spans="1:2" x14ac:dyDescent="0.3">
      <c r="A3" t="s">
        <v>106</v>
      </c>
      <c r="B3">
        <f>_xlfn.VAR.S(ПЕРВАЯ_ЧАСТЬ_РОСТ)</f>
        <v>39.664141414141412</v>
      </c>
    </row>
    <row r="4" spans="1:2" x14ac:dyDescent="0.3">
      <c r="A4" t="s">
        <v>107</v>
      </c>
      <c r="B4">
        <f>_xlfn.VAR.S(ВТОРАЯ_ЧАСТЬ_РОСТ)</f>
        <v>25.238282828282824</v>
      </c>
    </row>
    <row r="5" spans="1:2" x14ac:dyDescent="0.3">
      <c r="A5" t="s">
        <v>108</v>
      </c>
      <c r="B5">
        <f>B3/B4</f>
        <v>1.5715863747153396</v>
      </c>
    </row>
    <row r="6" spans="1:2" x14ac:dyDescent="0.3">
      <c r="A6" t="s">
        <v>39</v>
      </c>
      <c r="B6">
        <f>_xlfn.F.INV.RT(0.05,99,99)</f>
        <v>1.3940612573481483</v>
      </c>
    </row>
    <row r="7" spans="1:2" x14ac:dyDescent="0.3">
      <c r="A7" t="s">
        <v>40</v>
      </c>
      <c r="B7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FE57-E962-4AE2-8890-7C8B2F4DE201}">
  <dimension ref="A1"/>
  <sheetViews>
    <sheetView workbookViewId="0">
      <selection activeCell="J26" sqref="J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B716-06FB-410C-B767-F5AD23B01253}">
  <dimension ref="A1:R27"/>
  <sheetViews>
    <sheetView topLeftCell="C1" workbookViewId="0">
      <selection activeCell="F28" sqref="F28"/>
    </sheetView>
  </sheetViews>
  <sheetFormatPr defaultRowHeight="14.4" x14ac:dyDescent="0.3"/>
  <cols>
    <col min="1" max="1" width="16.77734375" bestFit="1" customWidth="1"/>
    <col min="2" max="2" width="16" bestFit="1" customWidth="1"/>
    <col min="3" max="3" width="20.77734375" bestFit="1" customWidth="1"/>
    <col min="4" max="4" width="10.5546875" bestFit="1" customWidth="1"/>
    <col min="14" max="14" width="17.44140625" bestFit="1" customWidth="1"/>
    <col min="15" max="15" width="18.44140625" bestFit="1" customWidth="1"/>
    <col min="16" max="16" width="23.44140625" bestFit="1" customWidth="1"/>
    <col min="17" max="17" width="10.33203125" bestFit="1" customWidth="1"/>
    <col min="18" max="18" width="12.88671875" bestFit="1" customWidth="1"/>
  </cols>
  <sheetData>
    <row r="1" spans="1:18" x14ac:dyDescent="0.3">
      <c r="B1" t="s">
        <v>2</v>
      </c>
      <c r="C1" s="3" t="s">
        <v>5</v>
      </c>
      <c r="D1" s="11">
        <v>48</v>
      </c>
      <c r="E1" s="11">
        <v>51.6</v>
      </c>
      <c r="F1" s="11">
        <v>55.2</v>
      </c>
      <c r="G1" s="11">
        <v>58.8</v>
      </c>
      <c r="H1" s="11">
        <v>62.4</v>
      </c>
      <c r="I1" s="11">
        <v>66</v>
      </c>
      <c r="J1" s="11">
        <v>69.599999999999994</v>
      </c>
      <c r="K1" s="11">
        <v>73.2</v>
      </c>
      <c r="L1" s="11">
        <v>76.8</v>
      </c>
      <c r="M1" s="11">
        <v>80.400000000000006</v>
      </c>
    </row>
    <row r="2" spans="1:18" x14ac:dyDescent="0.3">
      <c r="A2" t="s">
        <v>1</v>
      </c>
      <c r="C2" s="3" t="s">
        <v>6</v>
      </c>
      <c r="D2" s="10">
        <v>51.6</v>
      </c>
      <c r="E2" s="10">
        <v>55.2</v>
      </c>
      <c r="F2" s="10">
        <v>58.8</v>
      </c>
      <c r="G2" s="10">
        <v>62.4</v>
      </c>
      <c r="H2" s="10">
        <v>66</v>
      </c>
      <c r="I2" s="10">
        <v>69.599999999999994</v>
      </c>
      <c r="J2" s="10">
        <v>73.2</v>
      </c>
      <c r="K2" s="10">
        <v>76.8</v>
      </c>
      <c r="L2" s="10">
        <v>80.400000000000006</v>
      </c>
      <c r="M2" s="10">
        <v>84</v>
      </c>
      <c r="N2" s="10" t="s">
        <v>42</v>
      </c>
      <c r="O2" t="s">
        <v>51</v>
      </c>
    </row>
    <row r="3" spans="1:18" ht="15" thickBot="1" x14ac:dyDescent="0.35">
      <c r="A3" t="s">
        <v>5</v>
      </c>
      <c r="B3" t="s">
        <v>6</v>
      </c>
      <c r="C3" s="3" t="s">
        <v>43</v>
      </c>
      <c r="D3" cm="1">
        <f t="array" ref="D3:M3">TRANSPOSE(СЕРЕДИНА_ИНТЕРВАЛА_ВЕС)</f>
        <v>49.8</v>
      </c>
      <c r="E3">
        <v>53.400000000000006</v>
      </c>
      <c r="F3">
        <v>57</v>
      </c>
      <c r="G3">
        <v>60.600000000000009</v>
      </c>
      <c r="H3">
        <v>64.2</v>
      </c>
      <c r="I3">
        <v>67.8</v>
      </c>
      <c r="J3">
        <v>71.399999999999991</v>
      </c>
      <c r="K3">
        <v>74.999999999999986</v>
      </c>
      <c r="L3">
        <v>78.59999999999998</v>
      </c>
      <c r="M3">
        <v>82.199999999999974</v>
      </c>
      <c r="P3" t="s">
        <v>48</v>
      </c>
      <c r="Q3" t="s">
        <v>49</v>
      </c>
      <c r="R3" t="s">
        <v>56</v>
      </c>
    </row>
    <row r="4" spans="1:18" x14ac:dyDescent="0.3">
      <c r="A4">
        <v>156</v>
      </c>
      <c r="B4" s="7">
        <v>159.19999999999999</v>
      </c>
      <c r="C4" cm="1">
        <f t="array" ref="C4:C13">СЕРЕДИНЫ_ИНТЕРВАЛОВ_РОСТ</f>
        <v>157.6</v>
      </c>
      <c r="D4" s="13" cm="1">
        <f t="array" ref="D4:M12">COUNTIFS(РОСТ_ИСХОДНЫЙ, "&gt;=" &amp;$A4:$A12, РОСТ_ИСХОДНЫЙ, "&lt;" &amp;$B4:$B12, ВЕС_ИСХОДНЫЙ, "&gt;=" &amp;D$1:M$1, ВЕС_ИСХОДНЫЙ, "&lt;" &amp;D$2:M$2)</f>
        <v>1</v>
      </c>
      <c r="E4" s="14">
        <v>3</v>
      </c>
      <c r="F4" s="14">
        <v>2</v>
      </c>
      <c r="G4" s="14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>
        <f>SUM(D4:M4)</f>
        <v>10</v>
      </c>
      <c r="O4">
        <f>1/(N4)*SUMPRODUCT(D4:M4,D$3:M$3)</f>
        <v>56.640000000000015</v>
      </c>
      <c r="P4">
        <f>1/(N4)*SUMPRODUCT(D4:M4,D$3:M$3,D$3:M$3)</f>
        <v>3222.2160000000003</v>
      </c>
      <c r="Q4">
        <f>ROUND(P4 - POWER(O4, 2), 2)</f>
        <v>14.13</v>
      </c>
      <c r="R4">
        <f>SUMPRODUCT(D4:M4,D$3:M$3)</f>
        <v>566.40000000000009</v>
      </c>
    </row>
    <row r="5" spans="1:18" x14ac:dyDescent="0.3">
      <c r="A5" s="7">
        <v>159.19999999999999</v>
      </c>
      <c r="B5" s="7">
        <v>162.39999999999998</v>
      </c>
      <c r="C5">
        <v>160.79999999999998</v>
      </c>
      <c r="D5" s="15">
        <v>1</v>
      </c>
      <c r="E5" s="15">
        <v>4</v>
      </c>
      <c r="F5" s="15">
        <v>0</v>
      </c>
      <c r="G5" s="15">
        <v>4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>
        <f>SUM(D5:M5)</f>
        <v>10</v>
      </c>
      <c r="O5">
        <f>1/(N5)*SUMPRODUCT(D5:M5,D$3:M$3)</f>
        <v>57.000000000000014</v>
      </c>
      <c r="P5">
        <f>1/(N5)*SUMPRODUCT(D5:M5,D$3:M$3,D$3:M$3)</f>
        <v>3269.7360000000008</v>
      </c>
      <c r="Q5">
        <f t="shared" ref="Q5:Q13" si="0">ROUND(P5 - POWER(O5, 2), 2)</f>
        <v>20.74</v>
      </c>
      <c r="R5">
        <f t="shared" ref="R5:R13" si="1">SUMPRODUCT(D5:M5,D$3:M$3)</f>
        <v>570.00000000000011</v>
      </c>
    </row>
    <row r="6" spans="1:18" x14ac:dyDescent="0.3">
      <c r="A6" s="7">
        <v>162.39999999999998</v>
      </c>
      <c r="B6" s="7">
        <v>165.59999999999997</v>
      </c>
      <c r="C6">
        <v>163.99999999999997</v>
      </c>
      <c r="D6" s="15">
        <v>0</v>
      </c>
      <c r="E6" s="15">
        <v>0</v>
      </c>
      <c r="F6" s="15">
        <v>2</v>
      </c>
      <c r="G6" s="15">
        <v>16</v>
      </c>
      <c r="H6" s="15">
        <v>9</v>
      </c>
      <c r="I6" s="15">
        <v>3</v>
      </c>
      <c r="J6">
        <v>1</v>
      </c>
      <c r="K6" s="15">
        <v>0</v>
      </c>
      <c r="L6" s="15">
        <v>0</v>
      </c>
      <c r="M6" s="15">
        <v>0</v>
      </c>
      <c r="N6">
        <f>SUM(D6:M6)</f>
        <v>31</v>
      </c>
      <c r="O6">
        <f t="shared" ref="O6:O13" si="2">1/(N6)*SUMPRODUCT(D6:M6,D$3:M$3)</f>
        <v>62.458064516129042</v>
      </c>
      <c r="P6">
        <f t="shared" ref="P6:P13" si="3">1/(N6)*SUMPRODUCT(D6:M6,D$3:M$3,D$3:M$3)</f>
        <v>3910.9354838709687</v>
      </c>
      <c r="Q6">
        <f t="shared" si="0"/>
        <v>9.93</v>
      </c>
      <c r="R6">
        <f t="shared" si="1"/>
        <v>1936.2000000000003</v>
      </c>
    </row>
    <row r="7" spans="1:18" x14ac:dyDescent="0.3">
      <c r="A7" s="7">
        <v>165.59999999999997</v>
      </c>
      <c r="B7" s="7">
        <v>168.79999999999995</v>
      </c>
      <c r="C7">
        <v>167.19999999999996</v>
      </c>
      <c r="D7" s="15">
        <v>2</v>
      </c>
      <c r="E7" s="15">
        <v>2</v>
      </c>
      <c r="F7" s="15">
        <v>1</v>
      </c>
      <c r="G7" s="15">
        <v>8</v>
      </c>
      <c r="H7" s="15">
        <v>10</v>
      </c>
      <c r="I7" s="15">
        <v>7</v>
      </c>
      <c r="J7">
        <v>2</v>
      </c>
      <c r="K7" s="15">
        <v>0</v>
      </c>
      <c r="L7" s="15">
        <v>2</v>
      </c>
      <c r="M7" s="15">
        <v>0</v>
      </c>
      <c r="N7">
        <f t="shared" ref="N5:N13" si="4">SUM(D7:M7)</f>
        <v>34</v>
      </c>
      <c r="O7">
        <f>1/(N7)*SUMPRODUCT(D7:M7,D$3:M$3)</f>
        <v>63.670588235294112</v>
      </c>
      <c r="P7">
        <f t="shared" si="3"/>
        <v>4095.2117647058826</v>
      </c>
      <c r="Q7">
        <f t="shared" si="0"/>
        <v>41.27</v>
      </c>
      <c r="R7">
        <f t="shared" si="1"/>
        <v>2164.7999999999997</v>
      </c>
    </row>
    <row r="8" spans="1:18" x14ac:dyDescent="0.3">
      <c r="A8" s="7">
        <v>168.79999999999995</v>
      </c>
      <c r="B8" s="7">
        <v>172</v>
      </c>
      <c r="C8">
        <v>170.39999999999995</v>
      </c>
      <c r="D8" s="15">
        <v>0</v>
      </c>
      <c r="E8" s="15">
        <v>1</v>
      </c>
      <c r="F8" s="15">
        <v>1</v>
      </c>
      <c r="G8" s="15">
        <v>10</v>
      </c>
      <c r="H8" s="15">
        <v>7</v>
      </c>
      <c r="I8" s="15">
        <v>15</v>
      </c>
      <c r="J8">
        <v>10</v>
      </c>
      <c r="K8" s="15">
        <v>4</v>
      </c>
      <c r="L8" s="15">
        <v>0</v>
      </c>
      <c r="M8" s="15">
        <v>0</v>
      </c>
      <c r="N8">
        <f t="shared" si="4"/>
        <v>48</v>
      </c>
      <c r="O8">
        <f t="shared" si="2"/>
        <v>66.599999999999994</v>
      </c>
      <c r="P8">
        <f t="shared" si="3"/>
        <v>4460.579999999999</v>
      </c>
      <c r="Q8">
        <f t="shared" si="0"/>
        <v>25.02</v>
      </c>
      <c r="R8">
        <f t="shared" si="1"/>
        <v>3196.8</v>
      </c>
    </row>
    <row r="9" spans="1:18" x14ac:dyDescent="0.3">
      <c r="A9" s="7">
        <v>171.99999999999994</v>
      </c>
      <c r="B9" s="7">
        <v>175.19999999999993</v>
      </c>
      <c r="C9">
        <v>173.59999999999994</v>
      </c>
      <c r="D9" s="15">
        <v>0</v>
      </c>
      <c r="E9" s="15">
        <v>0</v>
      </c>
      <c r="F9" s="15">
        <v>0</v>
      </c>
      <c r="G9" s="15">
        <v>1</v>
      </c>
      <c r="H9" s="15">
        <v>8</v>
      </c>
      <c r="I9" s="15">
        <v>18</v>
      </c>
      <c r="J9">
        <v>4</v>
      </c>
      <c r="K9" s="15">
        <v>7</v>
      </c>
      <c r="L9" s="15">
        <v>4</v>
      </c>
      <c r="M9" s="15">
        <v>0</v>
      </c>
      <c r="N9">
        <f t="shared" si="4"/>
        <v>42</v>
      </c>
      <c r="O9">
        <f>IF(SUMPRODUCT(D9:M9,D$3:M$3)=0, 0, 1/(N9)*SUMPRODUCT(D9:M9,D$3:M$3))</f>
        <v>69.514285714285705</v>
      </c>
      <c r="P9">
        <f>IF(SUMPRODUCT(D9:M9,D$3:M$3,D$3:M$3)=0, 0, 1/(N9)*SUMPRODUCT(D9:M9,D$3:M$3,D$3:M$3))</f>
        <v>4853.9828571428552</v>
      </c>
      <c r="Q9">
        <f t="shared" si="0"/>
        <v>21.75</v>
      </c>
      <c r="R9">
        <f t="shared" si="1"/>
        <v>2919.6</v>
      </c>
    </row>
    <row r="10" spans="1:18" x14ac:dyDescent="0.3">
      <c r="A10" s="7">
        <v>175.19999999999993</v>
      </c>
      <c r="B10" s="7">
        <v>178.39999999999992</v>
      </c>
      <c r="C10">
        <v>176.79999999999993</v>
      </c>
      <c r="D10" s="15">
        <v>0</v>
      </c>
      <c r="E10" s="15">
        <v>0</v>
      </c>
      <c r="F10" s="15">
        <v>0</v>
      </c>
      <c r="G10" s="15">
        <v>2</v>
      </c>
      <c r="H10" s="15">
        <v>1</v>
      </c>
      <c r="I10" s="15">
        <v>4</v>
      </c>
      <c r="J10">
        <v>5</v>
      </c>
      <c r="K10" s="15">
        <v>1</v>
      </c>
      <c r="L10" s="15">
        <v>1</v>
      </c>
      <c r="M10" s="15">
        <v>1</v>
      </c>
      <c r="N10">
        <f t="shared" si="4"/>
        <v>15</v>
      </c>
      <c r="O10">
        <f t="shared" ref="O10:O12" si="5">IF(SUMPRODUCT(D10:M10,D$3:M$3)=0, 0, 1/(N10)*SUMPRODUCT(D10:M10,D$3:M$3))</f>
        <v>69.959999999999994</v>
      </c>
      <c r="P10">
        <f t="shared" ref="P10:P13" si="6">IF(SUMPRODUCT(D10:M10,D$3:M$3,D$3:M$3)=0, 0, 1/(N10)*SUMPRODUCT(D10:M10,D$3:M$3,D$3:M$3))</f>
        <v>4926.8879999999981</v>
      </c>
      <c r="Q10">
        <f>ROUND(P10 - POWER(O10, 2), 2)</f>
        <v>32.49</v>
      </c>
      <c r="R10">
        <f t="shared" si="1"/>
        <v>1049.3999999999999</v>
      </c>
    </row>
    <row r="11" spans="1:18" x14ac:dyDescent="0.3">
      <c r="A11" s="7">
        <v>178.39999999999992</v>
      </c>
      <c r="B11" s="7">
        <v>181.59999999999991</v>
      </c>
      <c r="C11">
        <v>179.99999999999991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2</v>
      </c>
      <c r="J11">
        <v>2</v>
      </c>
      <c r="K11" s="15">
        <v>0</v>
      </c>
      <c r="L11" s="15">
        <v>1</v>
      </c>
      <c r="M11" s="15">
        <v>0</v>
      </c>
      <c r="N11">
        <f t="shared" si="4"/>
        <v>6</v>
      </c>
      <c r="O11">
        <f t="shared" si="5"/>
        <v>70.199999999999989</v>
      </c>
      <c r="P11">
        <f t="shared" si="6"/>
        <v>4948.1999999999989</v>
      </c>
      <c r="Q11">
        <f t="shared" si="0"/>
        <v>20.16</v>
      </c>
      <c r="R11">
        <f t="shared" si="1"/>
        <v>421.2</v>
      </c>
    </row>
    <row r="12" spans="1:18" x14ac:dyDescent="0.3">
      <c r="A12" s="7">
        <v>181.59999999999991</v>
      </c>
      <c r="B12" s="7">
        <v>184.7999999999999</v>
      </c>
      <c r="C12">
        <v>183.1999999999999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2</v>
      </c>
      <c r="J12">
        <v>0</v>
      </c>
      <c r="K12" s="15">
        <v>0</v>
      </c>
      <c r="L12" s="15">
        <v>0</v>
      </c>
      <c r="M12" s="15">
        <v>0</v>
      </c>
      <c r="N12">
        <f t="shared" si="4"/>
        <v>2</v>
      </c>
      <c r="O12">
        <f>IF(SUMPRODUCT(D12:M12,D$3:M$3)=0, 0, 1/(N12)*SUMPRODUCT(D12:M12,D$3:M$3))</f>
        <v>67.8</v>
      </c>
      <c r="P12">
        <f t="shared" si="6"/>
        <v>4596.8399999999992</v>
      </c>
      <c r="Q12">
        <f t="shared" si="0"/>
        <v>0</v>
      </c>
      <c r="R12">
        <f t="shared" si="1"/>
        <v>135.6</v>
      </c>
    </row>
    <row r="13" spans="1:18" x14ac:dyDescent="0.3">
      <c r="A13" s="7">
        <v>184.7999999999999</v>
      </c>
      <c r="B13" s="7">
        <v>187.99999999999989</v>
      </c>
      <c r="C13">
        <v>186.39999999999989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9">
        <v>0</v>
      </c>
      <c r="K13" s="15">
        <v>1</v>
      </c>
      <c r="L13" s="15">
        <v>0</v>
      </c>
      <c r="M13" s="15">
        <v>1</v>
      </c>
      <c r="N13">
        <f t="shared" si="4"/>
        <v>2</v>
      </c>
      <c r="O13">
        <f>IF(SUMPRODUCT(D13:M13,D$3:M$3)=0, 0, 1/(N13)*SUMPRODUCT(D13:M13,D$3:M$3))</f>
        <v>78.59999999999998</v>
      </c>
      <c r="P13">
        <f t="shared" si="6"/>
        <v>6190.9199999999964</v>
      </c>
      <c r="Q13">
        <f t="shared" si="0"/>
        <v>12.96</v>
      </c>
      <c r="R13">
        <f t="shared" si="1"/>
        <v>157.19999999999996</v>
      </c>
    </row>
    <row r="14" spans="1:18" x14ac:dyDescent="0.3">
      <c r="C14" t="s">
        <v>41</v>
      </c>
      <c r="D14">
        <f>SUM(D4:D13)</f>
        <v>4</v>
      </c>
      <c r="E14">
        <f>SUM(E4:E13)</f>
        <v>10</v>
      </c>
      <c r="F14">
        <f>SUM(F4:F13)</f>
        <v>6</v>
      </c>
      <c r="G14">
        <f t="shared" ref="E14:M14" si="7">SUM(G4:G13)</f>
        <v>45</v>
      </c>
      <c r="H14">
        <f t="shared" si="7"/>
        <v>37</v>
      </c>
      <c r="I14">
        <f t="shared" si="7"/>
        <v>51</v>
      </c>
      <c r="J14">
        <f t="shared" si="7"/>
        <v>24</v>
      </c>
      <c r="K14">
        <f t="shared" si="7"/>
        <v>13</v>
      </c>
      <c r="L14">
        <f t="shared" si="7"/>
        <v>8</v>
      </c>
      <c r="M14">
        <f t="shared" si="7"/>
        <v>2</v>
      </c>
      <c r="N14">
        <f>SUM(N4:N13)</f>
        <v>200</v>
      </c>
      <c r="O14">
        <f>1/КОЛИЧЕСТВО*SUMPRODUCT(ЧАСТОТЫ_ВЕС_ТАБЛИЦА,УСЛОВНО_СРЕДНЕЕ_ВЕС)</f>
        <v>65.585999999999999</v>
      </c>
    </row>
    <row r="15" spans="1:18" x14ac:dyDescent="0.3">
      <c r="C15" t="s">
        <v>50</v>
      </c>
      <c r="D15">
        <f>1/(D14)*SUMPRODUCT(D4:D13,$C4:$C13)</f>
        <v>163.19999999999999</v>
      </c>
      <c r="E15">
        <f>1/(E14)*SUMPRODUCT(E4:E13,$C4:$C13)</f>
        <v>162.07999999999998</v>
      </c>
      <c r="F15">
        <f t="shared" ref="F15:M15" si="8">1/(F14)*SUMPRODUCT(F4:F13,$C4:$C13)</f>
        <v>163.46666666666664</v>
      </c>
      <c r="G15">
        <f t="shared" si="8"/>
        <v>165.92</v>
      </c>
      <c r="H15">
        <f t="shared" si="8"/>
        <v>168.84324324324319</v>
      </c>
      <c r="I15">
        <f t="shared" si="8"/>
        <v>172.09411764705874</v>
      </c>
      <c r="J15">
        <f t="shared" si="8"/>
        <v>172.53333333333325</v>
      </c>
      <c r="K15">
        <f t="shared" si="8"/>
        <v>173.84615384615378</v>
      </c>
      <c r="L15">
        <f t="shared" si="8"/>
        <v>173.19999999999996</v>
      </c>
      <c r="M15">
        <f t="shared" si="8"/>
        <v>181.59999999999991</v>
      </c>
    </row>
    <row r="18" spans="1:3" x14ac:dyDescent="0.3">
      <c r="A18" s="18" t="s">
        <v>44</v>
      </c>
      <c r="B18" s="18"/>
      <c r="C18" s="18"/>
    </row>
    <row r="19" spans="1:3" x14ac:dyDescent="0.3">
      <c r="A19" s="18" t="s">
        <v>45</v>
      </c>
      <c r="B19" s="18"/>
      <c r="C19" s="18"/>
    </row>
    <row r="20" spans="1:3" x14ac:dyDescent="0.3">
      <c r="A20" s="18" t="s">
        <v>46</v>
      </c>
      <c r="B20" s="18"/>
      <c r="C20" s="18"/>
    </row>
    <row r="21" spans="1:3" x14ac:dyDescent="0.3">
      <c r="A21" t="s">
        <v>47</v>
      </c>
    </row>
    <row r="27" spans="1:3" x14ac:dyDescent="0.3">
      <c r="A27" s="12"/>
    </row>
  </sheetData>
  <mergeCells count="3">
    <mergeCell ref="A18:C18"/>
    <mergeCell ref="A19:C19"/>
    <mergeCell ref="A20:C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C939-3890-492E-A733-AD8089A68B56}">
  <dimension ref="A1:B3"/>
  <sheetViews>
    <sheetView workbookViewId="0">
      <selection activeCell="G20" sqref="G20"/>
    </sheetView>
  </sheetViews>
  <sheetFormatPr defaultRowHeight="14.4" x14ac:dyDescent="0.3"/>
  <cols>
    <col min="1" max="1" width="25.6640625" bestFit="1" customWidth="1"/>
    <col min="2" max="2" width="13.77734375" bestFit="1" customWidth="1"/>
  </cols>
  <sheetData>
    <row r="1" spans="1:2" x14ac:dyDescent="0.3">
      <c r="A1" t="s">
        <v>52</v>
      </c>
      <c r="B1" s="6">
        <f>1/КОЛИЧЕСТВО*SUMPRODUCT(ЧАСТОТЫ_ВЕС_ТАБЛИЦА,ДИСПЕРСИЯ_В_ГРУППЕ)</f>
        <v>24.042000000000002</v>
      </c>
    </row>
    <row r="2" spans="1:2" x14ac:dyDescent="0.3">
      <c r="A2" t="s">
        <v>53</v>
      </c>
      <c r="B2">
        <f>1/КОЛИЧЕСТВО* SUMPRODUCT(УСЛОВНО_СРЕДНЕЕ_ВЕС,УСЛОВНО_СРЕДНЕЕ_ВЕС,ЧАСТОТЫ_ВЕС_ТАБЛИЦА) - УСЛОВНОЕ_СРЕДНЕЕ_ВЕС_ГРУПП*УСЛОВНОЕ_СРЕДНЕЕ_ВЕС_ГРУПП</f>
        <v>17.131316496612271</v>
      </c>
    </row>
    <row r="3" spans="1:2" x14ac:dyDescent="0.3">
      <c r="B3" t="str">
        <f>IF(ROUND((B1+B2),2) = ROUND(ВЕС_ВЫБОР_ДИСПЕРСИЯ,2), "сошелся", "не сошелся")</f>
        <v>сошелся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CB4E-8FF7-47D7-8E8B-D0AE2CA0825E}">
  <dimension ref="A1:G3"/>
  <sheetViews>
    <sheetView workbookViewId="0">
      <selection activeCell="B3" sqref="B3"/>
    </sheetView>
  </sheetViews>
  <sheetFormatPr defaultRowHeight="14.4" x14ac:dyDescent="0.3"/>
  <cols>
    <col min="1" max="1" width="19.109375" bestFit="1" customWidth="1"/>
  </cols>
  <sheetData>
    <row r="1" spans="1:7" x14ac:dyDescent="0.3">
      <c r="A1" t="s">
        <v>30</v>
      </c>
      <c r="B1">
        <v>0.05</v>
      </c>
    </row>
    <row r="2" spans="1:7" x14ac:dyDescent="0.3">
      <c r="A2" t="s">
        <v>54</v>
      </c>
      <c r="B2">
        <f>(КОЛИЧЕСТВО-КОЛИЧЕСТВО_ИНТЕРВАЛОВ)/(КОЛИЧЕСТВО-1)*(МЕЖГРУПП_ДИСП/ВНУТРИГРУПП_ДИСП)</f>
        <v>0.68749302776873211</v>
      </c>
      <c r="D2" t="s">
        <v>40</v>
      </c>
      <c r="E2" s="17" t="s">
        <v>55</v>
      </c>
      <c r="F2" s="17"/>
      <c r="G2" s="17"/>
    </row>
    <row r="3" spans="1:7" x14ac:dyDescent="0.3">
      <c r="A3" t="s">
        <v>39</v>
      </c>
      <c r="B3">
        <f>_xlfn.F.INV.RT(0.05,КОЛИЧЕСТВО_ИНТЕРВАЛОВ-1,КОЛИЧЕСТВО-КОЛИЧЕСТВО_ИНТЕРВАЛОВ)</f>
        <v>2.0575308077303367</v>
      </c>
    </row>
  </sheetData>
  <mergeCells count="1">
    <mergeCell ref="E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8FAF-DA6E-4B81-95B2-CDDE34CD49D8}">
  <dimension ref="A1:C8"/>
  <sheetViews>
    <sheetView workbookViewId="0">
      <selection activeCell="B6" sqref="B6:C6"/>
    </sheetView>
  </sheetViews>
  <sheetFormatPr defaultRowHeight="14.4" x14ac:dyDescent="0.3"/>
  <cols>
    <col min="1" max="1" width="30.44140625" bestFit="1" customWidth="1"/>
  </cols>
  <sheetData>
    <row r="1" spans="1:3" x14ac:dyDescent="0.3">
      <c r="A1" t="s">
        <v>57</v>
      </c>
      <c r="B1">
        <f>SUMPRODUCT(СЕРЕДИНЫ_ИНТЕРВАЛОВ_РОСТ,ПРОИЗВЕДЕНИЕ_СРЕДНЕГО_НА_ЧАСТОТЫ)/КОЛИЧЕСТВО</f>
        <v>11137.415999999996</v>
      </c>
    </row>
    <row r="2" spans="1:3" x14ac:dyDescent="0.3">
      <c r="A2" t="s">
        <v>58</v>
      </c>
      <c r="B2">
        <f>SQRT(РОСТ_ВЫБОРОЧНАЯ_ДИСПЕРСИЯ)</f>
        <v>5.6757392470056072</v>
      </c>
    </row>
    <row r="3" spans="1:3" x14ac:dyDescent="0.3">
      <c r="A3" t="s">
        <v>59</v>
      </c>
      <c r="B3">
        <f>SQRT(ВЕС_ВЫБОР_ДИСПЕРСИЯ)</f>
        <v>6.41646351193552</v>
      </c>
    </row>
    <row r="4" spans="1:3" x14ac:dyDescent="0.3">
      <c r="A4" t="s">
        <v>60</v>
      </c>
      <c r="B4">
        <f>(СРЕДНЕЕ_ПРОИЗВЕДЕНИЕ_XY-СРЕДНЕЕ_РОСТ_ИНТЕРВАЛ*СРЕДНЕЕ_ВЕС_ИНТЕРВАЛ)/(КВАДРАТ_ОТКЛ_РОСТ*КВАДРАТ_ОТКЛОНЕНИЯ_ВЕС)</f>
        <v>0.61577519329877395</v>
      </c>
    </row>
    <row r="5" spans="1:3" x14ac:dyDescent="0.3">
      <c r="A5" s="17" t="s">
        <v>84</v>
      </c>
      <c r="B5" s="17"/>
    </row>
    <row r="6" spans="1:3" x14ac:dyDescent="0.3">
      <c r="A6" t="s">
        <v>61</v>
      </c>
      <c r="B6" s="17" t="str">
        <f>"y = " &amp; КОЭФФИЦЕНТ_B &amp; "*x " &amp; КОЭФФИЦЕНТ_А</f>
        <v>y = 0,7*x -53,0444</v>
      </c>
      <c r="C6" s="17"/>
    </row>
    <row r="7" spans="1:3" x14ac:dyDescent="0.3">
      <c r="A7" t="s">
        <v>62</v>
      </c>
      <c r="B7">
        <f>ROUND((СРЕДНЕЕ_ПРОИЗВЕДЕНИЕ_XY - СРЕДНЕЕ_РОСТ_ИНТЕРВАЛ * СРЕДНЕЕ_ВЕС_ИНТЕРВАЛ) / РОСТ_ВЫБОРОЧНАЯ_ДИСПЕРСИЯ, 2)</f>
        <v>0.7</v>
      </c>
    </row>
    <row r="8" spans="1:3" x14ac:dyDescent="0.3">
      <c r="A8" t="s">
        <v>63</v>
      </c>
      <c r="B8">
        <f>СРЕДНЕЕ_ВЕС_ИНТЕРВАЛ-КОЭФФИЦЕНТ_B*СРЕДНЕЕ_РОСТ_ИНТЕРВАЛ</f>
        <v>-53.044399999999982</v>
      </c>
    </row>
  </sheetData>
  <mergeCells count="2">
    <mergeCell ref="A5:B5"/>
    <mergeCell ref="B6:C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CF23-8633-4E3A-B25B-0F25CE1FA596}">
  <dimension ref="A1:D5"/>
  <sheetViews>
    <sheetView topLeftCell="A2" zoomScaleNormal="100" workbookViewId="0">
      <selection activeCell="A28" sqref="A27:A28"/>
    </sheetView>
  </sheetViews>
  <sheetFormatPr defaultRowHeight="14.4" x14ac:dyDescent="0.3"/>
  <cols>
    <col min="1" max="1" width="38" bestFit="1" customWidth="1"/>
  </cols>
  <sheetData>
    <row r="1" spans="1:4" x14ac:dyDescent="0.3">
      <c r="A1" t="s">
        <v>85</v>
      </c>
      <c r="C1" t="s">
        <v>86</v>
      </c>
      <c r="D1" t="s">
        <v>87</v>
      </c>
    </row>
    <row r="2" spans="1:4" x14ac:dyDescent="0.3">
      <c r="A2" t="str">
        <f>"y = " &amp; КОЭФФИЦЕНТ_B &amp; "*x " &amp; КОЭФФИЦЕНТ_А</f>
        <v>y = 0,7*x -53,0444</v>
      </c>
      <c r="C2">
        <v>160</v>
      </c>
      <c r="D2">
        <v>58.96</v>
      </c>
    </row>
    <row r="3" spans="1:4" x14ac:dyDescent="0.3">
      <c r="C3">
        <v>180</v>
      </c>
      <c r="D3">
        <v>73</v>
      </c>
    </row>
    <row r="4" spans="1:4" x14ac:dyDescent="0.3">
      <c r="C4">
        <v>156</v>
      </c>
      <c r="D4">
        <v>56.2</v>
      </c>
    </row>
    <row r="5" spans="1:4" x14ac:dyDescent="0.3">
      <c r="C5">
        <v>188</v>
      </c>
      <c r="D5">
        <v>78.56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8AB6-03CC-4DC0-8788-4A79CD12C43C}">
  <dimension ref="A1:F2"/>
  <sheetViews>
    <sheetView workbookViewId="0">
      <selection activeCell="B2" sqref="B2"/>
    </sheetView>
  </sheetViews>
  <sheetFormatPr defaultRowHeight="14.4" x14ac:dyDescent="0.3"/>
  <cols>
    <col min="6" max="6" width="10.109375" bestFit="1" customWidth="1"/>
  </cols>
  <sheetData>
    <row r="1" spans="1:6" x14ac:dyDescent="0.3">
      <c r="A1" s="17" t="s">
        <v>64</v>
      </c>
      <c r="B1" s="17"/>
      <c r="C1" s="17"/>
      <c r="D1" s="17"/>
      <c r="E1" s="17"/>
      <c r="F1">
        <f>SQRT(МЕЖГРУПП_ДИСП/ВЕС_ВЫБОР_ДИСПЕРСИЯ)</f>
        <v>0.64505929914228199</v>
      </c>
    </row>
    <row r="2" spans="1:6" x14ac:dyDescent="0.3">
      <c r="A2" t="s">
        <v>65</v>
      </c>
      <c r="B2">
        <f>ABS(F1 - КОЭФФИЦЕНТ_ЛИН_РЕГРЕССИИ)</f>
        <v>2.9284105843508046E-2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8DAD-5F02-4FF9-909D-2A058AC97470}">
  <dimension ref="A1:H30"/>
  <sheetViews>
    <sheetView tabSelected="1" workbookViewId="0">
      <selection activeCell="A12" sqref="A12"/>
    </sheetView>
  </sheetViews>
  <sheetFormatPr defaultRowHeight="14.4" x14ac:dyDescent="0.3"/>
  <cols>
    <col min="1" max="1" width="28.77734375" bestFit="1" customWidth="1"/>
    <col min="2" max="2" width="40.5546875" bestFit="1" customWidth="1"/>
  </cols>
  <sheetData>
    <row r="1" spans="1:8" x14ac:dyDescent="0.3">
      <c r="A1" t="s">
        <v>67</v>
      </c>
    </row>
    <row r="2" spans="1:8" x14ac:dyDescent="0.3">
      <c r="A2" t="s">
        <v>63</v>
      </c>
      <c r="B2">
        <f>H2</f>
        <v>-50.690197485760976</v>
      </c>
      <c r="G2" cm="1">
        <f t="array" ref="G2:H6">LINEST(ВЕС_ИСХОДНЫЙ,РОСТ_ИСХОДНЫЙ, TRUE, TRUE)</f>
        <v>0.68480366939694737</v>
      </c>
      <c r="H2">
        <v>-50.690197485760976</v>
      </c>
    </row>
    <row r="3" spans="1:8" x14ac:dyDescent="0.3">
      <c r="A3" t="s">
        <v>62</v>
      </c>
      <c r="B3">
        <f>G2</f>
        <v>0.68480366939694737</v>
      </c>
      <c r="G3">
        <v>6.2032803445449612E-2</v>
      </c>
      <c r="H3">
        <v>10.512439143546318</v>
      </c>
    </row>
    <row r="4" spans="1:8" x14ac:dyDescent="0.3">
      <c r="A4" s="20" t="s">
        <v>91</v>
      </c>
      <c r="B4">
        <f>H3</f>
        <v>10.512439143546318</v>
      </c>
      <c r="G4">
        <v>0.38099447366422162</v>
      </c>
      <c r="H4">
        <v>4.9984045278899947</v>
      </c>
    </row>
    <row r="5" spans="1:8" x14ac:dyDescent="0.3">
      <c r="A5" s="20" t="s">
        <v>92</v>
      </c>
      <c r="B5">
        <f>G3</f>
        <v>6.2032803445449612E-2</v>
      </c>
      <c r="G5">
        <v>121.86790355825559</v>
      </c>
      <c r="H5">
        <v>198</v>
      </c>
    </row>
    <row r="6" spans="1:8" x14ac:dyDescent="0.3">
      <c r="A6" s="20" t="s">
        <v>88</v>
      </c>
      <c r="B6">
        <f>G4</f>
        <v>0.38099447366422162</v>
      </c>
      <c r="G6">
        <v>3044.7535307626267</v>
      </c>
      <c r="H6">
        <v>4946.8414692373772</v>
      </c>
    </row>
    <row r="7" spans="1:8" x14ac:dyDescent="0.3">
      <c r="A7" s="4" t="s">
        <v>102</v>
      </c>
      <c r="B7">
        <f>H4</f>
        <v>4.9984045278899947</v>
      </c>
    </row>
    <row r="8" spans="1:8" x14ac:dyDescent="0.3">
      <c r="A8" s="20" t="s">
        <v>89</v>
      </c>
      <c r="B8">
        <f>G5</f>
        <v>121.86790355825559</v>
      </c>
    </row>
    <row r="9" spans="1:8" x14ac:dyDescent="0.3">
      <c r="A9" s="20" t="s">
        <v>36</v>
      </c>
      <c r="B9">
        <f>H5</f>
        <v>198</v>
      </c>
    </row>
    <row r="10" spans="1:8" x14ac:dyDescent="0.3">
      <c r="A10" s="20" t="s">
        <v>90</v>
      </c>
      <c r="B10">
        <f>G6/200</f>
        <v>15.223767653813134</v>
      </c>
    </row>
    <row r="11" spans="1:8" x14ac:dyDescent="0.3">
      <c r="A11" s="20" t="s">
        <v>103</v>
      </c>
      <c r="B11">
        <f>H6/200</f>
        <v>24.734207346186885</v>
      </c>
    </row>
    <row r="12" spans="1:8" ht="15" thickBot="1" x14ac:dyDescent="0.35">
      <c r="A12" s="21" t="s">
        <v>85</v>
      </c>
      <c r="B12" t="s">
        <v>93</v>
      </c>
    </row>
    <row r="13" spans="1:8" x14ac:dyDescent="0.3">
      <c r="A13" s="22" t="s">
        <v>71</v>
      </c>
    </row>
    <row r="14" spans="1:8" x14ac:dyDescent="0.3">
      <c r="A14" s="22" t="s">
        <v>94</v>
      </c>
      <c r="B14">
        <f>B7*(1+1/200 +(POWER(180 - СРЕДНЕЕ_РОСТ_ИНТЕРВАЛ, 2) / (200 * РОСТ_ВЫБОРОЧНАЯ_ДИСПЕРСИЯ)))</f>
        <v>5.1093866176808715</v>
      </c>
    </row>
    <row r="15" spans="1:8" x14ac:dyDescent="0.3">
      <c r="A15" s="22" t="s">
        <v>5</v>
      </c>
      <c r="B15">
        <f>B18 - B14*B19</f>
        <v>62.498663294599936</v>
      </c>
    </row>
    <row r="16" spans="1:8" x14ac:dyDescent="0.3">
      <c r="A16" s="22" t="s">
        <v>6</v>
      </c>
      <c r="B16">
        <f>B18 + B14*B19</f>
        <v>82.650262716779167</v>
      </c>
    </row>
    <row r="18" spans="1:2" x14ac:dyDescent="0.3">
      <c r="A18" s="22" t="s">
        <v>2</v>
      </c>
      <c r="B18">
        <f>180*B3+B2</f>
        <v>72.574463005689552</v>
      </c>
    </row>
    <row r="19" spans="1:2" x14ac:dyDescent="0.3">
      <c r="A19" s="22" t="s">
        <v>95</v>
      </c>
      <c r="B19">
        <f>_xlfn.T.INV.2T(1 - 0.95, B9)</f>
        <v>1.9720174778363073</v>
      </c>
    </row>
    <row r="20" spans="1:2" x14ac:dyDescent="0.3">
      <c r="A20" s="22" t="s">
        <v>72</v>
      </c>
    </row>
    <row r="21" spans="1:2" x14ac:dyDescent="0.3">
      <c r="A21" s="22" t="s">
        <v>96</v>
      </c>
      <c r="B21">
        <f>B2-B19*B4</f>
        <v>-71.420911211524853</v>
      </c>
    </row>
    <row r="22" spans="1:2" x14ac:dyDescent="0.3">
      <c r="A22" s="22" t="s">
        <v>97</v>
      </c>
      <c r="B22">
        <f>B2+B19*B4</f>
        <v>-29.959483759997095</v>
      </c>
    </row>
    <row r="23" spans="1:2" x14ac:dyDescent="0.3">
      <c r="A23" s="22" t="s">
        <v>98</v>
      </c>
      <c r="B23">
        <f>B3-B5*B19</f>
        <v>0.56247389680333648</v>
      </c>
    </row>
    <row r="24" spans="1:2" x14ac:dyDescent="0.3">
      <c r="A24" s="22" t="s">
        <v>99</v>
      </c>
      <c r="B24">
        <f>B3+B5*B19</f>
        <v>0.80713344199055825</v>
      </c>
    </row>
    <row r="25" spans="1:2" x14ac:dyDescent="0.3">
      <c r="A25" s="22" t="s">
        <v>73</v>
      </c>
    </row>
    <row r="26" spans="1:2" x14ac:dyDescent="0.3">
      <c r="A26" s="22" t="s">
        <v>39</v>
      </c>
      <c r="B26">
        <f>_xlfn.F.INV.RT(0.05, 1, B9)</f>
        <v>3.8888529328918917</v>
      </c>
    </row>
    <row r="27" spans="1:2" x14ac:dyDescent="0.3">
      <c r="A27" s="22" t="s">
        <v>54</v>
      </c>
      <c r="B27">
        <f>(B6 * B9) / (1 - B6)</f>
        <v>121.86790355825559</v>
      </c>
    </row>
    <row r="28" spans="1:2" x14ac:dyDescent="0.3">
      <c r="A28" s="22"/>
    </row>
    <row r="30" spans="1:2" x14ac:dyDescent="0.3">
      <c r="A30" t="s">
        <v>100</v>
      </c>
      <c r="B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48</vt:i4>
      </vt:variant>
    </vt:vector>
  </HeadingPairs>
  <TitlesOfParts>
    <vt:vector size="65" baseType="lpstr">
      <vt:lpstr>input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  <vt:lpstr>№11</vt:lpstr>
      <vt:lpstr>№12</vt:lpstr>
      <vt:lpstr>№13</vt:lpstr>
      <vt:lpstr>№14</vt:lpstr>
      <vt:lpstr>№15</vt:lpstr>
      <vt:lpstr>№16</vt:lpstr>
      <vt:lpstr>ВЕС</vt:lpstr>
      <vt:lpstr>ВЕС_ВЫБОР_ДИСПЕРСИЯ</vt:lpstr>
      <vt:lpstr>ВЕС_ИСХОДНЫЙ</vt:lpstr>
      <vt:lpstr>ВЕС_КОНЕЦ_ИНТЕРВАЛА</vt:lpstr>
      <vt:lpstr>ВЕС_НАЧАЛО_ИНТЕРВАЛА</vt:lpstr>
      <vt:lpstr>ВНУТРИГРУПП_ДИСП</vt:lpstr>
      <vt:lpstr>ВТОРАЯ_ЧАСТЬ_РОСТ</vt:lpstr>
      <vt:lpstr>ДИСПЕРСИЯ_В_ГРУППЕ</vt:lpstr>
      <vt:lpstr>ЗНАЧИМОСТЬ</vt:lpstr>
      <vt:lpstr>ЗНАЧИМОСТЬ_11</vt:lpstr>
      <vt:lpstr>ИСПРАВЛЕННАЯ_ДИСПЕРСИЯ_ВЕС_ИНТЕРВАЛ</vt:lpstr>
      <vt:lpstr>ИСПРАВЛЕННАЯ_ДИСПЕРСИЯ_РОСТ_ИНТЕРВАЛ</vt:lpstr>
      <vt:lpstr>ИСПРАВЛЕННАЯ_ДИСПЕРСИЯ_РОСТ_ИНТЕРВАЛ_ТОЧЕЧНАЯ</vt:lpstr>
      <vt:lpstr>ИСПРАВЛЕННОЕ_СРЕДНЕЕ_РОСТ_ИНТЕРВАЛ</vt:lpstr>
      <vt:lpstr>КВАДРАТ_ОТКЛ_РОСТ</vt:lpstr>
      <vt:lpstr>КВАДРАТ_ОТКЛОНЕНИЯ_ВЕС</vt:lpstr>
      <vt:lpstr>КОЛИЧЕСТВО</vt:lpstr>
      <vt:lpstr>КОЛИЧЕСТВО_ИНТЕРВАЛОВ</vt:lpstr>
      <vt:lpstr>КОЭФФИЦЕНТ_B</vt:lpstr>
      <vt:lpstr>КОЭФФИЦЕНТ_А</vt:lpstr>
      <vt:lpstr>КОЭФФИЦЕНТ_ЛИН_РЕГРЕССИИ</vt:lpstr>
      <vt:lpstr>МЕЖГРУПП_ДИСП</vt:lpstr>
      <vt:lpstr>НАДЕЖНОСТЬ</vt:lpstr>
      <vt:lpstr>ОБЩЕЕ_СРЕДНЕЕ_ТАБЛИЦА</vt:lpstr>
      <vt:lpstr>ПЕРВАЯ_ЧАСТЬ_РОСТ</vt:lpstr>
      <vt:lpstr>первый_конец</vt:lpstr>
      <vt:lpstr>ПРОИЗВЕДЕНИЕ_СЕРЕДИНЫ_ВЕСА_НА_ЧАСТОТУ</vt:lpstr>
      <vt:lpstr>ПРОИЗВЕДЕНИЕ_СЕРЕДИНЫ_НА_ЧАСТОТУ</vt:lpstr>
      <vt:lpstr>ПРОИЗВЕДЕНИЕ_СРЕДНЕГО_НА_ЧАСТОТЫ</vt:lpstr>
      <vt:lpstr>РОСТ</vt:lpstr>
      <vt:lpstr>РОСТ_ВЫБОРОЧНАЯ_ДИСПЕРСИЯ</vt:lpstr>
      <vt:lpstr>РОСТ_И_ВЕС</vt:lpstr>
      <vt:lpstr>РОСТ_ИСХОДНЫЙ</vt:lpstr>
      <vt:lpstr>РОСТ_КОНЕЦ_ИНТЕРВАЛА</vt:lpstr>
      <vt:lpstr>РОСТ_НАЧАЛО_ИНТЕРВАЛА</vt:lpstr>
      <vt:lpstr>СЕРЕДИНА_ИНТЕРВАЛА_ВЕС</vt:lpstr>
      <vt:lpstr>СЕРЕДИНЫ_ИНТЕРВАЛОВ_РОСТ</vt:lpstr>
      <vt:lpstr>СРЕДНЕЕ_ВЕС_ИНТЕРВАЛ</vt:lpstr>
      <vt:lpstr>СРЕДНЕЕ_ПРОИЗВЕДЕНИЕ_XY</vt:lpstr>
      <vt:lpstr>СРЕДНЕЕ_РОСТ_ИНТЕРВАЛ</vt:lpstr>
      <vt:lpstr>СРЕДНЕЕ_РОСТ_ИНТЕРВАЛ_ТОЧЕЧНОЕ</vt:lpstr>
      <vt:lpstr>СТЕПЕНЬ_СВОБОДЫ</vt:lpstr>
      <vt:lpstr>УСЛОВНО_СРЕДНЕЕ_ВЕС</vt:lpstr>
      <vt:lpstr>УСЛОВНО_СРЕДНЕЕ_ВЕС_КВАДРАТ</vt:lpstr>
      <vt:lpstr>УСЛОВНОЕ_СРЕДНЕЕ_ВЕС_ГРУПП</vt:lpstr>
      <vt:lpstr>ЧАСТОТЫ_ВЕС_ТАБЛИЦА</vt:lpstr>
      <vt:lpstr>ЧАСТОТЫ_ВЕСА</vt:lpstr>
      <vt:lpstr>ЧАСТОТЫ_РОСТА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Илья Коршунов</cp:lastModifiedBy>
  <dcterms:created xsi:type="dcterms:W3CDTF">2015-06-05T18:17:20Z</dcterms:created>
  <dcterms:modified xsi:type="dcterms:W3CDTF">2024-12-01T22:52:04Z</dcterms:modified>
</cp:coreProperties>
</file>