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lana\Downloads\"/>
    </mc:Choice>
  </mc:AlternateContent>
  <xr:revisionPtr revIDLastSave="0" documentId="8_{3F491976-C37B-4E48-A08B-557E66E7C24D}" xr6:coauthVersionLast="47" xr6:coauthVersionMax="47" xr10:uidLastSave="{00000000-0000-0000-0000-000000000000}"/>
  <bookViews>
    <workbookView xWindow="15" yWindow="360" windowWidth="21585" windowHeight="13140" activeTab="4" xr2:uid="{00000000-000D-0000-FFFF-FFFF00000000}"/>
  </bookViews>
  <sheets>
    <sheet name="Update Status" sheetId="1" r:id="rId1"/>
    <sheet name="Loan Data" sheetId="3" r:id="rId2"/>
    <sheet name="Lease Data" sheetId="6" r:id="rId3"/>
    <sheet name="Income Statement" sheetId="5" r:id="rId4"/>
    <sheet name="Future NI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C7" i="5"/>
  <c r="B3" i="5"/>
  <c r="B10" i="6"/>
  <c r="B9" i="5" s="1"/>
  <c r="C14" i="5" s="1"/>
  <c r="C15" i="5" s="1"/>
  <c r="B9" i="6"/>
  <c r="B8" i="6"/>
  <c r="B12" i="6" s="1"/>
  <c r="B7" i="6"/>
  <c r="B2" i="6"/>
  <c r="B11" i="3"/>
  <c r="B9" i="3"/>
  <c r="B8" i="3"/>
  <c r="B10" i="3" s="1"/>
  <c r="B7" i="3"/>
  <c r="B2" i="3"/>
  <c r="B11" i="6" l="1"/>
  <c r="C16" i="5" s="1"/>
  <c r="C17" i="5" s="1"/>
  <c r="C18" i="5" l="1"/>
  <c r="C19" i="5" s="1"/>
</calcChain>
</file>

<file path=xl/sharedStrings.xml><?xml version="1.0" encoding="utf-8"?>
<sst xmlns="http://schemas.openxmlformats.org/spreadsheetml/2006/main" count="52" uniqueCount="49">
  <si>
    <t>Scenarios Updated on:</t>
  </si>
  <si>
    <t>APR</t>
  </si>
  <si>
    <t>Amount Borrowed</t>
  </si>
  <si>
    <t>Annual Payment</t>
  </si>
  <si>
    <t>Closing Date</t>
  </si>
  <si>
    <t>Residual Value</t>
  </si>
  <si>
    <t xml:space="preserve">Estimated for: </t>
  </si>
  <si>
    <t>Fiscal Year</t>
  </si>
  <si>
    <t>Finance Lease for New Equipment</t>
  </si>
  <si>
    <t>Asset Cost</t>
  </si>
  <si>
    <t>Present Value of Lease Payments</t>
  </si>
  <si>
    <t>Lease Duration in Years</t>
  </si>
  <si>
    <t>First Payment Due Date</t>
  </si>
  <si>
    <t>Depreciation Expense</t>
  </si>
  <si>
    <t>Interest Expense</t>
  </si>
  <si>
    <t>Loan for Borrowing Cash</t>
  </si>
  <si>
    <t>Repayment in Years</t>
  </si>
  <si>
    <t>First Payment Due</t>
  </si>
  <si>
    <t>Monthly Payment</t>
  </si>
  <si>
    <t>First Month Interest Expense</t>
  </si>
  <si>
    <t>Payments for One Year</t>
  </si>
  <si>
    <t>Estimated Interest Expense for One Year</t>
  </si>
  <si>
    <t>Revenue</t>
  </si>
  <si>
    <t>Cost of Goods Sold</t>
  </si>
  <si>
    <t>Gross Profit</t>
  </si>
  <si>
    <t>Operating Expenses</t>
  </si>
  <si>
    <t>Depreciation</t>
  </si>
  <si>
    <t>Salaries</t>
  </si>
  <si>
    <t>Advertising</t>
  </si>
  <si>
    <t>Stella Products Corporation</t>
  </si>
  <si>
    <t>Pro Forma Income Statement</t>
  </si>
  <si>
    <t>Utilities</t>
  </si>
  <si>
    <t>Other</t>
  </si>
  <si>
    <t>Total Operating Expenses</t>
  </si>
  <si>
    <t>Net Operating Income</t>
  </si>
  <si>
    <t>Income Before Income Tax</t>
  </si>
  <si>
    <t>Income Tax</t>
  </si>
  <si>
    <t>Net Income</t>
  </si>
  <si>
    <t>Tax Rate</t>
  </si>
  <si>
    <t>Scenarios for fiscal year-end:</t>
  </si>
  <si>
    <t>Update Details for this Workbook</t>
  </si>
  <si>
    <t>Last Update by:</t>
  </si>
  <si>
    <t>Net Income Projection</t>
  </si>
  <si>
    <t>Growth Rate</t>
  </si>
  <si>
    <t>Future Years</t>
  </si>
  <si>
    <t>Future Net Income</t>
  </si>
  <si>
    <t>Pro Forma Net Income</t>
  </si>
  <si>
    <t>Estimated Interest Expense</t>
  </si>
  <si>
    <t xml:space="preserve">Ilana Berlin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</si>
</sst>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u val="singleAccounting"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0" fontId="2" fillId="0" borderId="1" xfId="0" applyFont="1" applyBorder="1"/>
    <xf numFmtId="164" fontId="2" fillId="0" borderId="1" xfId="1" applyNumberFormat="1" applyFont="1" applyBorder="1"/>
    <xf numFmtId="8" fontId="2" fillId="0" borderId="0" xfId="0" applyNumberFormat="1" applyFont="1"/>
    <xf numFmtId="44" fontId="2" fillId="0" borderId="0" xfId="0" applyNumberFormat="1" applyFont="1"/>
    <xf numFmtId="14" fontId="2" fillId="0" borderId="0" xfId="0" applyNumberFormat="1" applyFont="1"/>
    <xf numFmtId="0" fontId="3" fillId="4" borderId="1" xfId="0" applyFont="1" applyFill="1" applyBorder="1" applyAlignment="1">
      <alignment horizontal="center"/>
    </xf>
    <xf numFmtId="14" fontId="2" fillId="0" borderId="1" xfId="0" applyNumberFormat="1" applyFont="1" applyBorder="1"/>
    <xf numFmtId="6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0" borderId="0" xfId="0" applyFont="1"/>
    <xf numFmtId="9" fontId="4" fillId="0" borderId="0" xfId="2" applyFont="1"/>
    <xf numFmtId="164" fontId="4" fillId="0" borderId="0" xfId="0" applyNumberFormat="1" applyFont="1"/>
    <xf numFmtId="0" fontId="3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5" fontId="4" fillId="0" borderId="0" xfId="0" applyNumberFormat="1" applyFont="1"/>
    <xf numFmtId="164" fontId="7" fillId="0" borderId="0" xfId="1" applyNumberFormat="1" applyFont="1"/>
    <xf numFmtId="0" fontId="6" fillId="0" borderId="0" xfId="0" applyFont="1"/>
    <xf numFmtId="164" fontId="7" fillId="0" borderId="0" xfId="0" applyNumberFormat="1" applyFont="1"/>
    <xf numFmtId="0" fontId="5" fillId="0" borderId="0" xfId="0" applyFont="1"/>
    <xf numFmtId="164" fontId="5" fillId="0" borderId="0" xfId="1" applyNumberFormat="1" applyFont="1"/>
    <xf numFmtId="10" fontId="2" fillId="0" borderId="0" xfId="0" applyNumberFormat="1" applyFont="1"/>
    <xf numFmtId="10" fontId="2" fillId="6" borderId="1" xfId="2" applyNumberFormat="1" applyFont="1" applyFill="1" applyBorder="1"/>
    <xf numFmtId="0" fontId="2" fillId="6" borderId="1" xfId="0" applyFont="1" applyFill="1" applyBorder="1"/>
    <xf numFmtId="164" fontId="2" fillId="6" borderId="1" xfId="1" applyNumberFormat="1" applyFont="1" applyFill="1" applyBorder="1"/>
    <xf numFmtId="14" fontId="2" fillId="6" borderId="1" xfId="0" applyNumberFormat="1" applyFont="1" applyFill="1" applyBorder="1"/>
    <xf numFmtId="164" fontId="2" fillId="0" borderId="1" xfId="1" applyNumberFormat="1" applyFont="1" applyFill="1" applyBorder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ColWidth="9.1328125" defaultRowHeight="15" x14ac:dyDescent="0.4"/>
  <cols>
    <col min="1" max="1" width="33.3984375" style="1" customWidth="1"/>
    <col min="2" max="2" width="33.73046875" style="1" customWidth="1"/>
    <col min="3" max="16384" width="9.1328125" style="1"/>
  </cols>
  <sheetData>
    <row r="1" spans="1:2" ht="25.5" customHeight="1" x14ac:dyDescent="0.4">
      <c r="A1" s="33" t="s">
        <v>40</v>
      </c>
      <c r="B1" s="33"/>
    </row>
    <row r="2" spans="1:2" ht="18" customHeight="1" x14ac:dyDescent="0.4">
      <c r="A2" s="1" t="s">
        <v>41</v>
      </c>
      <c r="B2" s="1" t="s">
        <v>48</v>
      </c>
    </row>
    <row r="3" spans="1:2" ht="18" customHeight="1" x14ac:dyDescent="0.4">
      <c r="A3" s="1" t="s">
        <v>0</v>
      </c>
      <c r="B3" s="11">
        <v>45344</v>
      </c>
    </row>
    <row r="4" spans="1:2" ht="18" customHeight="1" x14ac:dyDescent="0.4">
      <c r="A4" s="1" t="s">
        <v>39</v>
      </c>
      <c r="B4" s="11">
        <v>46022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:B6"/>
    </sheetView>
  </sheetViews>
  <sheetFormatPr defaultColWidth="9.1328125" defaultRowHeight="15" x14ac:dyDescent="0.4"/>
  <cols>
    <col min="1" max="1" width="28.73046875" style="1" customWidth="1"/>
    <col min="2" max="2" width="16.3984375" style="1" customWidth="1"/>
    <col min="3" max="16384" width="9.1328125" style="1"/>
  </cols>
  <sheetData>
    <row r="1" spans="1:2" ht="30" customHeight="1" x14ac:dyDescent="0.4">
      <c r="A1" s="34" t="s">
        <v>15</v>
      </c>
      <c r="B1" s="34"/>
    </row>
    <row r="2" spans="1:2" ht="20.100000000000001" customHeight="1" x14ac:dyDescent="0.4">
      <c r="A2" s="19" t="s">
        <v>7</v>
      </c>
      <c r="B2" s="19">
        <f>YEAR('Update Status'!B4)</f>
        <v>2025</v>
      </c>
    </row>
    <row r="3" spans="1:2" ht="18" customHeight="1" x14ac:dyDescent="0.4">
      <c r="A3" s="7" t="s">
        <v>1</v>
      </c>
      <c r="B3" s="28">
        <v>4.2500000000000003E-2</v>
      </c>
    </row>
    <row r="4" spans="1:2" ht="18" customHeight="1" x14ac:dyDescent="0.4">
      <c r="A4" s="7" t="s">
        <v>16</v>
      </c>
      <c r="B4" s="29">
        <v>5</v>
      </c>
    </row>
    <row r="5" spans="1:2" ht="18" customHeight="1" x14ac:dyDescent="0.4">
      <c r="A5" s="7" t="s">
        <v>2</v>
      </c>
      <c r="B5" s="30">
        <v>200000</v>
      </c>
    </row>
    <row r="6" spans="1:2" ht="18" customHeight="1" x14ac:dyDescent="0.4">
      <c r="A6" s="7" t="s">
        <v>4</v>
      </c>
      <c r="B6" s="31">
        <v>45641</v>
      </c>
    </row>
    <row r="7" spans="1:2" ht="18" customHeight="1" x14ac:dyDescent="0.4">
      <c r="A7" s="7" t="s">
        <v>17</v>
      </c>
      <c r="B7" s="13">
        <f>EOMONTH(B6,1)</f>
        <v>45688</v>
      </c>
    </row>
    <row r="8" spans="1:2" ht="18" customHeight="1" x14ac:dyDescent="0.4">
      <c r="A8" s="7" t="s">
        <v>18</v>
      </c>
      <c r="B8" s="8">
        <f>PMT(B3/12,B4*12,-B5)</f>
        <v>3705.9111622407768</v>
      </c>
    </row>
    <row r="9" spans="1:2" ht="35.1" customHeight="1" x14ac:dyDescent="0.4">
      <c r="A9" s="15" t="s">
        <v>19</v>
      </c>
      <c r="B9" s="20">
        <f>(B3/12)*B5</f>
        <v>708.33333333333337</v>
      </c>
    </row>
    <row r="10" spans="1:2" ht="35.1" customHeight="1" x14ac:dyDescent="0.4">
      <c r="A10" s="15" t="s">
        <v>20</v>
      </c>
      <c r="B10" s="8">
        <f>B8*12</f>
        <v>44470.933946889323</v>
      </c>
    </row>
    <row r="11" spans="1:2" ht="35.1" customHeight="1" x14ac:dyDescent="0.4">
      <c r="A11" s="15" t="s">
        <v>21</v>
      </c>
      <c r="B11" s="20">
        <f>B9*12</f>
        <v>8500</v>
      </c>
    </row>
  </sheetData>
  <sheetProtection sheet="1" objects="1" scenarios="1"/>
  <protectedRanges>
    <protectedRange sqref="B3:B6" name="Loan Details"/>
  </protectedRanges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B3" sqref="B3:B7"/>
    </sheetView>
  </sheetViews>
  <sheetFormatPr defaultColWidth="9.1328125" defaultRowHeight="15" x14ac:dyDescent="0.4"/>
  <cols>
    <col min="1" max="1" width="30" style="1" customWidth="1"/>
    <col min="2" max="2" width="17.73046875" style="1" customWidth="1"/>
    <col min="3" max="3" width="11.59765625" style="1" customWidth="1"/>
    <col min="4" max="5" width="16.3984375" style="1" customWidth="1"/>
    <col min="6" max="6" width="12.3984375" style="1" customWidth="1"/>
    <col min="7" max="7" width="9.1328125" style="1"/>
    <col min="8" max="8" width="27.265625" style="1" customWidth="1"/>
    <col min="9" max="16384" width="9.1328125" style="1"/>
  </cols>
  <sheetData>
    <row r="1" spans="1:5" ht="30" customHeight="1" x14ac:dyDescent="0.4">
      <c r="A1" s="35" t="s">
        <v>8</v>
      </c>
      <c r="B1" s="35"/>
    </row>
    <row r="2" spans="1:5" ht="20.100000000000001" customHeight="1" x14ac:dyDescent="0.4">
      <c r="A2" s="12" t="s">
        <v>7</v>
      </c>
      <c r="B2" s="12">
        <f>YEAR('Update Status'!B4)</f>
        <v>2025</v>
      </c>
    </row>
    <row r="3" spans="1:5" ht="18" customHeight="1" x14ac:dyDescent="0.4">
      <c r="A3" s="7" t="s">
        <v>1</v>
      </c>
      <c r="B3" s="28">
        <v>4.1000000000000002E-2</v>
      </c>
      <c r="E3" s="27"/>
    </row>
    <row r="4" spans="1:5" ht="18" customHeight="1" x14ac:dyDescent="0.4">
      <c r="A4" s="7" t="s">
        <v>11</v>
      </c>
      <c r="B4" s="29">
        <v>12.939809121400039</v>
      </c>
      <c r="E4" s="27"/>
    </row>
    <row r="5" spans="1:5" ht="18" customHeight="1" x14ac:dyDescent="0.4">
      <c r="A5" s="7" t="s">
        <v>9</v>
      </c>
      <c r="B5" s="30">
        <v>400000</v>
      </c>
      <c r="E5" s="3"/>
    </row>
    <row r="6" spans="1:5" ht="18" customHeight="1" x14ac:dyDescent="0.4">
      <c r="A6" s="7" t="s">
        <v>5</v>
      </c>
      <c r="B6" s="30">
        <v>40000</v>
      </c>
      <c r="E6" s="27"/>
    </row>
    <row r="7" spans="1:5" ht="18" customHeight="1" x14ac:dyDescent="0.4">
      <c r="A7" s="7" t="s">
        <v>4</v>
      </c>
      <c r="B7" s="31">
        <f>'Update Status'!B3+30</f>
        <v>45374</v>
      </c>
      <c r="E7" s="27"/>
    </row>
    <row r="8" spans="1:5" ht="18" customHeight="1" x14ac:dyDescent="0.4">
      <c r="A8" s="7" t="s">
        <v>3</v>
      </c>
      <c r="B8" s="14">
        <f>PMT(B3,B4,-B5,B6)</f>
        <v>38044.303800399764</v>
      </c>
      <c r="E8" s="3"/>
    </row>
    <row r="9" spans="1:5" ht="18" customHeight="1" x14ac:dyDescent="0.4">
      <c r="A9" s="7" t="s">
        <v>12</v>
      </c>
      <c r="B9" s="13">
        <f>EOMONTH(B7,1)</f>
        <v>45412</v>
      </c>
      <c r="E9" s="27"/>
    </row>
    <row r="10" spans="1:5" ht="18" customHeight="1" x14ac:dyDescent="0.4">
      <c r="A10" s="7" t="s">
        <v>13</v>
      </c>
      <c r="B10" s="8">
        <f>(B5-B6)/B4</f>
        <v>27821.121364505056</v>
      </c>
      <c r="E10" s="3"/>
    </row>
    <row r="11" spans="1:5" ht="18" customHeight="1" x14ac:dyDescent="0.4">
      <c r="A11" s="7" t="s">
        <v>47</v>
      </c>
      <c r="B11" s="8">
        <f>B8-B10</f>
        <v>10223.182435894709</v>
      </c>
      <c r="E11" s="3"/>
    </row>
    <row r="12" spans="1:5" ht="41.25" customHeight="1" x14ac:dyDescent="0.4">
      <c r="A12" s="15" t="s">
        <v>10</v>
      </c>
      <c r="B12" s="8">
        <f>PV(B3,B4,-B8)</f>
        <v>376217.86268011248</v>
      </c>
      <c r="E12" s="3"/>
    </row>
    <row r="19" spans="4:8" x14ac:dyDescent="0.4">
      <c r="D19" s="5"/>
      <c r="E19" s="9"/>
      <c r="F19" s="5"/>
    </row>
    <row r="20" spans="4:8" x14ac:dyDescent="0.4">
      <c r="D20" s="10"/>
      <c r="E20" s="9"/>
      <c r="F20" s="5"/>
      <c r="H20" s="5"/>
    </row>
    <row r="21" spans="4:8" x14ac:dyDescent="0.4">
      <c r="D21" s="10"/>
      <c r="E21" s="9"/>
      <c r="F21" s="5"/>
    </row>
    <row r="22" spans="4:8" x14ac:dyDescent="0.4">
      <c r="D22" s="10"/>
      <c r="E22" s="9"/>
      <c r="F22" s="5"/>
    </row>
    <row r="23" spans="4:8" x14ac:dyDescent="0.4">
      <c r="D23" s="10"/>
      <c r="E23" s="9"/>
      <c r="F23" s="5"/>
    </row>
    <row r="24" spans="4:8" x14ac:dyDescent="0.4">
      <c r="D24" s="10"/>
      <c r="E24" s="9"/>
      <c r="F24" s="5"/>
    </row>
    <row r="25" spans="4:8" x14ac:dyDescent="0.4">
      <c r="D25" s="10"/>
      <c r="E25" s="9"/>
      <c r="F25" s="5"/>
    </row>
    <row r="26" spans="4:8" x14ac:dyDescent="0.4">
      <c r="D26" s="10"/>
      <c r="E26" s="9"/>
      <c r="F26" s="5"/>
    </row>
    <row r="27" spans="4:8" x14ac:dyDescent="0.4">
      <c r="D27" s="10"/>
      <c r="E27" s="9"/>
      <c r="F27" s="5"/>
    </row>
    <row r="28" spans="4:8" x14ac:dyDescent="0.4">
      <c r="D28" s="10"/>
      <c r="E28" s="9"/>
      <c r="F28" s="5"/>
    </row>
    <row r="30" spans="4:8" x14ac:dyDescent="0.4">
      <c r="D30" s="10"/>
    </row>
  </sheetData>
  <sheetProtection sheet="1" objects="1" scenarios="1"/>
  <protectedRanges>
    <protectedRange sqref="B3:B7" name="Lease Details"/>
  </protectedRanges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C19" sqref="C19"/>
    </sheetView>
  </sheetViews>
  <sheetFormatPr defaultColWidth="9.1328125" defaultRowHeight="13.5" x14ac:dyDescent="0.35"/>
  <cols>
    <col min="1" max="1" width="31.73046875" style="16" customWidth="1"/>
    <col min="2" max="2" width="14.3984375" style="16" customWidth="1"/>
    <col min="3" max="3" width="15.1328125" style="16" customWidth="1"/>
    <col min="4" max="4" width="14.59765625" style="16" bestFit="1" customWidth="1"/>
    <col min="5" max="5" width="11" style="16" customWidth="1"/>
    <col min="6" max="6" width="9.1328125" style="16"/>
    <col min="7" max="7" width="18.1328125" style="16" customWidth="1"/>
    <col min="8" max="8" width="19.3984375" style="16" customWidth="1"/>
    <col min="9" max="16384" width="9.1328125" style="16"/>
  </cols>
  <sheetData>
    <row r="1" spans="1:5" ht="18" customHeight="1" x14ac:dyDescent="0.4">
      <c r="A1" s="37" t="s">
        <v>29</v>
      </c>
      <c r="B1" s="37"/>
      <c r="C1" s="37"/>
      <c r="D1" s="1"/>
    </row>
    <row r="2" spans="1:5" ht="18" customHeight="1" x14ac:dyDescent="0.4">
      <c r="A2" s="38" t="s">
        <v>30</v>
      </c>
      <c r="B2" s="38"/>
      <c r="C2" s="38"/>
      <c r="D2" s="1"/>
    </row>
    <row r="3" spans="1:5" ht="18" customHeight="1" x14ac:dyDescent="0.4">
      <c r="A3" s="4" t="s">
        <v>6</v>
      </c>
      <c r="B3" s="36" t="str">
        <f>TEXT('Update Status'!B4,"mmmm d yyyy")</f>
        <v>December 31 2025</v>
      </c>
      <c r="C3" s="36"/>
      <c r="D3" s="1"/>
    </row>
    <row r="5" spans="1:5" ht="15" x14ac:dyDescent="0.4">
      <c r="A5" s="1" t="s">
        <v>22</v>
      </c>
      <c r="B5" s="1"/>
      <c r="C5" s="3">
        <v>2975000</v>
      </c>
    </row>
    <row r="6" spans="1:5" ht="17.25" x14ac:dyDescent="0.7">
      <c r="A6" s="1" t="s">
        <v>23</v>
      </c>
      <c r="B6" s="1"/>
      <c r="C6" s="22">
        <v>1950000</v>
      </c>
      <c r="D6" s="21"/>
    </row>
    <row r="7" spans="1:5" ht="21" customHeight="1" x14ac:dyDescent="0.4">
      <c r="A7" s="2" t="s">
        <v>24</v>
      </c>
      <c r="B7" s="1"/>
      <c r="C7" s="6">
        <f>C5-C6</f>
        <v>1025000</v>
      </c>
    </row>
    <row r="8" spans="1:5" ht="21.75" customHeight="1" x14ac:dyDescent="0.45">
      <c r="A8" s="23" t="s">
        <v>25</v>
      </c>
      <c r="B8" s="1"/>
      <c r="C8" s="1"/>
    </row>
    <row r="9" spans="1:5" ht="15" x14ac:dyDescent="0.4">
      <c r="A9" s="1" t="s">
        <v>26</v>
      </c>
      <c r="B9" s="3">
        <f>'Lease Data'!B10</f>
        <v>27821.121364505056</v>
      </c>
      <c r="C9" s="1"/>
      <c r="D9" s="18"/>
    </row>
    <row r="10" spans="1:5" ht="15" x14ac:dyDescent="0.4">
      <c r="A10" s="1" t="s">
        <v>27</v>
      </c>
      <c r="B10" s="3">
        <v>530000</v>
      </c>
      <c r="C10" s="1"/>
      <c r="D10" s="18"/>
    </row>
    <row r="11" spans="1:5" ht="15" x14ac:dyDescent="0.4">
      <c r="A11" s="1" t="s">
        <v>28</v>
      </c>
      <c r="B11" s="3">
        <v>105000</v>
      </c>
      <c r="C11" s="1"/>
      <c r="D11" s="18"/>
    </row>
    <row r="12" spans="1:5" ht="15" x14ac:dyDescent="0.4">
      <c r="A12" s="1" t="s">
        <v>31</v>
      </c>
      <c r="B12" s="3">
        <v>20000</v>
      </c>
      <c r="C12" s="1"/>
      <c r="D12" s="18"/>
    </row>
    <row r="13" spans="1:5" ht="15" x14ac:dyDescent="0.4">
      <c r="A13" s="1" t="s">
        <v>32</v>
      </c>
      <c r="B13" s="3">
        <v>7000</v>
      </c>
      <c r="C13" s="1"/>
      <c r="D13" s="18"/>
    </row>
    <row r="14" spans="1:5" ht="17.25" x14ac:dyDescent="0.7">
      <c r="A14" s="1" t="s">
        <v>33</v>
      </c>
      <c r="B14" s="1"/>
      <c r="C14" s="24">
        <f>SUM(B9:B13)</f>
        <v>689821.12136450503</v>
      </c>
    </row>
    <row r="15" spans="1:5" ht="21" customHeight="1" x14ac:dyDescent="0.4">
      <c r="A15" s="2" t="s">
        <v>34</v>
      </c>
      <c r="B15" s="1"/>
      <c r="C15" s="6">
        <f>C7-C14</f>
        <v>335178.87863549497</v>
      </c>
    </row>
    <row r="16" spans="1:5" ht="18" customHeight="1" x14ac:dyDescent="0.7">
      <c r="A16" s="1" t="s">
        <v>14</v>
      </c>
      <c r="B16" s="1"/>
      <c r="C16" s="22">
        <f>'Loan Data'!B11+'Lease Data'!B11</f>
        <v>18723.182435894709</v>
      </c>
      <c r="E16" s="18"/>
    </row>
    <row r="17" spans="1:8" ht="21" customHeight="1" x14ac:dyDescent="0.4">
      <c r="A17" s="2" t="s">
        <v>35</v>
      </c>
      <c r="B17" s="1"/>
      <c r="C17" s="6">
        <f>C15-C16</f>
        <v>316455.69619960024</v>
      </c>
    </row>
    <row r="18" spans="1:8" ht="18" customHeight="1" x14ac:dyDescent="0.7">
      <c r="A18" s="1" t="s">
        <v>36</v>
      </c>
      <c r="B18" s="1"/>
      <c r="C18" s="22">
        <f>D18*C17</f>
        <v>66455.696201916042</v>
      </c>
      <c r="D18" s="17">
        <v>0.21</v>
      </c>
      <c r="E18" s="16" t="s">
        <v>38</v>
      </c>
      <c r="H18" s="18"/>
    </row>
    <row r="19" spans="1:8" ht="26.1" customHeight="1" x14ac:dyDescent="0.4">
      <c r="A19" s="25" t="s">
        <v>37</v>
      </c>
      <c r="B19" s="1"/>
      <c r="C19" s="26">
        <f>C17-C18</f>
        <v>249999.99999768421</v>
      </c>
    </row>
  </sheetData>
  <sheetProtection sheet="1" objects="1" scenarios="1"/>
  <mergeCells count="3">
    <mergeCell ref="B3:C3"/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tabSelected="1" workbookViewId="0">
      <selection activeCell="B2" sqref="B2:B3"/>
    </sheetView>
  </sheetViews>
  <sheetFormatPr defaultColWidth="9.1328125" defaultRowHeight="15" x14ac:dyDescent="0.4"/>
  <cols>
    <col min="1" max="1" width="29.3984375" style="1" customWidth="1"/>
    <col min="2" max="2" width="16.3984375" style="1" customWidth="1"/>
    <col min="3" max="16384" width="9.1328125" style="1"/>
  </cols>
  <sheetData>
    <row r="1" spans="1:2" ht="30" customHeight="1" x14ac:dyDescent="0.4">
      <c r="A1" s="39" t="s">
        <v>42</v>
      </c>
      <c r="B1" s="39"/>
    </row>
    <row r="2" spans="1:2" ht="18" customHeight="1" x14ac:dyDescent="0.4">
      <c r="A2" s="7" t="s">
        <v>43</v>
      </c>
      <c r="B2" s="28">
        <v>0.08</v>
      </c>
    </row>
    <row r="3" spans="1:2" ht="18" customHeight="1" x14ac:dyDescent="0.4">
      <c r="A3" s="7" t="s">
        <v>44</v>
      </c>
      <c r="B3" s="29">
        <v>5</v>
      </c>
    </row>
    <row r="4" spans="1:2" ht="18" customHeight="1" x14ac:dyDescent="0.4">
      <c r="A4" s="7" t="s">
        <v>46</v>
      </c>
      <c r="B4" s="32">
        <f>'Income Statement'!C19</f>
        <v>249999.99999768421</v>
      </c>
    </row>
    <row r="5" spans="1:2" ht="25.5" customHeight="1" x14ac:dyDescent="0.4">
      <c r="A5" s="7" t="s">
        <v>45</v>
      </c>
      <c r="B5" s="8">
        <f>FV(B2,B3,-B4)</f>
        <v>1466650.2399864153</v>
      </c>
    </row>
  </sheetData>
  <sheetProtection sheet="1" objects="1" scenarios="1"/>
  <protectedRanges>
    <protectedRange sqref="B2:B3" name="Future Growth Rate"/>
  </protectedRanges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 Status</vt:lpstr>
      <vt:lpstr>Loan Data</vt:lpstr>
      <vt:lpstr>Lease Data</vt:lpstr>
      <vt:lpstr>Income Statement</vt:lpstr>
      <vt:lpstr>Future 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 Manzo</dc:creator>
  <cp:lastModifiedBy>Berlin, Ilana F</cp:lastModifiedBy>
  <dcterms:created xsi:type="dcterms:W3CDTF">2019-06-08T03:19:25Z</dcterms:created>
  <dcterms:modified xsi:type="dcterms:W3CDTF">2024-02-22T19:53:12Z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ee603-0001-4639-81f8-0608a53322f1_Enabled">
    <vt:lpwstr>true</vt:lpwstr>
  </property>
  <property fmtid="{D5CDD505-2E9C-101B-9397-08002B2CF9AE}" pid="3" name="MSIP_Label_f2dee603-0001-4639-81f8-0608a53322f1_SetDate">
    <vt:lpwstr>2024-02-22T19:52:32Z</vt:lpwstr>
  </property>
  <property fmtid="{D5CDD505-2E9C-101B-9397-08002B2CF9AE}" pid="4" name="MSIP_Label_f2dee603-0001-4639-81f8-0608a53322f1_Method">
    <vt:lpwstr>Standard</vt:lpwstr>
  </property>
  <property fmtid="{D5CDD505-2E9C-101B-9397-08002B2CF9AE}" pid="5" name="MSIP_Label_f2dee603-0001-4639-81f8-0608a53322f1_Name">
    <vt:lpwstr>defa4170-0d19-0005-0004-bc88714345d2</vt:lpwstr>
  </property>
  <property fmtid="{D5CDD505-2E9C-101B-9397-08002B2CF9AE}" pid="6" name="MSIP_Label_f2dee603-0001-4639-81f8-0608a53322f1_SiteId">
    <vt:lpwstr>b4478c05-3dd9-4e06-a7fb-5dcf72bd44ee</vt:lpwstr>
  </property>
  <property fmtid="{D5CDD505-2E9C-101B-9397-08002B2CF9AE}" pid="7" name="MSIP_Label_f2dee603-0001-4639-81f8-0608a53322f1_ActionId">
    <vt:lpwstr>bb67d892-455b-4d21-a1f5-461615cc2c81</vt:lpwstr>
  </property>
  <property fmtid="{D5CDD505-2E9C-101B-9397-08002B2CF9AE}" pid="8" name="MSIP_Label_f2dee603-0001-4639-81f8-0608a53322f1_ContentBits">
    <vt:lpwstr>0</vt:lpwstr>
  </property>
</Properties>
</file>