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lays\שולחן העבודה\study\year b\production\exercise\"/>
    </mc:Choice>
  </mc:AlternateContent>
  <xr:revisionPtr revIDLastSave="0" documentId="8_{58418773-450F-40F4-AE93-039DEF3ABA69}" xr6:coauthVersionLast="47" xr6:coauthVersionMax="47" xr10:uidLastSave="{00000000-0000-0000-0000-000000000000}"/>
  <bookViews>
    <workbookView xWindow="-108" yWindow="-108" windowWidth="23256" windowHeight="12456" activeTab="3" xr2:uid="{738FD6AD-7FE2-46D9-A0B9-F367889BEF9B}"/>
  </bookViews>
  <sheets>
    <sheet name="ID" sheetId="3" r:id="rId1"/>
    <sheet name="תרשים1" sheetId="4" state="hidden" r:id="rId2"/>
    <sheet name="Admin" sheetId="2" state="hidden" r:id="rId3"/>
    <sheet name="תשובות" sheetId="11" r:id="rId4"/>
    <sheet name="גרפים" sheetId="12" r:id="rId5"/>
    <sheet name="Data (2)" sheetId="5" state="hidden" r:id="rId6"/>
  </sheets>
  <externalReferences>
    <externalReference r:id="rId7"/>
  </externalReferences>
  <definedNames>
    <definedName name="A0">Admin!$B$3</definedName>
    <definedName name="avg">Admin!$B$8</definedName>
    <definedName name="ID">ID!$B$2</definedName>
    <definedName name="Months">Admin!$P$2:$AA$2</definedName>
    <definedName name="RefNum">Admin!$B$1</definedName>
    <definedName name="Seasonality">Admin!$B$5</definedName>
    <definedName name="SeasonalityTable">Admin!$P$3:$AA$13</definedName>
    <definedName name="Std">Admin!$B$6</definedName>
    <definedName name="Trend">Admin!$B$4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1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B14" i="2" l="1"/>
  <c r="C2" i="5" l="1"/>
  <c r="B2" i="5" s="1"/>
  <c r="C3" i="5"/>
  <c r="B3" i="5" s="1"/>
  <c r="C4" i="5"/>
  <c r="B4" i="5" s="1"/>
  <c r="C5" i="5"/>
  <c r="B5" i="5" s="1"/>
  <c r="C6" i="5"/>
  <c r="B6" i="5" s="1"/>
  <c r="C7" i="5"/>
  <c r="B7" i="5" s="1"/>
  <c r="C8" i="5"/>
  <c r="B8" i="5" s="1"/>
  <c r="C9" i="5"/>
  <c r="B9" i="5" s="1"/>
  <c r="C10" i="5"/>
  <c r="B10" i="5" s="1"/>
  <c r="C11" i="5"/>
  <c r="B11" i="5" s="1"/>
  <c r="C12" i="5"/>
  <c r="B12" i="5" s="1"/>
  <c r="C13" i="5"/>
  <c r="B13" i="5" s="1"/>
  <c r="C14" i="5"/>
  <c r="B14" i="5" s="1"/>
  <c r="C15" i="5"/>
  <c r="B15" i="5" s="1"/>
  <c r="C16" i="5"/>
  <c r="B16" i="5" s="1"/>
  <c r="C17" i="5"/>
  <c r="B17" i="5" s="1"/>
  <c r="C18" i="5"/>
  <c r="B18" i="5" s="1"/>
  <c r="C19" i="5"/>
  <c r="B19" i="5" s="1"/>
  <c r="C20" i="5"/>
  <c r="B20" i="5" s="1"/>
  <c r="C21" i="5"/>
  <c r="B21" i="5" s="1"/>
  <c r="C22" i="5"/>
  <c r="B22" i="5" s="1"/>
  <c r="C23" i="5"/>
  <c r="B23" i="5" s="1"/>
  <c r="C24" i="5"/>
  <c r="B24" i="5" s="1"/>
  <c r="C121" i="5"/>
  <c r="B121" i="5" s="1"/>
  <c r="C120" i="5"/>
  <c r="B120" i="5" s="1"/>
  <c r="C119" i="5"/>
  <c r="B119" i="5" s="1"/>
  <c r="C118" i="5"/>
  <c r="B118" i="5" s="1"/>
  <c r="C117" i="5"/>
  <c r="B117" i="5" s="1"/>
  <c r="C116" i="5"/>
  <c r="B116" i="5" s="1"/>
  <c r="C115" i="5"/>
  <c r="B115" i="5" s="1"/>
  <c r="C114" i="5"/>
  <c r="B114" i="5" s="1"/>
  <c r="C113" i="5"/>
  <c r="B113" i="5" s="1"/>
  <c r="C112" i="5"/>
  <c r="B112" i="5" s="1"/>
  <c r="C111" i="5"/>
  <c r="B111" i="5" s="1"/>
  <c r="C110" i="5"/>
  <c r="B110" i="5" s="1"/>
  <c r="C109" i="5"/>
  <c r="B109" i="5" s="1"/>
  <c r="C108" i="5"/>
  <c r="B108" i="5" s="1"/>
  <c r="C107" i="5"/>
  <c r="B107" i="5" s="1"/>
  <c r="C106" i="5"/>
  <c r="B106" i="5" s="1"/>
  <c r="C105" i="5"/>
  <c r="B105" i="5" s="1"/>
  <c r="C104" i="5"/>
  <c r="B104" i="5" s="1"/>
  <c r="C103" i="5"/>
  <c r="B103" i="5" s="1"/>
  <c r="C102" i="5"/>
  <c r="B102" i="5" s="1"/>
  <c r="C101" i="5"/>
  <c r="B101" i="5" s="1"/>
  <c r="C100" i="5"/>
  <c r="B100" i="5" s="1"/>
  <c r="C99" i="5"/>
  <c r="B99" i="5" s="1"/>
  <c r="C98" i="5"/>
  <c r="B98" i="5" s="1"/>
  <c r="C97" i="5"/>
  <c r="B97" i="5" s="1"/>
  <c r="C96" i="5"/>
  <c r="B96" i="5" s="1"/>
  <c r="C95" i="5"/>
  <c r="B95" i="5" s="1"/>
  <c r="C94" i="5"/>
  <c r="B94" i="5" s="1"/>
  <c r="C93" i="5"/>
  <c r="B93" i="5" s="1"/>
  <c r="C92" i="5"/>
  <c r="B92" i="5" s="1"/>
  <c r="C91" i="5"/>
  <c r="B91" i="5" s="1"/>
  <c r="C90" i="5"/>
  <c r="B90" i="5" s="1"/>
  <c r="C89" i="5"/>
  <c r="B89" i="5" s="1"/>
  <c r="C88" i="5"/>
  <c r="B88" i="5" s="1"/>
  <c r="C87" i="5"/>
  <c r="B87" i="5" s="1"/>
  <c r="C86" i="5"/>
  <c r="B86" i="5" s="1"/>
  <c r="C85" i="5"/>
  <c r="B85" i="5" s="1"/>
  <c r="C84" i="5"/>
  <c r="B84" i="5" s="1"/>
  <c r="C83" i="5"/>
  <c r="B83" i="5" s="1"/>
  <c r="C82" i="5"/>
  <c r="B82" i="5" s="1"/>
  <c r="C81" i="5"/>
  <c r="B81" i="5" s="1"/>
  <c r="C80" i="5"/>
  <c r="B80" i="5" s="1"/>
  <c r="C79" i="5"/>
  <c r="B79" i="5" s="1"/>
  <c r="C78" i="5"/>
  <c r="B78" i="5" s="1"/>
  <c r="C77" i="5"/>
  <c r="B77" i="5" s="1"/>
  <c r="C76" i="5"/>
  <c r="B76" i="5" s="1"/>
  <c r="C75" i="5"/>
  <c r="B75" i="5" s="1"/>
  <c r="C74" i="5"/>
  <c r="B74" i="5" s="1"/>
  <c r="C73" i="5"/>
  <c r="B73" i="5" s="1"/>
  <c r="C72" i="5"/>
  <c r="B72" i="5" s="1"/>
  <c r="C71" i="5"/>
  <c r="B71" i="5" s="1"/>
  <c r="C70" i="5"/>
  <c r="B70" i="5" s="1"/>
  <c r="C69" i="5"/>
  <c r="B69" i="5" s="1"/>
  <c r="C68" i="5"/>
  <c r="B68" i="5" s="1"/>
  <c r="C67" i="5"/>
  <c r="B67" i="5" s="1"/>
  <c r="C66" i="5"/>
  <c r="B66" i="5" s="1"/>
  <c r="C65" i="5"/>
  <c r="B65" i="5" s="1"/>
  <c r="C64" i="5"/>
  <c r="B64" i="5" s="1"/>
  <c r="C63" i="5"/>
  <c r="B63" i="5" s="1"/>
  <c r="C62" i="5"/>
  <c r="B62" i="5" s="1"/>
  <c r="C61" i="5"/>
  <c r="B61" i="5" s="1"/>
  <c r="C60" i="5"/>
  <c r="B60" i="5" s="1"/>
  <c r="C59" i="5"/>
  <c r="B59" i="5" s="1"/>
  <c r="C58" i="5"/>
  <c r="B58" i="5" s="1"/>
  <c r="C57" i="5"/>
  <c r="B57" i="5" s="1"/>
  <c r="C56" i="5"/>
  <c r="B56" i="5" s="1"/>
  <c r="C55" i="5"/>
  <c r="B55" i="5" s="1"/>
  <c r="C54" i="5"/>
  <c r="B54" i="5" s="1"/>
  <c r="C53" i="5"/>
  <c r="B53" i="5" s="1"/>
  <c r="C52" i="5"/>
  <c r="B52" i="5" s="1"/>
  <c r="C51" i="5"/>
  <c r="B51" i="5" s="1"/>
  <c r="C50" i="5"/>
  <c r="B50" i="5" s="1"/>
  <c r="C49" i="5"/>
  <c r="B49" i="5" s="1"/>
  <c r="C48" i="5"/>
  <c r="B48" i="5" s="1"/>
  <c r="C47" i="5"/>
  <c r="B47" i="5" s="1"/>
  <c r="C46" i="5"/>
  <c r="B46" i="5" s="1"/>
  <c r="C45" i="5"/>
  <c r="B45" i="5" s="1"/>
  <c r="C44" i="5"/>
  <c r="B44" i="5" s="1"/>
  <c r="C43" i="5"/>
  <c r="B43" i="5" s="1"/>
  <c r="C42" i="5"/>
  <c r="B42" i="5" s="1"/>
  <c r="C41" i="5"/>
  <c r="B41" i="5" s="1"/>
  <c r="C40" i="5"/>
  <c r="B40" i="5" s="1"/>
  <c r="C39" i="5"/>
  <c r="B39" i="5" s="1"/>
  <c r="C38" i="5"/>
  <c r="B38" i="5" s="1"/>
  <c r="C37" i="5"/>
  <c r="B37" i="5" s="1"/>
  <c r="C36" i="5"/>
  <c r="B36" i="5" s="1"/>
  <c r="C35" i="5"/>
  <c r="B35" i="5" s="1"/>
  <c r="C34" i="5"/>
  <c r="B34" i="5" s="1"/>
  <c r="C33" i="5"/>
  <c r="B33" i="5" s="1"/>
  <c r="C32" i="5"/>
  <c r="B32" i="5" s="1"/>
  <c r="C31" i="5"/>
  <c r="B31" i="5" s="1"/>
  <c r="C30" i="5"/>
  <c r="B30" i="5" s="1"/>
  <c r="C29" i="5"/>
  <c r="B29" i="5" s="1"/>
  <c r="C28" i="5"/>
  <c r="B28" i="5" s="1"/>
  <c r="C27" i="5"/>
  <c r="B27" i="5" s="1"/>
  <c r="C26" i="5"/>
  <c r="B26" i="5" s="1"/>
  <c r="C25" i="5"/>
  <c r="B25" i="5" s="1"/>
  <c r="AC4" i="2"/>
  <c r="AC5" i="2"/>
  <c r="AC6" i="2"/>
  <c r="AC7" i="2"/>
  <c r="AC8" i="2"/>
  <c r="AC9" i="2"/>
  <c r="AC10" i="2"/>
  <c r="AC11" i="2"/>
  <c r="AC12" i="2"/>
  <c r="AC13" i="2"/>
  <c r="AC3" i="2"/>
  <c r="B1" i="2" l="1"/>
  <c r="S18" i="2"/>
  <c r="P18" i="2"/>
  <c r="R18" i="2"/>
  <c r="Q18" i="2"/>
  <c r="S30" i="2" l="1"/>
  <c r="Q30" i="2"/>
  <c r="R30" i="2"/>
  <c r="P30" i="2"/>
  <c r="AB6" i="2"/>
  <c r="AB10" i="2"/>
  <c r="A1" i="2"/>
  <c r="F2" i="2"/>
  <c r="D15" i="2"/>
  <c r="D27" i="2" s="1"/>
  <c r="D39" i="2" s="1"/>
  <c r="D51" i="2" s="1"/>
  <c r="D63" i="2" s="1"/>
  <c r="D75" i="2" s="1"/>
  <c r="D87" i="2" s="1"/>
  <c r="D99" i="2" s="1"/>
  <c r="D111" i="2" s="1"/>
  <c r="D16" i="2"/>
  <c r="D28" i="2" s="1"/>
  <c r="D40" i="2" s="1"/>
  <c r="D52" i="2" s="1"/>
  <c r="D64" i="2" s="1"/>
  <c r="D76" i="2" s="1"/>
  <c r="D88" i="2" s="1"/>
  <c r="D100" i="2" s="1"/>
  <c r="D112" i="2" s="1"/>
  <c r="D17" i="2"/>
  <c r="D29" i="2" s="1"/>
  <c r="D41" i="2" s="1"/>
  <c r="D53" i="2" s="1"/>
  <c r="D65" i="2" s="1"/>
  <c r="D77" i="2" s="1"/>
  <c r="D89" i="2" s="1"/>
  <c r="D101" i="2" s="1"/>
  <c r="D113" i="2" s="1"/>
  <c r="D18" i="2"/>
  <c r="D30" i="2" s="1"/>
  <c r="D42" i="2" s="1"/>
  <c r="D54" i="2" s="1"/>
  <c r="D66" i="2" s="1"/>
  <c r="D78" i="2" s="1"/>
  <c r="D90" i="2" s="1"/>
  <c r="D102" i="2" s="1"/>
  <c r="D114" i="2" s="1"/>
  <c r="D19" i="2"/>
  <c r="D31" i="2" s="1"/>
  <c r="D43" i="2" s="1"/>
  <c r="D55" i="2" s="1"/>
  <c r="D67" i="2" s="1"/>
  <c r="D79" i="2" s="1"/>
  <c r="D91" i="2" s="1"/>
  <c r="D103" i="2" s="1"/>
  <c r="D115" i="2" s="1"/>
  <c r="D20" i="2"/>
  <c r="D32" i="2" s="1"/>
  <c r="D44" i="2" s="1"/>
  <c r="D56" i="2" s="1"/>
  <c r="D68" i="2" s="1"/>
  <c r="D80" i="2" s="1"/>
  <c r="D92" i="2" s="1"/>
  <c r="D104" i="2" s="1"/>
  <c r="D116" i="2" s="1"/>
  <c r="D21" i="2"/>
  <c r="D33" i="2" s="1"/>
  <c r="D45" i="2" s="1"/>
  <c r="D57" i="2" s="1"/>
  <c r="D69" i="2" s="1"/>
  <c r="D81" i="2" s="1"/>
  <c r="D93" i="2" s="1"/>
  <c r="D105" i="2" s="1"/>
  <c r="D117" i="2" s="1"/>
  <c r="D22" i="2"/>
  <c r="D34" i="2" s="1"/>
  <c r="D46" i="2" s="1"/>
  <c r="D58" i="2" s="1"/>
  <c r="D70" i="2" s="1"/>
  <c r="D82" i="2" s="1"/>
  <c r="D94" i="2" s="1"/>
  <c r="D106" i="2" s="1"/>
  <c r="D118" i="2" s="1"/>
  <c r="D23" i="2"/>
  <c r="D35" i="2" s="1"/>
  <c r="D47" i="2" s="1"/>
  <c r="D59" i="2" s="1"/>
  <c r="D71" i="2" s="1"/>
  <c r="D83" i="2" s="1"/>
  <c r="D95" i="2" s="1"/>
  <c r="D107" i="2" s="1"/>
  <c r="D119" i="2" s="1"/>
  <c r="D24" i="2"/>
  <c r="D36" i="2" s="1"/>
  <c r="D48" i="2" s="1"/>
  <c r="D60" i="2" s="1"/>
  <c r="D72" i="2" s="1"/>
  <c r="D84" i="2" s="1"/>
  <c r="D96" i="2" s="1"/>
  <c r="D108" i="2" s="1"/>
  <c r="D120" i="2" s="1"/>
  <c r="D25" i="2"/>
  <c r="D37" i="2" s="1"/>
  <c r="D14" i="2"/>
  <c r="D26" i="2" s="1"/>
  <c r="D38" i="2" s="1"/>
  <c r="D50" i="2" s="1"/>
  <c r="D62" i="2" s="1"/>
  <c r="D74" i="2" s="1"/>
  <c r="D86" i="2" s="1"/>
  <c r="D98" i="2" s="1"/>
  <c r="D110" i="2" s="1"/>
  <c r="U20" i="2"/>
  <c r="X18" i="2"/>
  <c r="AA20" i="2"/>
  <c r="Q25" i="2"/>
  <c r="P25" i="2"/>
  <c r="V25" i="2"/>
  <c r="Z24" i="2"/>
  <c r="V23" i="2"/>
  <c r="T24" i="2"/>
  <c r="P24" i="2"/>
  <c r="AA19" i="2"/>
  <c r="Z25" i="2"/>
  <c r="X27" i="2"/>
  <c r="Q20" i="2"/>
  <c r="P26" i="2"/>
  <c r="S26" i="2"/>
  <c r="AA18" i="2"/>
  <c r="X19" i="2"/>
  <c r="V26" i="2"/>
  <c r="V20" i="2"/>
  <c r="Z19" i="2"/>
  <c r="W25" i="2"/>
  <c r="AA24" i="2"/>
  <c r="V19" i="2"/>
  <c r="V18" i="2"/>
  <c r="T20" i="2"/>
  <c r="X26" i="2"/>
  <c r="R24" i="2"/>
  <c r="Q24" i="2"/>
  <c r="Q21" i="2"/>
  <c r="R27" i="2"/>
  <c r="U21" i="2"/>
  <c r="U25" i="2"/>
  <c r="P19" i="2"/>
  <c r="Y27" i="2"/>
  <c r="AA26" i="2"/>
  <c r="AA25" i="2"/>
  <c r="S27" i="2"/>
  <c r="S24" i="2"/>
  <c r="P22" i="2"/>
  <c r="Y21" i="2"/>
  <c r="V22" i="2"/>
  <c r="U22" i="2"/>
  <c r="P21" i="2"/>
  <c r="R21" i="2"/>
  <c r="Y22" i="2"/>
  <c r="U27" i="2"/>
  <c r="Q27" i="2"/>
  <c r="S25" i="2"/>
  <c r="S23" i="2"/>
  <c r="Q23" i="2"/>
  <c r="U24" i="2"/>
  <c r="S19" i="2"/>
  <c r="P23" i="2"/>
  <c r="X25" i="2"/>
  <c r="X23" i="2"/>
  <c r="W19" i="2"/>
  <c r="AA22" i="2"/>
  <c r="S21" i="2"/>
  <c r="W22" i="2"/>
  <c r="P20" i="2"/>
  <c r="V27" i="2"/>
  <c r="T23" i="2"/>
  <c r="Z26" i="2"/>
  <c r="Q19" i="2"/>
  <c r="Z27" i="2"/>
  <c r="S22" i="2"/>
  <c r="X22" i="2"/>
  <c r="U26" i="2"/>
  <c r="W20" i="2"/>
  <c r="Q22" i="2"/>
  <c r="P27" i="2"/>
  <c r="R26" i="2"/>
  <c r="W23" i="2"/>
  <c r="Z22" i="2"/>
  <c r="V24" i="2"/>
  <c r="W21" i="2"/>
  <c r="R22" i="2"/>
  <c r="Y19" i="2"/>
  <c r="T21" i="2"/>
  <c r="T18" i="2"/>
  <c r="U19" i="2"/>
  <c r="Q26" i="2"/>
  <c r="Z23" i="2"/>
  <c r="T22" i="2"/>
  <c r="W24" i="2"/>
  <c r="W26" i="2"/>
  <c r="T26" i="2"/>
  <c r="R23" i="2"/>
  <c r="AA21" i="2"/>
  <c r="Y18" i="2"/>
  <c r="T25" i="2"/>
  <c r="U23" i="2"/>
  <c r="X21" i="2"/>
  <c r="Y25" i="2"/>
  <c r="W27" i="2"/>
  <c r="U18" i="2"/>
  <c r="T19" i="2"/>
  <c r="X20" i="2"/>
  <c r="AA27" i="2"/>
  <c r="W18" i="2"/>
  <c r="Z21" i="2"/>
  <c r="Y26" i="2"/>
  <c r="Z18" i="2"/>
  <c r="R19" i="2"/>
  <c r="X24" i="2"/>
  <c r="S20" i="2"/>
  <c r="V21" i="2"/>
  <c r="R25" i="2"/>
  <c r="Y24" i="2"/>
  <c r="Y20" i="2"/>
  <c r="T27" i="2"/>
  <c r="Y23" i="2"/>
  <c r="R20" i="2"/>
  <c r="AA23" i="2"/>
  <c r="Z20" i="2"/>
  <c r="X30" i="2" l="1"/>
  <c r="U30" i="2"/>
  <c r="T30" i="2"/>
  <c r="V30" i="2"/>
  <c r="W30" i="2"/>
  <c r="AA30" i="2"/>
  <c r="Y30" i="2"/>
  <c r="Z30" i="2"/>
  <c r="AB30" i="2"/>
  <c r="P32" i="2" s="1"/>
  <c r="AB9" i="2"/>
  <c r="AB12" i="2"/>
  <c r="AB11" i="2"/>
  <c r="AB8" i="2"/>
  <c r="AB4" i="2"/>
  <c r="AB13" i="2"/>
  <c r="AB5" i="2"/>
  <c r="AB7" i="2"/>
  <c r="AB3" i="2"/>
  <c r="D49" i="2"/>
  <c r="B5" i="2"/>
  <c r="U32" i="2" l="1"/>
  <c r="U34" i="2" s="1"/>
  <c r="Y32" i="2"/>
  <c r="Y34" i="2" s="1"/>
  <c r="Q32" i="2"/>
  <c r="Q34" i="2" s="1"/>
  <c r="R32" i="2"/>
  <c r="R34" i="2" s="1"/>
  <c r="S32" i="2"/>
  <c r="S34" i="2" s="1"/>
  <c r="V32" i="2"/>
  <c r="V34" i="2" s="1"/>
  <c r="W32" i="2"/>
  <c r="W34" i="2" s="1"/>
  <c r="Z32" i="2"/>
  <c r="Z34" i="2" s="1"/>
  <c r="T32" i="2"/>
  <c r="T34" i="2" s="1"/>
  <c r="X32" i="2"/>
  <c r="X34" i="2" s="1"/>
  <c r="AA32" i="2"/>
  <c r="AA34" i="2" s="1"/>
  <c r="P34" i="2"/>
  <c r="B3" i="2"/>
  <c r="D61" i="2"/>
  <c r="B4" i="2" l="1"/>
  <c r="AB34" i="2"/>
  <c r="D73" i="2"/>
  <c r="B6" i="2" l="1"/>
  <c r="B10" i="2" s="1"/>
  <c r="B21" i="2"/>
  <c r="H16" i="2"/>
  <c r="H11" i="2"/>
  <c r="H65" i="2"/>
  <c r="H120" i="2"/>
  <c r="H67" i="2"/>
  <c r="H100" i="2"/>
  <c r="H95" i="2"/>
  <c r="H109" i="2"/>
  <c r="H45" i="2"/>
  <c r="H80" i="2"/>
  <c r="H118" i="2"/>
  <c r="H76" i="2"/>
  <c r="H71" i="2"/>
  <c r="H97" i="2"/>
  <c r="H33" i="2"/>
  <c r="H56" i="2"/>
  <c r="H58" i="2"/>
  <c r="H36" i="2"/>
  <c r="H35" i="2"/>
  <c r="H77" i="2"/>
  <c r="H13" i="2"/>
  <c r="H12" i="2"/>
  <c r="B20" i="2"/>
  <c r="H68" i="2"/>
  <c r="H8" i="2"/>
  <c r="H63" i="2"/>
  <c r="H7" i="2"/>
  <c r="H93" i="2"/>
  <c r="H61" i="2"/>
  <c r="H29" i="2"/>
  <c r="H112" i="2"/>
  <c r="H48" i="2"/>
  <c r="H99" i="2"/>
  <c r="H31" i="2"/>
  <c r="H90" i="2"/>
  <c r="H26" i="2"/>
  <c r="H107" i="2"/>
  <c r="H43" i="2"/>
  <c r="H106" i="2"/>
  <c r="H42" i="2"/>
  <c r="H108" i="2"/>
  <c r="H44" i="2"/>
  <c r="H103" i="2"/>
  <c r="H39" i="2"/>
  <c r="H113" i="2"/>
  <c r="H81" i="2"/>
  <c r="H49" i="2"/>
  <c r="H17" i="2"/>
  <c r="H88" i="2"/>
  <c r="H20" i="2"/>
  <c r="H75" i="2"/>
  <c r="H3" i="2"/>
  <c r="H74" i="2"/>
  <c r="H10" i="2"/>
  <c r="H102" i="2"/>
  <c r="H86" i="2"/>
  <c r="H70" i="2"/>
  <c r="H54" i="2"/>
  <c r="H38" i="2"/>
  <c r="H22" i="2"/>
  <c r="H6" i="2"/>
  <c r="H116" i="2"/>
  <c r="H84" i="2"/>
  <c r="H52" i="2"/>
  <c r="H24" i="2"/>
  <c r="H111" i="2"/>
  <c r="H79" i="2"/>
  <c r="H47" i="2"/>
  <c r="H23" i="2"/>
  <c r="H117" i="2"/>
  <c r="H101" i="2"/>
  <c r="H85" i="2"/>
  <c r="H69" i="2"/>
  <c r="H53" i="2"/>
  <c r="H37" i="2"/>
  <c r="H21" i="2"/>
  <c r="H5" i="2"/>
  <c r="H96" i="2"/>
  <c r="H64" i="2"/>
  <c r="H32" i="2"/>
  <c r="H115" i="2"/>
  <c r="H83" i="2"/>
  <c r="H51" i="2"/>
  <c r="H15" i="2"/>
  <c r="H110" i="2"/>
  <c r="H94" i="2"/>
  <c r="H78" i="2"/>
  <c r="H62" i="2"/>
  <c r="H46" i="2"/>
  <c r="H30" i="2"/>
  <c r="H14" i="2"/>
  <c r="H92" i="2"/>
  <c r="H60" i="2"/>
  <c r="H28" i="2"/>
  <c r="H119" i="2"/>
  <c r="H87" i="2"/>
  <c r="H55" i="2"/>
  <c r="H27" i="2"/>
  <c r="H121" i="2"/>
  <c r="H105" i="2"/>
  <c r="H89" i="2"/>
  <c r="H73" i="2"/>
  <c r="H57" i="2"/>
  <c r="H41" i="2"/>
  <c r="H25" i="2"/>
  <c r="H9" i="2"/>
  <c r="H104" i="2"/>
  <c r="H72" i="2"/>
  <c r="H40" i="2"/>
  <c r="H4" i="2"/>
  <c r="H91" i="2"/>
  <c r="H59" i="2"/>
  <c r="H19" i="2"/>
  <c r="H114" i="2"/>
  <c r="H98" i="2"/>
  <c r="H82" i="2"/>
  <c r="H66" i="2"/>
  <c r="H50" i="2"/>
  <c r="H34" i="2"/>
  <c r="H18" i="2"/>
  <c r="H2" i="2"/>
  <c r="B8" i="2"/>
  <c r="B15" i="2" s="1"/>
  <c r="B16" i="2" s="1"/>
  <c r="B17" i="2" s="1"/>
  <c r="D85" i="2"/>
  <c r="G38" i="2" l="1"/>
  <c r="I38" i="2" s="1"/>
  <c r="G85" i="2"/>
  <c r="I85" i="2" s="1"/>
  <c r="G82" i="2"/>
  <c r="I82" i="2" s="1"/>
  <c r="G30" i="2"/>
  <c r="I30" i="2" s="1"/>
  <c r="G80" i="2"/>
  <c r="I80" i="2" s="1"/>
  <c r="G111" i="2"/>
  <c r="I111" i="2" s="1"/>
  <c r="G105" i="2"/>
  <c r="I105" i="2" s="1"/>
  <c r="G79" i="2"/>
  <c r="I79" i="2" s="1"/>
  <c r="G74" i="2"/>
  <c r="G76" i="2"/>
  <c r="I76" i="2" s="1"/>
  <c r="G107" i="2"/>
  <c r="I107" i="2" s="1"/>
  <c r="G83" i="2"/>
  <c r="I83" i="2" s="1"/>
  <c r="G14" i="2"/>
  <c r="I14" i="2" s="1"/>
  <c r="G7" i="2"/>
  <c r="I7" i="2" s="1"/>
  <c r="G57" i="2"/>
  <c r="I57" i="2" s="1"/>
  <c r="G91" i="2"/>
  <c r="I91" i="2" s="1"/>
  <c r="G104" i="2"/>
  <c r="I104" i="2" s="1"/>
  <c r="G99" i="2"/>
  <c r="I99" i="2" s="1"/>
  <c r="G94" i="2"/>
  <c r="I94" i="2" s="1"/>
  <c r="G34" i="2"/>
  <c r="I34" i="2" s="1"/>
  <c r="G10" i="2"/>
  <c r="I10" i="2" s="1"/>
  <c r="G60" i="2"/>
  <c r="I60" i="2" s="1"/>
  <c r="G5" i="2"/>
  <c r="I5" i="2" s="1"/>
  <c r="G9" i="2"/>
  <c r="I9" i="2" s="1"/>
  <c r="G84" i="2"/>
  <c r="I84" i="2" s="1"/>
  <c r="G24" i="2"/>
  <c r="I24" i="2" s="1"/>
  <c r="G63" i="2"/>
  <c r="I63" i="2" s="1"/>
  <c r="G59" i="2"/>
  <c r="I59" i="2" s="1"/>
  <c r="G4" i="2"/>
  <c r="I4" i="2" s="1"/>
  <c r="G8" i="2"/>
  <c r="I8" i="2" s="1"/>
  <c r="G92" i="2"/>
  <c r="I92" i="2" s="1"/>
  <c r="G65" i="2"/>
  <c r="I65" i="2" s="1"/>
  <c r="G16" i="2"/>
  <c r="I16" i="2" s="1"/>
  <c r="G11" i="2"/>
  <c r="I11" i="2" s="1"/>
  <c r="G70" i="2"/>
  <c r="I70" i="2" s="1"/>
  <c r="G55" i="2"/>
  <c r="I55" i="2" s="1"/>
  <c r="G49" i="2"/>
  <c r="I49" i="2" s="1"/>
  <c r="G67" i="2"/>
  <c r="I67" i="2" s="1"/>
  <c r="G118" i="2"/>
  <c r="I118" i="2" s="1"/>
  <c r="G120" i="2"/>
  <c r="I120" i="2" s="1"/>
  <c r="G95" i="2"/>
  <c r="I95" i="2" s="1"/>
  <c r="G26" i="2"/>
  <c r="I26" i="2" s="1"/>
  <c r="G109" i="2"/>
  <c r="I109" i="2" s="1"/>
  <c r="G116" i="2"/>
  <c r="I116" i="2" s="1"/>
  <c r="G71" i="2"/>
  <c r="I71" i="2" s="1"/>
  <c r="G18" i="2"/>
  <c r="I18" i="2" s="1"/>
  <c r="G101" i="2"/>
  <c r="I101" i="2" s="1"/>
  <c r="G40" i="2"/>
  <c r="I40" i="2" s="1"/>
  <c r="G47" i="2"/>
  <c r="I47" i="2" s="1"/>
  <c r="G32" i="2"/>
  <c r="I32" i="2" s="1"/>
  <c r="G100" i="2"/>
  <c r="I100" i="2" s="1"/>
  <c r="G3" i="2"/>
  <c r="I3" i="2" s="1"/>
  <c r="G103" i="2"/>
  <c r="I103" i="2" s="1"/>
  <c r="G89" i="2"/>
  <c r="I89" i="2" s="1"/>
  <c r="G19" i="2"/>
  <c r="I19" i="2" s="1"/>
  <c r="G69" i="2"/>
  <c r="I69" i="2" s="1"/>
  <c r="G62" i="2"/>
  <c r="I62" i="2" s="1"/>
  <c r="G93" i="2"/>
  <c r="I93" i="2" s="1"/>
  <c r="G33" i="2"/>
  <c r="I33" i="2" s="1"/>
  <c r="G61" i="2"/>
  <c r="I61" i="2" s="1"/>
  <c r="G35" i="2"/>
  <c r="I35" i="2" s="1"/>
  <c r="G66" i="2"/>
  <c r="I66" i="2" s="1"/>
  <c r="G6" i="2"/>
  <c r="I6" i="2" s="1"/>
  <c r="G17" i="2"/>
  <c r="I17" i="2" s="1"/>
  <c r="G115" i="2"/>
  <c r="I115" i="2" s="1"/>
  <c r="G108" i="2"/>
  <c r="I108" i="2" s="1"/>
  <c r="G39" i="2"/>
  <c r="I39" i="2" s="1"/>
  <c r="G114" i="2"/>
  <c r="I114" i="2" s="1"/>
  <c r="G77" i="2"/>
  <c r="I77" i="2" s="1"/>
  <c r="G45" i="2"/>
  <c r="I45" i="2" s="1"/>
  <c r="G12" i="2"/>
  <c r="I12" i="2" s="1"/>
  <c r="G96" i="2"/>
  <c r="I96" i="2" s="1"/>
  <c r="G64" i="2"/>
  <c r="I64" i="2" s="1"/>
  <c r="G42" i="2"/>
  <c r="I42" i="2" s="1"/>
  <c r="G106" i="2"/>
  <c r="I106" i="2" s="1"/>
  <c r="G22" i="2"/>
  <c r="I22" i="2" s="1"/>
  <c r="G102" i="2"/>
  <c r="I102" i="2" s="1"/>
  <c r="G78" i="2"/>
  <c r="I78" i="2" s="1"/>
  <c r="G110" i="2"/>
  <c r="I110" i="2" s="1"/>
  <c r="G31" i="2"/>
  <c r="I31" i="2" s="1"/>
  <c r="G25" i="2"/>
  <c r="I25" i="2" s="1"/>
  <c r="G119" i="2"/>
  <c r="I119" i="2" s="1"/>
  <c r="G36" i="2"/>
  <c r="I36" i="2" s="1"/>
  <c r="G50" i="2"/>
  <c r="I50" i="2" s="1"/>
  <c r="G72" i="2"/>
  <c r="I72" i="2" s="1"/>
  <c r="G112" i="2"/>
  <c r="I112" i="2" s="1"/>
  <c r="G52" i="2"/>
  <c r="I52" i="2" s="1"/>
  <c r="G28" i="2"/>
  <c r="I28" i="2" s="1"/>
  <c r="G87" i="2"/>
  <c r="I87" i="2" s="1"/>
  <c r="G86" i="2"/>
  <c r="I86" i="2" s="1"/>
  <c r="G97" i="2"/>
  <c r="I97" i="2" s="1"/>
  <c r="G54" i="2"/>
  <c r="I54" i="2" s="1"/>
  <c r="G51" i="2"/>
  <c r="I51" i="2" s="1"/>
  <c r="G27" i="2"/>
  <c r="I27" i="2" s="1"/>
  <c r="G58" i="2"/>
  <c r="I58" i="2" s="1"/>
  <c r="G98" i="2"/>
  <c r="I98" i="2" s="1"/>
  <c r="G53" i="2"/>
  <c r="I53" i="2" s="1"/>
  <c r="G20" i="2"/>
  <c r="I20" i="2" s="1"/>
  <c r="G73" i="2"/>
  <c r="I73" i="2" s="1"/>
  <c r="G117" i="2"/>
  <c r="I117" i="2" s="1"/>
  <c r="G29" i="2"/>
  <c r="I29" i="2" s="1"/>
  <c r="G88" i="2"/>
  <c r="I88" i="2" s="1"/>
  <c r="G81" i="2"/>
  <c r="I81" i="2" s="1"/>
  <c r="G68" i="2"/>
  <c r="I68" i="2" s="1"/>
  <c r="G121" i="2"/>
  <c r="I121" i="2" s="1"/>
  <c r="G41" i="2"/>
  <c r="I41" i="2" s="1"/>
  <c r="G37" i="2"/>
  <c r="I37" i="2" s="1"/>
  <c r="G13" i="2"/>
  <c r="I13" i="2" s="1"/>
  <c r="G44" i="2"/>
  <c r="I44" i="2" s="1"/>
  <c r="G75" i="2"/>
  <c r="I75" i="2" s="1"/>
  <c r="G15" i="2"/>
  <c r="I15" i="2" s="1"/>
  <c r="G43" i="2"/>
  <c r="I43" i="2" s="1"/>
  <c r="G56" i="2"/>
  <c r="I56" i="2" s="1"/>
  <c r="G48" i="2"/>
  <c r="I48" i="2" s="1"/>
  <c r="G23" i="2"/>
  <c r="I23" i="2" s="1"/>
  <c r="G46" i="2"/>
  <c r="I46" i="2" s="1"/>
  <c r="G113" i="2"/>
  <c r="I113" i="2" s="1"/>
  <c r="G90" i="2"/>
  <c r="I90" i="2" s="1"/>
  <c r="G21" i="2"/>
  <c r="I21" i="2" s="1"/>
  <c r="G2" i="2"/>
  <c r="I2" i="2" s="1"/>
  <c r="I74" i="2"/>
  <c r="B25" i="2"/>
  <c r="B24" i="2"/>
  <c r="B23" i="2"/>
  <c r="B22" i="2"/>
  <c r="D97" i="2"/>
  <c r="D109" i="2" l="1"/>
  <c r="D121" i="2" l="1"/>
</calcChain>
</file>

<file path=xl/sharedStrings.xml><?xml version="1.0" encoding="utf-8"?>
<sst xmlns="http://schemas.openxmlformats.org/spreadsheetml/2006/main" count="352" uniqueCount="67">
  <si>
    <t>A0</t>
  </si>
  <si>
    <t>Trend</t>
  </si>
  <si>
    <t>Year</t>
  </si>
  <si>
    <t>Month</t>
  </si>
  <si>
    <t>Demand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</si>
  <si>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</si>
  <si>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</si>
  <si>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</si>
  <si>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</si>
  <si>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</si>
  <si>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</si>
  <si>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</si>
  <si>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</si>
  <si>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</si>
  <si>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</si>
  <si>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</si>
  <si>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</si>
  <si>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סכום של Demand</t>
  </si>
  <si>
    <t>Std</t>
  </si>
  <si>
    <t>Rand</t>
  </si>
  <si>
    <t>Avg</t>
  </si>
  <si>
    <t>Seasonality</t>
  </si>
  <si>
    <t xml:space="preserve">רשום בתא הסמוך B2 את מספר תעודת הזהות שלך : </t>
  </si>
  <si>
    <t>Season</t>
  </si>
  <si>
    <t>t</t>
  </si>
  <si>
    <t>S</t>
  </si>
  <si>
    <t>varReg</t>
  </si>
  <si>
    <t>varSeas</t>
  </si>
  <si>
    <t>varTot</t>
  </si>
  <si>
    <t>rSsqare</t>
  </si>
  <si>
    <t>est</t>
  </si>
  <si>
    <t>dif</t>
  </si>
  <si>
    <t>A120</t>
  </si>
  <si>
    <t>T120</t>
  </si>
  <si>
    <t>est20</t>
  </si>
  <si>
    <t>est2</t>
  </si>
  <si>
    <t>est3</t>
  </si>
  <si>
    <t>est4</t>
  </si>
  <si>
    <t>שאלה</t>
  </si>
  <si>
    <t>סעיף</t>
  </si>
  <si>
    <t>תשובה</t>
  </si>
  <si>
    <t>ניקוד</t>
  </si>
  <si>
    <t>סוג נתון</t>
  </si>
  <si>
    <t>מספר שלם</t>
  </si>
  <si>
    <t>מחרוזת</t>
  </si>
  <si>
    <t>מספר עשרוני</t>
  </si>
  <si>
    <t>א</t>
  </si>
  <si>
    <t>ב</t>
  </si>
  <si>
    <t>ג</t>
  </si>
  <si>
    <t>ה</t>
  </si>
  <si>
    <t>ד</t>
  </si>
  <si>
    <t>גדל/קטן</t>
  </si>
  <si>
    <t>נקודות</t>
  </si>
  <si>
    <t>3א</t>
  </si>
  <si>
    <t>3ב</t>
  </si>
  <si>
    <t>4א</t>
  </si>
  <si>
    <t>4ב</t>
  </si>
  <si>
    <t>5ד</t>
  </si>
  <si>
    <t>7ו</t>
  </si>
  <si>
    <t>9א</t>
  </si>
  <si>
    <t>9ה</t>
  </si>
  <si>
    <t>Time Series</t>
  </si>
  <si>
    <t>Total</t>
  </si>
  <si>
    <t xml:space="preserve">שורה 16 </t>
  </si>
  <si>
    <t xml:space="preserve">0.1= 475.8763, 0.5= 473.8976,0.9=490.437
</t>
  </si>
  <si>
    <t xml:space="preserve">  alpha = 0.1975 </t>
  </si>
  <si>
    <t>קטן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</si>
</sst>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000"/>
    <numFmt numFmtId="166" formatCode="0.00000"/>
    <numFmt numFmtId="167" formatCode="0.0"/>
  </numFmts>
  <fonts count="6" x14ac:knownFonts="1">
    <font>
      <sz val="11"/>
      <color theme="1"/>
      <name val="Calibri"/>
      <family val="2"/>
      <charset val="177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charset val="177"/>
      <scheme val="minor"/>
    </font>
    <font>
      <sz val="8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4">
    <xf numFmtId="0" fontId="0" fillId="0" borderId="0" xfId="0"/>
    <xf numFmtId="0" fontId="0" fillId="0" borderId="0" xfId="0" pivotButton="1"/>
    <xf numFmtId="165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1" applyFont="1"/>
    <xf numFmtId="166" fontId="0" fillId="0" borderId="0" xfId="0" applyNumberFormat="1"/>
    <xf numFmtId="167" fontId="0" fillId="0" borderId="0" xfId="0" applyNumberFormat="1"/>
    <xf numFmtId="0" fontId="4" fillId="2" borderId="2" xfId="2" applyBorder="1" applyAlignment="1">
      <alignment horizontal="center"/>
    </xf>
    <xf numFmtId="0" fontId="4" fillId="3" borderId="3" xfId="2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2" xfId="0" applyFont="1" applyBorder="1"/>
    <xf numFmtId="0" fontId="3" fillId="0" borderId="9" xfId="0" applyFont="1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2" xfId="0" applyFill="1" applyBorder="1" applyProtection="1">
      <protection locked="0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5" xfId="0" applyBorder="1"/>
    <xf numFmtId="0" fontId="3" fillId="0" borderId="0" xfId="0" applyFont="1"/>
    <xf numFmtId="0" fontId="0" fillId="3" borderId="18" xfId="0" applyFill="1" applyBorder="1" applyProtection="1">
      <protection locked="0"/>
    </xf>
    <xf numFmtId="0" fontId="0" fillId="0" borderId="0" xfId="0" applyProtection="1">
      <protection locked="0"/>
    </xf>
    <xf numFmtId="0" fontId="5" fillId="3" borderId="0" xfId="0" applyFont="1" applyFill="1" applyAlignment="1" applyProtection="1">
      <alignment vertical="center"/>
      <protection locked="0"/>
    </xf>
    <xf numFmtId="0" fontId="0" fillId="3" borderId="2" xfId="0" applyFill="1" applyBorder="1" applyAlignment="1" applyProtection="1">
      <alignment wrapText="1"/>
      <protection locked="0"/>
    </xf>
    <xf numFmtId="0" fontId="3" fillId="4" borderId="18" xfId="0" applyFont="1" applyFill="1" applyBorder="1" applyProtection="1">
      <protection locked="0"/>
    </xf>
    <xf numFmtId="0" fontId="0" fillId="3" borderId="0" xfId="0" applyFill="1" applyProtection="1">
      <protection locked="0"/>
    </xf>
  </cellXfs>
  <cellStyles count="3">
    <cellStyle name="Comma" xfId="1" builtinId="3"/>
    <cellStyle name="Neutral" xfId="2" builtinId="28"/>
    <cellStyle name="Normal" xfId="0" builtinId="0"/>
  </cellStyles>
  <dxfs count="7">
    <dxf>
      <numFmt numFmtId="2" formatCode="0.0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2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[1]data_only!$A$1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6396408185104"/>
                  <c:y val="0.19435920883009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yVal>
            <c:numRef>
              <c:f>[1]data_only!$A$2:$A$121</c:f>
              <c:numCache>
                <c:formatCode>General</c:formatCode>
                <c:ptCount val="120"/>
                <c:pt idx="0">
                  <c:v>968</c:v>
                </c:pt>
                <c:pt idx="1">
                  <c:v>813</c:v>
                </c:pt>
                <c:pt idx="2">
                  <c:v>893</c:v>
                </c:pt>
                <c:pt idx="3">
                  <c:v>1009</c:v>
                </c:pt>
                <c:pt idx="4">
                  <c:v>989</c:v>
                </c:pt>
                <c:pt idx="5">
                  <c:v>851</c:v>
                </c:pt>
                <c:pt idx="6">
                  <c:v>804</c:v>
                </c:pt>
                <c:pt idx="7">
                  <c:v>909</c:v>
                </c:pt>
                <c:pt idx="8">
                  <c:v>774</c:v>
                </c:pt>
                <c:pt idx="9">
                  <c:v>981</c:v>
                </c:pt>
                <c:pt idx="10">
                  <c:v>939</c:v>
                </c:pt>
                <c:pt idx="11">
                  <c:v>1027</c:v>
                </c:pt>
                <c:pt idx="12">
                  <c:v>907</c:v>
                </c:pt>
                <c:pt idx="13">
                  <c:v>768</c:v>
                </c:pt>
                <c:pt idx="14">
                  <c:v>843</c:v>
                </c:pt>
                <c:pt idx="15">
                  <c:v>950</c:v>
                </c:pt>
                <c:pt idx="16">
                  <c:v>940</c:v>
                </c:pt>
                <c:pt idx="17">
                  <c:v>805</c:v>
                </c:pt>
                <c:pt idx="18">
                  <c:v>751</c:v>
                </c:pt>
                <c:pt idx="19">
                  <c:v>852</c:v>
                </c:pt>
                <c:pt idx="20">
                  <c:v>730</c:v>
                </c:pt>
                <c:pt idx="21">
                  <c:v>942</c:v>
                </c:pt>
                <c:pt idx="22">
                  <c:v>888</c:v>
                </c:pt>
                <c:pt idx="23">
                  <c:v>969</c:v>
                </c:pt>
                <c:pt idx="24">
                  <c:v>861</c:v>
                </c:pt>
                <c:pt idx="25">
                  <c:v>727</c:v>
                </c:pt>
                <c:pt idx="26">
                  <c:v>796</c:v>
                </c:pt>
                <c:pt idx="27">
                  <c:v>887</c:v>
                </c:pt>
                <c:pt idx="28">
                  <c:v>884</c:v>
                </c:pt>
                <c:pt idx="29">
                  <c:v>756</c:v>
                </c:pt>
                <c:pt idx="30">
                  <c:v>704</c:v>
                </c:pt>
                <c:pt idx="31">
                  <c:v>806</c:v>
                </c:pt>
                <c:pt idx="32">
                  <c:v>686</c:v>
                </c:pt>
                <c:pt idx="33">
                  <c:v>882</c:v>
                </c:pt>
                <c:pt idx="34">
                  <c:v>835</c:v>
                </c:pt>
                <c:pt idx="35">
                  <c:v>906</c:v>
                </c:pt>
                <c:pt idx="36">
                  <c:v>809</c:v>
                </c:pt>
                <c:pt idx="37">
                  <c:v>675</c:v>
                </c:pt>
                <c:pt idx="38">
                  <c:v>742</c:v>
                </c:pt>
                <c:pt idx="39">
                  <c:v>849</c:v>
                </c:pt>
                <c:pt idx="40">
                  <c:v>826</c:v>
                </c:pt>
                <c:pt idx="41">
                  <c:v>715</c:v>
                </c:pt>
                <c:pt idx="42">
                  <c:v>667</c:v>
                </c:pt>
                <c:pt idx="43">
                  <c:v>759</c:v>
                </c:pt>
                <c:pt idx="44">
                  <c:v>645</c:v>
                </c:pt>
                <c:pt idx="45">
                  <c:v>821</c:v>
                </c:pt>
                <c:pt idx="46">
                  <c:v>775</c:v>
                </c:pt>
                <c:pt idx="47">
                  <c:v>846</c:v>
                </c:pt>
                <c:pt idx="48">
                  <c:v>755</c:v>
                </c:pt>
                <c:pt idx="49">
                  <c:v>641</c:v>
                </c:pt>
                <c:pt idx="50">
                  <c:v>698</c:v>
                </c:pt>
                <c:pt idx="51">
                  <c:v>792</c:v>
                </c:pt>
                <c:pt idx="52">
                  <c:v>778</c:v>
                </c:pt>
                <c:pt idx="53">
                  <c:v>657</c:v>
                </c:pt>
                <c:pt idx="54">
                  <c:v>619</c:v>
                </c:pt>
                <c:pt idx="55">
                  <c:v>701</c:v>
                </c:pt>
                <c:pt idx="56">
                  <c:v>602</c:v>
                </c:pt>
                <c:pt idx="57">
                  <c:v>761</c:v>
                </c:pt>
                <c:pt idx="58">
                  <c:v>730</c:v>
                </c:pt>
                <c:pt idx="59">
                  <c:v>789</c:v>
                </c:pt>
                <c:pt idx="60">
                  <c:v>702</c:v>
                </c:pt>
                <c:pt idx="61">
                  <c:v>587</c:v>
                </c:pt>
                <c:pt idx="62">
                  <c:v>649</c:v>
                </c:pt>
                <c:pt idx="63">
                  <c:v>726</c:v>
                </c:pt>
                <c:pt idx="64">
                  <c:v>717</c:v>
                </c:pt>
                <c:pt idx="65">
                  <c:v>616</c:v>
                </c:pt>
                <c:pt idx="66">
                  <c:v>579</c:v>
                </c:pt>
                <c:pt idx="67">
                  <c:v>652</c:v>
                </c:pt>
                <c:pt idx="68">
                  <c:v>557</c:v>
                </c:pt>
                <c:pt idx="69">
                  <c:v>714</c:v>
                </c:pt>
                <c:pt idx="70">
                  <c:v>672</c:v>
                </c:pt>
                <c:pt idx="71">
                  <c:v>733</c:v>
                </c:pt>
                <c:pt idx="72">
                  <c:v>653</c:v>
                </c:pt>
                <c:pt idx="73">
                  <c:v>550</c:v>
                </c:pt>
                <c:pt idx="74">
                  <c:v>600</c:v>
                </c:pt>
                <c:pt idx="75">
                  <c:v>677</c:v>
                </c:pt>
                <c:pt idx="76">
                  <c:v>664</c:v>
                </c:pt>
                <c:pt idx="77">
                  <c:v>571</c:v>
                </c:pt>
                <c:pt idx="78">
                  <c:v>533</c:v>
                </c:pt>
                <c:pt idx="79">
                  <c:v>599</c:v>
                </c:pt>
                <c:pt idx="80">
                  <c:v>513</c:v>
                </c:pt>
                <c:pt idx="81">
                  <c:v>651</c:v>
                </c:pt>
                <c:pt idx="82">
                  <c:v>620</c:v>
                </c:pt>
                <c:pt idx="83">
                  <c:v>669</c:v>
                </c:pt>
                <c:pt idx="84">
                  <c:v>596</c:v>
                </c:pt>
                <c:pt idx="85">
                  <c:v>497</c:v>
                </c:pt>
                <c:pt idx="86">
                  <c:v>548</c:v>
                </c:pt>
                <c:pt idx="87">
                  <c:v>622</c:v>
                </c:pt>
                <c:pt idx="88">
                  <c:v>612</c:v>
                </c:pt>
                <c:pt idx="89">
                  <c:v>524</c:v>
                </c:pt>
                <c:pt idx="90">
                  <c:v>489</c:v>
                </c:pt>
                <c:pt idx="91">
                  <c:v>550</c:v>
                </c:pt>
                <c:pt idx="92">
                  <c:v>470</c:v>
                </c:pt>
                <c:pt idx="93">
                  <c:v>601</c:v>
                </c:pt>
                <c:pt idx="94">
                  <c:v>569</c:v>
                </c:pt>
                <c:pt idx="95">
                  <c:v>618</c:v>
                </c:pt>
                <c:pt idx="96">
                  <c:v>545</c:v>
                </c:pt>
                <c:pt idx="97">
                  <c:v>457</c:v>
                </c:pt>
                <c:pt idx="98">
                  <c:v>499</c:v>
                </c:pt>
                <c:pt idx="99">
                  <c:v>563</c:v>
                </c:pt>
                <c:pt idx="100">
                  <c:v>556</c:v>
                </c:pt>
                <c:pt idx="101">
                  <c:v>471</c:v>
                </c:pt>
                <c:pt idx="102">
                  <c:v>450</c:v>
                </c:pt>
                <c:pt idx="103">
                  <c:v>497</c:v>
                </c:pt>
                <c:pt idx="104">
                  <c:v>424</c:v>
                </c:pt>
                <c:pt idx="105">
                  <c:v>544</c:v>
                </c:pt>
                <c:pt idx="106">
                  <c:v>509</c:v>
                </c:pt>
                <c:pt idx="107">
                  <c:v>553</c:v>
                </c:pt>
                <c:pt idx="108">
                  <c:v>492</c:v>
                </c:pt>
                <c:pt idx="109">
                  <c:v>412</c:v>
                </c:pt>
                <c:pt idx="110">
                  <c:v>448</c:v>
                </c:pt>
                <c:pt idx="111">
                  <c:v>505</c:v>
                </c:pt>
                <c:pt idx="112">
                  <c:v>498</c:v>
                </c:pt>
                <c:pt idx="113">
                  <c:v>430</c:v>
                </c:pt>
                <c:pt idx="114">
                  <c:v>400</c:v>
                </c:pt>
                <c:pt idx="115">
                  <c:v>445</c:v>
                </c:pt>
                <c:pt idx="116">
                  <c:v>391</c:v>
                </c:pt>
                <c:pt idx="117">
                  <c:v>489</c:v>
                </c:pt>
                <c:pt idx="118">
                  <c:v>456</c:v>
                </c:pt>
                <c:pt idx="119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4-41B6-8635-310E4DE3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71976"/>
        <c:axId val="298372304"/>
      </c:scatterChart>
      <c:valAx>
        <c:axId val="29837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8372304"/>
        <c:crosses val="autoZero"/>
        <c:crossBetween val="midCat"/>
      </c:valAx>
      <c:valAx>
        <c:axId val="2983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837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40A507-E18C-48FA-B198-4349D8712D90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58370"/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FB099FF-2FE2-4AAE-88C7-3F10E80120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35</xdr:row>
      <xdr:rowOff>0</xdr:rowOff>
    </xdr:from>
    <xdr:to>
      <xdr:col>5</xdr:col>
      <xdr:colOff>304800</xdr:colOff>
      <xdr:row>36</xdr:row>
      <xdr:rowOff>83820</xdr:rowOff>
    </xdr:to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BBD8F414-B8D5-4112-D84C-7D4FA4C2E65B}"/>
            </a:ext>
          </a:extLst>
        </xdr:cNvPr>
        <xdr:cNvSpPr>
          <a:spLocks noChangeAspect="1" noChangeArrowheads="1"/>
        </xdr:cNvSpPr>
      </xdr:nvSpPr>
      <xdr:spPr bwMode="auto">
        <a:xfrm>
          <a:off x="2804160" y="773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304800</xdr:colOff>
      <xdr:row>36</xdr:row>
      <xdr:rowOff>83820</xdr:rowOff>
    </xdr:to>
    <xdr:sp macro="" textlink="">
      <xdr:nvSpPr>
        <xdr:cNvPr id="5124" name="AutoShape 4">
          <a:extLst>
            <a:ext uri="{FF2B5EF4-FFF2-40B4-BE49-F238E27FC236}">
              <a16:creationId xmlns:a16="http://schemas.microsoft.com/office/drawing/2014/main" id="{9E88C54B-8E83-9C42-9CA3-782E0C578367}"/>
            </a:ext>
          </a:extLst>
        </xdr:cNvPr>
        <xdr:cNvSpPr>
          <a:spLocks noChangeAspect="1" noChangeArrowheads="1"/>
        </xdr:cNvSpPr>
      </xdr:nvSpPr>
      <xdr:spPr bwMode="auto">
        <a:xfrm>
          <a:off x="2804160" y="773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304800</xdr:colOff>
      <xdr:row>36</xdr:row>
      <xdr:rowOff>83820</xdr:rowOff>
    </xdr:to>
    <xdr:sp macro="" textlink="">
      <xdr:nvSpPr>
        <xdr:cNvPr id="5126" name="AutoShape 6">
          <a:extLst>
            <a:ext uri="{FF2B5EF4-FFF2-40B4-BE49-F238E27FC236}">
              <a16:creationId xmlns:a16="http://schemas.microsoft.com/office/drawing/2014/main" id="{62C34ED0-5230-B1A3-624C-8E22231B186D}"/>
            </a:ext>
          </a:extLst>
        </xdr:cNvPr>
        <xdr:cNvSpPr>
          <a:spLocks noChangeAspect="1" noChangeArrowheads="1"/>
        </xdr:cNvSpPr>
      </xdr:nvSpPr>
      <xdr:spPr bwMode="auto">
        <a:xfrm>
          <a:off x="2804160" y="773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304800</xdr:colOff>
      <xdr:row>36</xdr:row>
      <xdr:rowOff>83820</xdr:rowOff>
    </xdr:to>
    <xdr:sp macro="" textlink="">
      <xdr:nvSpPr>
        <xdr:cNvPr id="5128" name="AutoShape 8">
          <a:extLst>
            <a:ext uri="{FF2B5EF4-FFF2-40B4-BE49-F238E27FC236}">
              <a16:creationId xmlns:a16="http://schemas.microsoft.com/office/drawing/2014/main" id="{8165179B-A658-EED3-3DD1-9ED7F0A91929}"/>
            </a:ext>
          </a:extLst>
        </xdr:cNvPr>
        <xdr:cNvSpPr>
          <a:spLocks noChangeAspect="1" noChangeArrowheads="1"/>
        </xdr:cNvSpPr>
      </xdr:nvSpPr>
      <xdr:spPr bwMode="auto">
        <a:xfrm>
          <a:off x="2804160" y="773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304800</xdr:colOff>
      <xdr:row>36</xdr:row>
      <xdr:rowOff>83820</xdr:rowOff>
    </xdr:to>
    <xdr:sp macro="" textlink="">
      <xdr:nvSpPr>
        <xdr:cNvPr id="5130" name="AutoShape 10">
          <a:extLst>
            <a:ext uri="{FF2B5EF4-FFF2-40B4-BE49-F238E27FC236}">
              <a16:creationId xmlns:a16="http://schemas.microsoft.com/office/drawing/2014/main" id="{6ABDE19C-9B38-781B-1C69-EE6E11A22C76}"/>
            </a:ext>
          </a:extLst>
        </xdr:cNvPr>
        <xdr:cNvSpPr>
          <a:spLocks noChangeAspect="1" noChangeArrowheads="1"/>
        </xdr:cNvSpPr>
      </xdr:nvSpPr>
      <xdr:spPr bwMode="auto">
        <a:xfrm>
          <a:off x="2804160" y="773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12633</xdr:rowOff>
    </xdr:to>
    <xdr:sp macro="" textlink="">
      <xdr:nvSpPr>
        <xdr:cNvPr id="5132" name="AutoShape 12">
          <a:extLst>
            <a:ext uri="{FF2B5EF4-FFF2-40B4-BE49-F238E27FC236}">
              <a16:creationId xmlns:a16="http://schemas.microsoft.com/office/drawing/2014/main" id="{3C5ABA2B-BE74-8EB6-5B61-FF2D838BC3DB}"/>
            </a:ext>
          </a:extLst>
        </xdr:cNvPr>
        <xdr:cNvSpPr>
          <a:spLocks noChangeAspect="1" noChangeArrowheads="1"/>
        </xdr:cNvSpPr>
      </xdr:nvSpPr>
      <xdr:spPr bwMode="auto">
        <a:xfrm>
          <a:off x="2804160" y="265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12633</xdr:rowOff>
    </xdr:to>
    <xdr:sp macro="" textlink="">
      <xdr:nvSpPr>
        <xdr:cNvPr id="5134" name="AutoShape 14">
          <a:extLst>
            <a:ext uri="{FF2B5EF4-FFF2-40B4-BE49-F238E27FC236}">
              <a16:creationId xmlns:a16="http://schemas.microsoft.com/office/drawing/2014/main" id="{4629CA39-3716-0500-9037-E534B18B8808}"/>
            </a:ext>
          </a:extLst>
        </xdr:cNvPr>
        <xdr:cNvSpPr>
          <a:spLocks noChangeAspect="1" noChangeArrowheads="1"/>
        </xdr:cNvSpPr>
      </xdr:nvSpPr>
      <xdr:spPr bwMode="auto">
        <a:xfrm>
          <a:off x="2804160" y="265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12633</xdr:rowOff>
    </xdr:to>
    <xdr:sp macro="" textlink="">
      <xdr:nvSpPr>
        <xdr:cNvPr id="5135" name="AutoShape 15">
          <a:extLst>
            <a:ext uri="{FF2B5EF4-FFF2-40B4-BE49-F238E27FC236}">
              <a16:creationId xmlns:a16="http://schemas.microsoft.com/office/drawing/2014/main" id="{6C40D87B-B0BF-2595-1DB5-C9779F220448}"/>
            </a:ext>
          </a:extLst>
        </xdr:cNvPr>
        <xdr:cNvSpPr>
          <a:spLocks noChangeAspect="1" noChangeArrowheads="1"/>
        </xdr:cNvSpPr>
      </xdr:nvSpPr>
      <xdr:spPr bwMode="auto">
        <a:xfrm>
          <a:off x="2804160" y="265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3</xdr:row>
      <xdr:rowOff>83820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0F1139A7-5BED-0941-DBA1-405C213009AC}"/>
            </a:ext>
          </a:extLst>
        </xdr:cNvPr>
        <xdr:cNvSpPr>
          <a:spLocks noChangeAspect="1" noChangeArrowheads="1"/>
        </xdr:cNvSpPr>
      </xdr:nvSpPr>
      <xdr:spPr bwMode="auto">
        <a:xfrm>
          <a:off x="2804160" y="44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33421</xdr:colOff>
      <xdr:row>3</xdr:row>
      <xdr:rowOff>20053</xdr:rowOff>
    </xdr:from>
    <xdr:to>
      <xdr:col>5</xdr:col>
      <xdr:colOff>601580</xdr:colOff>
      <xdr:row>11</xdr:row>
      <xdr:rowOff>467895</xdr:rowOff>
    </xdr:to>
    <xdr:pic>
      <xdr:nvPicPr>
        <xdr:cNvPr id="3" name="Picture 2" descr="שאלה 3 סעיף א&#10;">
          <a:extLst>
            <a:ext uri="{FF2B5EF4-FFF2-40B4-BE49-F238E27FC236}">
              <a16:creationId xmlns:a16="http://schemas.microsoft.com/office/drawing/2014/main" id="{78739ABE-B912-F163-F6EA-2705DD211A66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363" t="17340" r="7455" b="10929"/>
        <a:stretch/>
      </xdr:blipFill>
      <xdr:spPr>
        <a:xfrm>
          <a:off x="153737" y="701842"/>
          <a:ext cx="6557211" cy="2265948"/>
        </a:xfrm>
        <a:prstGeom prst="rect">
          <a:avLst/>
        </a:prstGeom>
      </xdr:spPr>
    </xdr:pic>
    <xdr:clientData/>
  </xdr:twoCellAnchor>
  <xdr:twoCellAnchor editAs="oneCell">
    <xdr:from>
      <xdr:col>1</xdr:col>
      <xdr:colOff>133684</xdr:colOff>
      <xdr:row>13</xdr:row>
      <xdr:rowOff>73526</xdr:rowOff>
    </xdr:from>
    <xdr:to>
      <xdr:col>5</xdr:col>
      <xdr:colOff>1630948</xdr:colOff>
      <xdr:row>20</xdr:row>
      <xdr:rowOff>380999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C55A3D-8CB5-2058-A6E3-EB08EFB2C0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2" t="16253" r="7714" b="2655"/>
        <a:stretch/>
      </xdr:blipFill>
      <xdr:spPr>
        <a:xfrm>
          <a:off x="254000" y="3328737"/>
          <a:ext cx="7486316" cy="227931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22</xdr:row>
      <xdr:rowOff>83820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F2EE2CD7-7BC1-6465-E31A-B611F0FE004E}"/>
            </a:ext>
          </a:extLst>
        </xdr:cNvPr>
        <xdr:cNvSpPr>
          <a:spLocks noChangeAspect="1" noChangeArrowheads="1"/>
        </xdr:cNvSpPr>
      </xdr:nvSpPr>
      <xdr:spPr bwMode="auto">
        <a:xfrm>
          <a:off x="2804160" y="4640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46789</xdr:colOff>
      <xdr:row>22</xdr:row>
      <xdr:rowOff>200525</xdr:rowOff>
    </xdr:from>
    <xdr:to>
      <xdr:col>5</xdr:col>
      <xdr:colOff>929105</xdr:colOff>
      <xdr:row>27</xdr:row>
      <xdr:rowOff>955842</xdr:rowOff>
    </xdr:to>
    <xdr:pic>
      <xdr:nvPicPr>
        <xdr:cNvPr id="6" name="תמונה 5">
          <a:extLst>
            <a:ext uri="{FF2B5EF4-FFF2-40B4-BE49-F238E27FC236}">
              <a16:creationId xmlns:a16="http://schemas.microsoft.com/office/drawing/2014/main" id="{9A7081A2-28CE-7FD9-7521-572B1BC28F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" t="12622" r="23771" b="22087"/>
        <a:stretch/>
      </xdr:blipFill>
      <xdr:spPr bwMode="auto">
        <a:xfrm>
          <a:off x="167105" y="6156157"/>
          <a:ext cx="6871368" cy="259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82550</xdr:colOff>
      <xdr:row>29</xdr:row>
      <xdr:rowOff>82550</xdr:rowOff>
    </xdr:from>
    <xdr:to>
      <xdr:col>5</xdr:col>
      <xdr:colOff>2279650</xdr:colOff>
      <xdr:row>37</xdr:row>
      <xdr:rowOff>173790</xdr:rowOff>
    </xdr:to>
    <xdr:pic>
      <xdr:nvPicPr>
        <xdr:cNvPr id="8" name="תמונה 7">
          <a:extLst>
            <a:ext uri="{FF2B5EF4-FFF2-40B4-BE49-F238E27FC236}">
              <a16:creationId xmlns:a16="http://schemas.microsoft.com/office/drawing/2014/main" id="{B79BD9B0-6109-22B0-15D5-3332F4B17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11480800"/>
          <a:ext cx="8178800" cy="303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93578</xdr:colOff>
      <xdr:row>37</xdr:row>
      <xdr:rowOff>20052</xdr:rowOff>
    </xdr:from>
    <xdr:to>
      <xdr:col>5</xdr:col>
      <xdr:colOff>1283369</xdr:colOff>
      <xdr:row>41</xdr:row>
      <xdr:rowOff>1122946</xdr:rowOff>
    </xdr:to>
    <xdr:pic>
      <xdr:nvPicPr>
        <xdr:cNvPr id="10" name="תמונה 9">
          <a:extLst>
            <a:ext uri="{FF2B5EF4-FFF2-40B4-BE49-F238E27FC236}">
              <a16:creationId xmlns:a16="http://schemas.microsoft.com/office/drawing/2014/main" id="{DC3DA546-AF3F-120A-A72F-2A3EE80765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8" t="9214" r="22699" b="18136"/>
        <a:stretch/>
      </xdr:blipFill>
      <xdr:spPr bwMode="auto">
        <a:xfrm>
          <a:off x="213894" y="12165263"/>
          <a:ext cx="7178843" cy="2479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43</xdr:row>
      <xdr:rowOff>66841</xdr:rowOff>
    </xdr:from>
    <xdr:to>
      <xdr:col>5</xdr:col>
      <xdr:colOff>661737</xdr:colOff>
      <xdr:row>48</xdr:row>
      <xdr:rowOff>1089525</xdr:rowOff>
    </xdr:to>
    <xdr:pic>
      <xdr:nvPicPr>
        <xdr:cNvPr id="12" name="תמונה 11">
          <a:extLst>
            <a:ext uri="{FF2B5EF4-FFF2-40B4-BE49-F238E27FC236}">
              <a16:creationId xmlns:a16="http://schemas.microsoft.com/office/drawing/2014/main" id="{8FB50CEF-5A1B-A662-2A8F-71151FCB76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4" r="20211"/>
        <a:stretch/>
      </xdr:blipFill>
      <xdr:spPr bwMode="auto">
        <a:xfrm>
          <a:off x="133016" y="15026104"/>
          <a:ext cx="6638089" cy="2753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13368</xdr:colOff>
      <xdr:row>50</xdr:row>
      <xdr:rowOff>26736</xdr:rowOff>
    </xdr:from>
    <xdr:to>
      <xdr:col>5</xdr:col>
      <xdr:colOff>2286000</xdr:colOff>
      <xdr:row>54</xdr:row>
      <xdr:rowOff>675104</xdr:rowOff>
    </xdr:to>
    <xdr:pic>
      <xdr:nvPicPr>
        <xdr:cNvPr id="13" name="תמונה 12">
          <a:extLst>
            <a:ext uri="{FF2B5EF4-FFF2-40B4-BE49-F238E27FC236}">
              <a16:creationId xmlns:a16="http://schemas.microsoft.com/office/drawing/2014/main" id="{FE4CF400-54D1-D265-0FA3-A85568B795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" t="-1089" r="19032" b="18763"/>
        <a:stretch/>
      </xdr:blipFill>
      <xdr:spPr bwMode="auto">
        <a:xfrm>
          <a:off x="133684" y="18047368"/>
          <a:ext cx="8261684" cy="27873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56</xdr:row>
      <xdr:rowOff>133684</xdr:rowOff>
    </xdr:from>
    <xdr:to>
      <xdr:col>5</xdr:col>
      <xdr:colOff>1630948</xdr:colOff>
      <xdr:row>61</xdr:row>
      <xdr:rowOff>434473</xdr:rowOff>
    </xdr:to>
    <xdr:pic>
      <xdr:nvPicPr>
        <xdr:cNvPr id="14" name="תמונה 13">
          <a:extLst>
            <a:ext uri="{FF2B5EF4-FFF2-40B4-BE49-F238E27FC236}">
              <a16:creationId xmlns:a16="http://schemas.microsoft.com/office/drawing/2014/main" id="{7DC52B60-3FA5-C622-3969-16E28E2771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-806" r="22663" b="22656"/>
        <a:stretch/>
      </xdr:blipFill>
      <xdr:spPr bwMode="auto">
        <a:xfrm>
          <a:off x="177466" y="21275842"/>
          <a:ext cx="7562850" cy="3856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13368</xdr:colOff>
      <xdr:row>63</xdr:row>
      <xdr:rowOff>160421</xdr:rowOff>
    </xdr:from>
    <xdr:to>
      <xdr:col>5</xdr:col>
      <xdr:colOff>2005264</xdr:colOff>
      <xdr:row>65</xdr:row>
      <xdr:rowOff>1597525</xdr:rowOff>
    </xdr:to>
    <xdr:pic>
      <xdr:nvPicPr>
        <xdr:cNvPr id="16" name="תמונה 15">
          <a:extLst>
            <a:ext uri="{FF2B5EF4-FFF2-40B4-BE49-F238E27FC236}">
              <a16:creationId xmlns:a16="http://schemas.microsoft.com/office/drawing/2014/main" id="{E570AABA-E8B3-1202-B3F5-14E77E86CF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474" r="23839" b="18943"/>
        <a:stretch/>
      </xdr:blipFill>
      <xdr:spPr bwMode="auto">
        <a:xfrm>
          <a:off x="133684" y="25620579"/>
          <a:ext cx="7980948" cy="3489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63</xdr:row>
      <xdr:rowOff>6350</xdr:rowOff>
    </xdr:from>
    <xdr:to>
      <xdr:col>8</xdr:col>
      <xdr:colOff>412750</xdr:colOff>
      <xdr:row>65</xdr:row>
      <xdr:rowOff>1587500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5BEFB51-3F1F-D387-4703-8294F16639C0}"/>
            </a:ext>
          </a:extLst>
        </xdr:cNvPr>
        <xdr:cNvSpPr>
          <a:spLocks noChangeAspect="1" noChangeArrowheads="1"/>
        </xdr:cNvSpPr>
      </xdr:nvSpPr>
      <xdr:spPr bwMode="auto">
        <a:xfrm>
          <a:off x="1460500" y="25482550"/>
          <a:ext cx="8788400" cy="363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c043a0a73cc15cb/&#1504;&#1497;&#1492;&#1493;&#1500;%20&#1492;&#1497;&#1497;&#1510;&#1493;&#1512;%201/data_onl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_only"/>
    </sheetNames>
    <sheetDataSet>
      <sheetData sheetId="0">
        <row r="1">
          <cell r="A1" t="str">
            <v>Demand</v>
          </cell>
        </row>
        <row r="2">
          <cell r="A2">
            <v>968</v>
          </cell>
        </row>
        <row r="3">
          <cell r="A3">
            <v>813</v>
          </cell>
        </row>
        <row r="4">
          <cell r="A4">
            <v>893</v>
          </cell>
        </row>
        <row r="5">
          <cell r="A5">
            <v>1009</v>
          </cell>
        </row>
        <row r="6">
          <cell r="A6">
            <v>989</v>
          </cell>
        </row>
        <row r="7">
          <cell r="A7">
            <v>851</v>
          </cell>
        </row>
        <row r="8">
          <cell r="A8">
            <v>804</v>
          </cell>
        </row>
        <row r="9">
          <cell r="A9">
            <v>909</v>
          </cell>
        </row>
        <row r="10">
          <cell r="A10">
            <v>774</v>
          </cell>
        </row>
        <row r="11">
          <cell r="A11">
            <v>981</v>
          </cell>
        </row>
        <row r="12">
          <cell r="A12">
            <v>939</v>
          </cell>
        </row>
        <row r="13">
          <cell r="A13">
            <v>1027</v>
          </cell>
        </row>
        <row r="14">
          <cell r="A14">
            <v>907</v>
          </cell>
        </row>
        <row r="15">
          <cell r="A15">
            <v>768</v>
          </cell>
        </row>
        <row r="16">
          <cell r="A16">
            <v>843</v>
          </cell>
        </row>
        <row r="17">
          <cell r="A17">
            <v>950</v>
          </cell>
        </row>
        <row r="18">
          <cell r="A18">
            <v>940</v>
          </cell>
        </row>
        <row r="19">
          <cell r="A19">
            <v>805</v>
          </cell>
        </row>
        <row r="20">
          <cell r="A20">
            <v>751</v>
          </cell>
        </row>
        <row r="21">
          <cell r="A21">
            <v>852</v>
          </cell>
        </row>
        <row r="22">
          <cell r="A22">
            <v>730</v>
          </cell>
        </row>
        <row r="23">
          <cell r="A23">
            <v>942</v>
          </cell>
        </row>
        <row r="24">
          <cell r="A24">
            <v>888</v>
          </cell>
        </row>
        <row r="25">
          <cell r="A25">
            <v>969</v>
          </cell>
        </row>
        <row r="26">
          <cell r="A26">
            <v>861</v>
          </cell>
        </row>
        <row r="27">
          <cell r="A27">
            <v>727</v>
          </cell>
        </row>
        <row r="28">
          <cell r="A28">
            <v>796</v>
          </cell>
        </row>
        <row r="29">
          <cell r="A29">
            <v>887</v>
          </cell>
        </row>
        <row r="30">
          <cell r="A30">
            <v>884</v>
          </cell>
        </row>
        <row r="31">
          <cell r="A31">
            <v>756</v>
          </cell>
        </row>
        <row r="32">
          <cell r="A32">
            <v>704</v>
          </cell>
        </row>
        <row r="33">
          <cell r="A33">
            <v>806</v>
          </cell>
        </row>
        <row r="34">
          <cell r="A34">
            <v>686</v>
          </cell>
        </row>
        <row r="35">
          <cell r="A35">
            <v>882</v>
          </cell>
        </row>
        <row r="36">
          <cell r="A36">
            <v>835</v>
          </cell>
        </row>
        <row r="37">
          <cell r="A37">
            <v>906</v>
          </cell>
        </row>
        <row r="38">
          <cell r="A38">
            <v>809</v>
          </cell>
        </row>
        <row r="39">
          <cell r="A39">
            <v>675</v>
          </cell>
        </row>
        <row r="40">
          <cell r="A40">
            <v>742</v>
          </cell>
        </row>
        <row r="41">
          <cell r="A41">
            <v>849</v>
          </cell>
        </row>
        <row r="42">
          <cell r="A42">
            <v>826</v>
          </cell>
        </row>
        <row r="43">
          <cell r="A43">
            <v>715</v>
          </cell>
        </row>
        <row r="44">
          <cell r="A44">
            <v>667</v>
          </cell>
        </row>
        <row r="45">
          <cell r="A45">
            <v>759</v>
          </cell>
        </row>
        <row r="46">
          <cell r="A46">
            <v>645</v>
          </cell>
        </row>
        <row r="47">
          <cell r="A47">
            <v>821</v>
          </cell>
        </row>
        <row r="48">
          <cell r="A48">
            <v>775</v>
          </cell>
        </row>
        <row r="49">
          <cell r="A49">
            <v>846</v>
          </cell>
        </row>
        <row r="50">
          <cell r="A50">
            <v>755</v>
          </cell>
        </row>
        <row r="51">
          <cell r="A51">
            <v>641</v>
          </cell>
        </row>
        <row r="52">
          <cell r="A52">
            <v>698</v>
          </cell>
        </row>
        <row r="53">
          <cell r="A53">
            <v>792</v>
          </cell>
        </row>
        <row r="54">
          <cell r="A54">
            <v>778</v>
          </cell>
        </row>
        <row r="55">
          <cell r="A55">
            <v>657</v>
          </cell>
        </row>
        <row r="56">
          <cell r="A56">
            <v>619</v>
          </cell>
        </row>
        <row r="57">
          <cell r="A57">
            <v>701</v>
          </cell>
        </row>
        <row r="58">
          <cell r="A58">
            <v>602</v>
          </cell>
        </row>
        <row r="59">
          <cell r="A59">
            <v>761</v>
          </cell>
        </row>
        <row r="60">
          <cell r="A60">
            <v>730</v>
          </cell>
        </row>
        <row r="61">
          <cell r="A61">
            <v>789</v>
          </cell>
        </row>
        <row r="62">
          <cell r="A62">
            <v>702</v>
          </cell>
        </row>
        <row r="63">
          <cell r="A63">
            <v>587</v>
          </cell>
        </row>
        <row r="64">
          <cell r="A64">
            <v>649</v>
          </cell>
        </row>
        <row r="65">
          <cell r="A65">
            <v>726</v>
          </cell>
        </row>
        <row r="66">
          <cell r="A66">
            <v>717</v>
          </cell>
        </row>
        <row r="67">
          <cell r="A67">
            <v>616</v>
          </cell>
        </row>
        <row r="68">
          <cell r="A68">
            <v>579</v>
          </cell>
        </row>
        <row r="69">
          <cell r="A69">
            <v>652</v>
          </cell>
        </row>
        <row r="70">
          <cell r="A70">
            <v>557</v>
          </cell>
        </row>
        <row r="71">
          <cell r="A71">
            <v>714</v>
          </cell>
        </row>
        <row r="72">
          <cell r="A72">
            <v>672</v>
          </cell>
        </row>
        <row r="73">
          <cell r="A73">
            <v>733</v>
          </cell>
        </row>
        <row r="74">
          <cell r="A74">
            <v>653</v>
          </cell>
        </row>
        <row r="75">
          <cell r="A75">
            <v>550</v>
          </cell>
        </row>
        <row r="76">
          <cell r="A76">
            <v>600</v>
          </cell>
        </row>
        <row r="77">
          <cell r="A77">
            <v>677</v>
          </cell>
        </row>
        <row r="78">
          <cell r="A78">
            <v>664</v>
          </cell>
        </row>
        <row r="79">
          <cell r="A79">
            <v>571</v>
          </cell>
        </row>
        <row r="80">
          <cell r="A80">
            <v>533</v>
          </cell>
        </row>
        <row r="81">
          <cell r="A81">
            <v>599</v>
          </cell>
        </row>
        <row r="82">
          <cell r="A82">
            <v>513</v>
          </cell>
        </row>
        <row r="83">
          <cell r="A83">
            <v>651</v>
          </cell>
        </row>
        <row r="84">
          <cell r="A84">
            <v>620</v>
          </cell>
        </row>
        <row r="85">
          <cell r="A85">
            <v>669</v>
          </cell>
        </row>
        <row r="86">
          <cell r="A86">
            <v>596</v>
          </cell>
        </row>
        <row r="87">
          <cell r="A87">
            <v>497</v>
          </cell>
        </row>
        <row r="88">
          <cell r="A88">
            <v>548</v>
          </cell>
        </row>
        <row r="89">
          <cell r="A89">
            <v>622</v>
          </cell>
        </row>
        <row r="90">
          <cell r="A90">
            <v>612</v>
          </cell>
        </row>
        <row r="91">
          <cell r="A91">
            <v>524</v>
          </cell>
        </row>
        <row r="92">
          <cell r="A92">
            <v>489</v>
          </cell>
        </row>
        <row r="93">
          <cell r="A93">
            <v>550</v>
          </cell>
        </row>
        <row r="94">
          <cell r="A94">
            <v>470</v>
          </cell>
        </row>
        <row r="95">
          <cell r="A95">
            <v>601</v>
          </cell>
        </row>
        <row r="96">
          <cell r="A96">
            <v>569</v>
          </cell>
        </row>
        <row r="97">
          <cell r="A97">
            <v>618</v>
          </cell>
        </row>
        <row r="98">
          <cell r="A98">
            <v>545</v>
          </cell>
        </row>
        <row r="99">
          <cell r="A99">
            <v>457</v>
          </cell>
        </row>
        <row r="100">
          <cell r="A100">
            <v>499</v>
          </cell>
        </row>
        <row r="101">
          <cell r="A101">
            <v>563</v>
          </cell>
        </row>
        <row r="102">
          <cell r="A102">
            <v>556</v>
          </cell>
        </row>
        <row r="103">
          <cell r="A103">
            <v>471</v>
          </cell>
        </row>
        <row r="104">
          <cell r="A104">
            <v>450</v>
          </cell>
        </row>
        <row r="105">
          <cell r="A105">
            <v>497</v>
          </cell>
        </row>
        <row r="106">
          <cell r="A106">
            <v>424</v>
          </cell>
        </row>
        <row r="107">
          <cell r="A107">
            <v>544</v>
          </cell>
        </row>
        <row r="108">
          <cell r="A108">
            <v>509</v>
          </cell>
        </row>
        <row r="109">
          <cell r="A109">
            <v>553</v>
          </cell>
        </row>
        <row r="110">
          <cell r="A110">
            <v>492</v>
          </cell>
        </row>
        <row r="111">
          <cell r="A111">
            <v>412</v>
          </cell>
        </row>
        <row r="112">
          <cell r="A112">
            <v>448</v>
          </cell>
        </row>
        <row r="113">
          <cell r="A113">
            <v>505</v>
          </cell>
        </row>
        <row r="114">
          <cell r="A114">
            <v>498</v>
          </cell>
        </row>
        <row r="115">
          <cell r="A115">
            <v>430</v>
          </cell>
        </row>
        <row r="116">
          <cell r="A116">
            <v>400</v>
          </cell>
        </row>
        <row r="117">
          <cell r="A117">
            <v>445</v>
          </cell>
        </row>
        <row r="118">
          <cell r="A118">
            <v>391</v>
          </cell>
        </row>
        <row r="119">
          <cell r="A119">
            <v>489</v>
          </cell>
        </row>
        <row r="120">
          <cell r="A120">
            <v>456</v>
          </cell>
        </row>
        <row r="121">
          <cell r="A121">
            <v>494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איליי" refreshedDate="45324.623453703702" createdVersion="6" refreshedVersion="8" minRefreshableVersion="3" recordCount="120" xr:uid="{3670ABC6-6E0B-4280-9C74-CC71BA33445C}">
  <cacheSource type="worksheet">
    <worksheetSource name="טבלה1"/>
  </cacheSource>
  <cacheFields count="6">
    <cacheField name="Year" numFmtId="0">
      <sharedItems containsSemiMixedTypes="0" containsString="0" containsNumber="1" containsInteger="1" minValue="2008" maxValue="2022" count="15">
        <n v="2013"/>
        <n v="2014"/>
        <n v="2015"/>
        <n v="2016"/>
        <n v="2017"/>
        <n v="2018"/>
        <n v="2019"/>
        <n v="2020"/>
        <n v="2021"/>
        <n v="2022"/>
        <n v="2012" u="1"/>
        <n v="2008" u="1"/>
        <n v="2011" u="1"/>
        <n v="2009" u="1"/>
        <n v="2010" u="1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and" numFmtId="166">
      <sharedItems containsSemiMixedTypes="0" containsString="0" containsNumber="1" minValue="1.6417107560036115E-3" maxValue="0.99771338199152815"/>
    </cacheField>
    <cacheField name="Demand" numFmtId="0">
      <sharedItems containsSemiMixedTypes="0" containsString="0" containsNumber="1" containsInteger="1" minValue="496" maxValue="846"/>
    </cacheField>
    <cacheField name="est" numFmtId="0">
      <sharedItems containsSemiMixedTypes="0" containsString="0" containsNumber="1" minValue="495.18799999999993" maxValue="846.14880000000005"/>
    </cacheField>
    <cacheField name="dif" numFmtId="0">
      <sharedItems containsSemiMixedTypes="0" containsString="0" containsNumber="1" minValue="-3.9375999999999749" maxValue="4.04520000000002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0.51414567119131627"/>
    <n v="846"/>
    <n v="846.14880000000005"/>
    <n v="-0.14880000000005111"/>
  </r>
  <r>
    <x v="0"/>
    <x v="1"/>
    <n v="0.92409982661945766"/>
    <n v="786"/>
    <n v="784.13920000000007"/>
    <n v="1.8607999999999265"/>
  </r>
  <r>
    <x v="0"/>
    <x v="2"/>
    <n v="0.15209899027449336"/>
    <n v="691"/>
    <n v="692.27240000000006"/>
    <n v="-1.2724000000000615"/>
  </r>
  <r>
    <x v="0"/>
    <x v="3"/>
    <n v="0.50214638492147712"/>
    <n v="819"/>
    <n v="818.54640000000006"/>
    <n v="0.45359999999993761"/>
  </r>
  <r>
    <x v="0"/>
    <x v="4"/>
    <n v="0.34317453870165782"/>
    <n v="681"/>
    <n v="681.99950000000001"/>
    <n v="-0.99950000000001182"/>
  </r>
  <r>
    <x v="0"/>
    <x v="5"/>
    <n v="1.8193984508412475E-2"/>
    <n v="693"/>
    <n v="695.58420000000001"/>
    <n v="-2.5842000000000098"/>
  </r>
  <r>
    <x v="0"/>
    <x v="6"/>
    <n v="0.6327104451772475"/>
    <n v="754"/>
    <n v="753.89429999999993"/>
    <n v="0.10570000000006985"/>
  </r>
  <r>
    <x v="0"/>
    <x v="7"/>
    <n v="0.8630732689416557"/>
    <n v="843"/>
    <n v="841.75959999999986"/>
    <n v="1.2404000000001361"/>
  </r>
  <r>
    <x v="0"/>
    <x v="8"/>
    <n v="0.43709290679972945"/>
    <n v="699"/>
    <n v="698.80539999999996"/>
    <n v="0.19460000000003674"/>
  </r>
  <r>
    <x v="0"/>
    <x v="9"/>
    <n v="0.65792675880955198"/>
    <n v="698"/>
    <n v="697.38599999999997"/>
    <n v="0.61400000000003274"/>
  </r>
  <r>
    <x v="0"/>
    <x v="10"/>
    <n v="0.24408353251265558"/>
    <n v="821"/>
    <n v="821.83290000000011"/>
    <n v="-0.83290000000010878"/>
  </r>
  <r>
    <x v="0"/>
    <x v="11"/>
    <n v="0.57211088617718731"/>
    <n v="636"/>
    <n v="635.43679999999995"/>
    <n v="0.56320000000005166"/>
  </r>
  <r>
    <x v="1"/>
    <x v="0"/>
    <n v="8.5485217489795318E-2"/>
    <n v="824"/>
    <n v="825.85440000000006"/>
    <n v="-1.8544000000000551"/>
  </r>
  <r>
    <x v="1"/>
    <x v="1"/>
    <n v="0.31588960082831186"/>
    <n v="765"/>
    <n v="765.2944"/>
    <n v="-0.294399999999996"/>
  </r>
  <r>
    <x v="1"/>
    <x v="2"/>
    <n v="0.14618451807473987"/>
    <n v="674"/>
    <n v="675.60200000000009"/>
    <n v="-1.6020000000000891"/>
  </r>
  <r>
    <x v="1"/>
    <x v="3"/>
    <n v="0.4760083962584587"/>
    <n v="799"/>
    <n v="798.79560000000015"/>
    <n v="0.20439999999985048"/>
  </r>
  <r>
    <x v="1"/>
    <x v="4"/>
    <n v="0.27917403884812753"/>
    <n v="665"/>
    <n v="665.51030000000003"/>
    <n v="-0.51030000000002929"/>
  </r>
  <r>
    <x v="1"/>
    <x v="5"/>
    <n v="0.77939682156971124"/>
    <n v="680"/>
    <n v="678.73260000000005"/>
    <n v="1.2673999999999523"/>
  </r>
  <r>
    <x v="1"/>
    <x v="6"/>
    <n v="0.320401783608951"/>
    <n v="735"/>
    <n v="735.59309999999994"/>
    <n v="-0.59309999999993579"/>
  </r>
  <r>
    <x v="1"/>
    <x v="7"/>
    <n v="0.86165940780921768"/>
    <n v="823"/>
    <n v="821.28399999999988"/>
    <n v="1.7160000000001219"/>
  </r>
  <r>
    <x v="1"/>
    <x v="8"/>
    <n v="0.27805103106310669"/>
    <n v="681"/>
    <n v="681.7725999999999"/>
    <n v="-0.77259999999989759"/>
  </r>
  <r>
    <x v="1"/>
    <x v="9"/>
    <n v="0.78946094406237222"/>
    <n v="681"/>
    <n v="680.3531999999999"/>
    <n v="0.64680000000009841"/>
  </r>
  <r>
    <x v="1"/>
    <x v="10"/>
    <n v="0.1166481361778855"/>
    <n v="800"/>
    <n v="801.7197000000001"/>
    <n v="-1.7197000000001026"/>
  </r>
  <r>
    <x v="1"/>
    <x v="11"/>
    <n v="0.92028334061899131"/>
    <n v="622"/>
    <n v="619.85360000000003"/>
    <n v="2.1463999999999714"/>
  </r>
  <r>
    <x v="2"/>
    <x v="0"/>
    <n v="0.27275782195582077"/>
    <n v="805"/>
    <n v="805.56000000000006"/>
    <n v="-0.56000000000005912"/>
  </r>
  <r>
    <x v="2"/>
    <x v="1"/>
    <n v="0.36760885858969405"/>
    <n v="746"/>
    <n v="746.44960000000003"/>
    <n v="-0.4496000000000322"/>
  </r>
  <r>
    <x v="2"/>
    <x v="2"/>
    <n v="0.82289082276410286"/>
    <n v="660"/>
    <n v="658.9316"/>
    <n v="1.0683999999999969"/>
  </r>
  <r>
    <x v="2"/>
    <x v="3"/>
    <n v="0.57610473962276987"/>
    <n v="779"/>
    <n v="779.04480000000012"/>
    <n v="-4.4800000000122964E-2"/>
  </r>
  <r>
    <x v="2"/>
    <x v="4"/>
    <n v="0.57851372355111064"/>
    <n v="649"/>
    <n v="649.02110000000005"/>
    <n v="-2.1100000000046748E-2"/>
  </r>
  <r>
    <x v="2"/>
    <x v="5"/>
    <n v="0.80600628020692888"/>
    <n v="663"/>
    <n v="661.88099999999997"/>
    <n v="1.1190000000000282"/>
  </r>
  <r>
    <x v="2"/>
    <x v="6"/>
    <n v="0.93248596322323474"/>
    <n v="719"/>
    <n v="717.29190000000006"/>
    <n v="1.7080999999999449"/>
  </r>
  <r>
    <x v="2"/>
    <x v="7"/>
    <n v="5.0288319563814188E-2"/>
    <n v="798"/>
    <n v="800.80839999999989"/>
    <n v="-2.8083999999998923"/>
  </r>
  <r>
    <x v="2"/>
    <x v="8"/>
    <n v="0.28190194877462305"/>
    <n v="664"/>
    <n v="664.73979999999995"/>
    <n v="-0.73979999999994561"/>
  </r>
  <r>
    <x v="2"/>
    <x v="9"/>
    <n v="0.97444256766554826"/>
    <n v="666"/>
    <n v="663.32039999999995"/>
    <n v="2.6796000000000504"/>
  </r>
  <r>
    <x v="2"/>
    <x v="10"/>
    <n v="0.53554345450226326"/>
    <n v="782"/>
    <n v="781.6065000000001"/>
    <n v="0.39349999999990359"/>
  </r>
  <r>
    <x v="2"/>
    <x v="11"/>
    <n v="8.3899014346902612E-2"/>
    <n v="603"/>
    <n v="604.2704"/>
    <n v="-1.2703999999999951"/>
  </r>
  <r>
    <x v="3"/>
    <x v="0"/>
    <n v="0.70495618425954831"/>
    <n v="786"/>
    <n v="785.26560000000006"/>
    <n v="0.73439999999993688"/>
  </r>
  <r>
    <x v="3"/>
    <x v="1"/>
    <n v="0.52596450219541746"/>
    <n v="728"/>
    <n v="727.60480000000007"/>
    <n v="0.39519999999993161"/>
  </r>
  <r>
    <x v="3"/>
    <x v="2"/>
    <n v="0.89318365634188346"/>
    <n v="644"/>
    <n v="642.26120000000003"/>
    <n v="1.7387999999999693"/>
  </r>
  <r>
    <x v="3"/>
    <x v="3"/>
    <n v="0.91817091982482568"/>
    <n v="761"/>
    <n v="759.2940000000001"/>
    <n v="1.7059999999999036"/>
  </r>
  <r>
    <x v="3"/>
    <x v="4"/>
    <n v="0.19103932662862033"/>
    <n v="631"/>
    <n v="632.53190000000006"/>
    <n v="-1.5319000000000642"/>
  </r>
  <r>
    <x v="3"/>
    <x v="5"/>
    <n v="0.6104818231142799"/>
    <n v="645"/>
    <n v="645.02940000000001"/>
    <n v="-2.9400000000009641E-2"/>
  </r>
  <r>
    <x v="3"/>
    <x v="6"/>
    <n v="0.84154007319543145"/>
    <n v="700"/>
    <n v="698.99069999999995"/>
    <n v="1.0093000000000529"/>
  </r>
  <r>
    <x v="3"/>
    <x v="7"/>
    <n v="0.67745713361931614"/>
    <n v="781"/>
    <n v="780.33279999999991"/>
    <n v="0.6672000000000935"/>
  </r>
  <r>
    <x v="3"/>
    <x v="8"/>
    <n v="0.37627955679742753"/>
    <n v="647"/>
    <n v="647.70699999999988"/>
    <n v="-0.70699999999987995"/>
  </r>
  <r>
    <x v="3"/>
    <x v="9"/>
    <n v="0.85968240899667114"/>
    <n v="648"/>
    <n v="646.28759999999988"/>
    <n v="1.7124000000001161"/>
  </r>
  <r>
    <x v="3"/>
    <x v="10"/>
    <n v="0.16325174210517213"/>
    <n v="760"/>
    <n v="761.49330000000009"/>
    <n v="-1.4933000000000902"/>
  </r>
  <r>
    <x v="3"/>
    <x v="11"/>
    <n v="0.49798411327854564"/>
    <n v="589"/>
    <n v="588.68719999999996"/>
    <n v="0.31280000000003838"/>
  </r>
  <r>
    <x v="4"/>
    <x v="0"/>
    <n v="0.10603847674627931"/>
    <n v="763"/>
    <n v="764.97120000000007"/>
    <n v="-1.9712000000000671"/>
  </r>
  <r>
    <x v="4"/>
    <x v="1"/>
    <n v="0.66349695585893842"/>
    <n v="709"/>
    <n v="708.76"/>
    <n v="0.24000000000000909"/>
  </r>
  <r>
    <x v="4"/>
    <x v="2"/>
    <n v="0.13312717158753384"/>
    <n v="624"/>
    <n v="625.59080000000006"/>
    <n v="-1.5908000000000584"/>
  </r>
  <r>
    <x v="4"/>
    <x v="3"/>
    <n v="0.14355033293452479"/>
    <n v="738"/>
    <n v="739.54320000000007"/>
    <n v="-1.5432000000000698"/>
  </r>
  <r>
    <x v="4"/>
    <x v="4"/>
    <n v="9.2560623586371182E-2"/>
    <n v="614"/>
    <n v="616.04270000000008"/>
    <n v="-2.0427000000000817"/>
  </r>
  <r>
    <x v="4"/>
    <x v="5"/>
    <n v="3.5369866108412307E-2"/>
    <n v="626"/>
    <n v="628.17780000000005"/>
    <n v="-2.1778000000000475"/>
  </r>
  <r>
    <x v="4"/>
    <x v="6"/>
    <n v="0.15435528748197891"/>
    <n v="679"/>
    <n v="680.68950000000007"/>
    <n v="-1.6895000000000664"/>
  </r>
  <r>
    <x v="4"/>
    <x v="7"/>
    <n v="0.15459198520266404"/>
    <n v="758"/>
    <n v="759.85720000000003"/>
    <n v="-1.8572000000000344"/>
  </r>
  <r>
    <x v="4"/>
    <x v="8"/>
    <n v="0.30630954133882249"/>
    <n v="630"/>
    <n v="630.67419999999993"/>
    <n v="-0.67419999999992797"/>
  </r>
  <r>
    <x v="4"/>
    <x v="9"/>
    <n v="0.23788247817955011"/>
    <n v="628"/>
    <n v="629.25479999999993"/>
    <n v="-1.254799999999932"/>
  </r>
  <r>
    <x v="4"/>
    <x v="10"/>
    <n v="0.62099188043006126"/>
    <n v="742"/>
    <n v="741.38010000000008"/>
    <n v="0.61989999999991596"/>
  </r>
  <r>
    <x v="4"/>
    <x v="11"/>
    <n v="0.33639521188373867"/>
    <n v="573"/>
    <n v="573.10399999999993"/>
    <n v="-0.10399999999992815"/>
  </r>
  <r>
    <x v="5"/>
    <x v="0"/>
    <n v="0.20136919388908414"/>
    <n v="743"/>
    <n v="744.67680000000007"/>
    <n v="-1.6768000000000711"/>
  </r>
  <r>
    <x v="5"/>
    <x v="1"/>
    <n v="0.10613837712902818"/>
    <n v="688"/>
    <n v="689.91520000000003"/>
    <n v="-1.9152000000000271"/>
  </r>
  <r>
    <x v="5"/>
    <x v="2"/>
    <n v="0.28971298404284329"/>
    <n v="608"/>
    <n v="608.92040000000009"/>
    <n v="-0.92040000000008604"/>
  </r>
  <r>
    <x v="5"/>
    <x v="3"/>
    <n v="0.20492166904806042"/>
    <n v="719"/>
    <n v="719.79240000000004"/>
    <n v="-0.79240000000004329"/>
  </r>
  <r>
    <x v="5"/>
    <x v="4"/>
    <n v="0.32431166768478781"/>
    <n v="599"/>
    <n v="599.55349999999999"/>
    <n v="-0.55349999999998545"/>
  </r>
  <r>
    <x v="5"/>
    <x v="5"/>
    <n v="0.54795167556657898"/>
    <n v="611"/>
    <n v="611.32619999999997"/>
    <n v="-0.32619999999997162"/>
  </r>
  <r>
    <x v="5"/>
    <x v="6"/>
    <n v="7.843566319838613E-2"/>
    <n v="660"/>
    <n v="662.38830000000007"/>
    <n v="-2.388300000000072"/>
  </r>
  <r>
    <x v="5"/>
    <x v="7"/>
    <n v="0.27577018055618885"/>
    <n v="738"/>
    <n v="739.38159999999982"/>
    <n v="-1.3815999999998212"/>
  </r>
  <r>
    <x v="5"/>
    <x v="8"/>
    <n v="0.7171293477101488"/>
    <n v="614"/>
    <n v="613.64139999999986"/>
    <n v="0.3586000000001377"/>
  </r>
  <r>
    <x v="5"/>
    <x v="9"/>
    <n v="0.7939003326292241"/>
    <n v="613"/>
    <n v="612.22199999999987"/>
    <n v="0.7780000000001337"/>
  </r>
  <r>
    <x v="5"/>
    <x v="10"/>
    <n v="0.94078678543058925"/>
    <n v="724"/>
    <n v="721.26690000000008"/>
    <n v="2.7330999999999221"/>
  </r>
  <r>
    <x v="5"/>
    <x v="11"/>
    <n v="0.43605947326369654"/>
    <n v="557"/>
    <n v="557.52080000000001"/>
    <n v="-0.52080000000000837"/>
  </r>
  <r>
    <x v="6"/>
    <x v="0"/>
    <n v="0.153222822356887"/>
    <n v="723"/>
    <n v="724.38240000000008"/>
    <n v="-1.3824000000000751"/>
  </r>
  <r>
    <x v="6"/>
    <x v="1"/>
    <n v="0.65640604759881527"/>
    <n v="672"/>
    <n v="671.07040000000006"/>
    <n v="0.9295999999999367"/>
  </r>
  <r>
    <x v="6"/>
    <x v="2"/>
    <n v="0.49199504290061957"/>
    <n v="592"/>
    <n v="592.25"/>
    <n v="-0.25"/>
  </r>
  <r>
    <x v="6"/>
    <x v="3"/>
    <n v="0.97397210208553475"/>
    <n v="703"/>
    <n v="700.04160000000002"/>
    <n v="2.9583999999999833"/>
  </r>
  <r>
    <x v="6"/>
    <x v="4"/>
    <n v="7.1446639247294774E-2"/>
    <n v="581"/>
    <n v="583.0643"/>
    <n v="-2.0643000000000029"/>
  </r>
  <r>
    <x v="6"/>
    <x v="5"/>
    <n v="0.12256237635297584"/>
    <n v="593"/>
    <n v="594.47460000000001"/>
    <n v="-1.4746000000000095"/>
  </r>
  <r>
    <x v="6"/>
    <x v="6"/>
    <n v="0.54746856421106194"/>
    <n v="644"/>
    <n v="644.08710000000008"/>
    <n v="-8.7100000000077671E-2"/>
  </r>
  <r>
    <x v="6"/>
    <x v="7"/>
    <n v="0.36318165066472075"/>
    <n v="718"/>
    <n v="718.90599999999995"/>
    <n v="-0.90599999999994907"/>
  </r>
  <r>
    <x v="6"/>
    <x v="8"/>
    <n v="0.65333999349728333"/>
    <n v="597"/>
    <n v="596.60860000000002"/>
    <n v="0.39139999999997599"/>
  </r>
  <r>
    <x v="6"/>
    <x v="9"/>
    <n v="0.14645519190504475"/>
    <n v="594"/>
    <n v="595.18919999999991"/>
    <n v="-1.1891999999999143"/>
  </r>
  <r>
    <x v="6"/>
    <x v="10"/>
    <n v="0.10182083270363973"/>
    <n v="699"/>
    <n v="701.15370000000007"/>
    <n v="-2.1537000000000717"/>
  </r>
  <r>
    <x v="6"/>
    <x v="11"/>
    <n v="1.6417107560036115E-3"/>
    <n v="538"/>
    <n v="541.93759999999997"/>
    <n v="-3.9375999999999749"/>
  </r>
  <r>
    <x v="7"/>
    <x v="0"/>
    <n v="0.29073277231141936"/>
    <n v="703"/>
    <n v="704.08800000000008"/>
    <n v="-1.0880000000000791"/>
  </r>
  <r>
    <x v="7"/>
    <x v="1"/>
    <n v="0.49870985422381509"/>
    <n v="652"/>
    <n v="652.22559999999999"/>
    <n v="-0.22559999999998581"/>
  </r>
  <r>
    <x v="7"/>
    <x v="2"/>
    <n v="0.24473926787544975"/>
    <n v="575"/>
    <n v="575.57960000000003"/>
    <n v="-0.57960000000002765"/>
  </r>
  <r>
    <x v="7"/>
    <x v="3"/>
    <n v="0.74584056491120909"/>
    <n v="681"/>
    <n v="680.2908000000001"/>
    <n v="0.70919999999989614"/>
  </r>
  <r>
    <x v="7"/>
    <x v="4"/>
    <n v="0.84726069937979354"/>
    <n v="568"/>
    <n v="566.57510000000002"/>
    <n v="1.4248999999999796"/>
  </r>
  <r>
    <x v="7"/>
    <x v="5"/>
    <n v="0.63481153928899736"/>
    <n v="578"/>
    <n v="577.62299999999993"/>
    <n v="0.37700000000006639"/>
  </r>
  <r>
    <x v="7"/>
    <x v="6"/>
    <n v="0.72472045346456959"/>
    <n v="627"/>
    <n v="625.78590000000008"/>
    <n v="1.2140999999999167"/>
  </r>
  <r>
    <x v="7"/>
    <x v="7"/>
    <n v="0.79220907689188025"/>
    <n v="700"/>
    <n v="698.43039999999996"/>
    <n v="1.5696000000000367"/>
  </r>
  <r>
    <x v="7"/>
    <x v="8"/>
    <n v="1.6952802944775192E-2"/>
    <n v="577"/>
    <n v="579.57579999999996"/>
    <n v="-2.5757999999999583"/>
  </r>
  <r>
    <x v="7"/>
    <x v="9"/>
    <n v="0.34844930354316683"/>
    <n v="578"/>
    <n v="578.15639999999996"/>
    <n v="-0.15639999999996235"/>
  </r>
  <r>
    <x v="7"/>
    <x v="10"/>
    <n v="0.83625148118638393"/>
    <n v="683"/>
    <n v="681.04050000000007"/>
    <n v="1.9594999999999345"/>
  </r>
  <r>
    <x v="7"/>
    <x v="11"/>
    <n v="3.2411309056931348E-2"/>
    <n v="524"/>
    <n v="526.35439999999994"/>
    <n v="-2.3543999999999414"/>
  </r>
  <r>
    <x v="8"/>
    <x v="0"/>
    <n v="0.66258424555108941"/>
    <n v="684"/>
    <n v="683.79360000000008"/>
    <n v="0.20639999999991687"/>
  </r>
  <r>
    <x v="8"/>
    <x v="1"/>
    <n v="6.5050066489600988E-2"/>
    <n v="631"/>
    <n v="633.38080000000002"/>
    <n v="-2.380800000000022"/>
  </r>
  <r>
    <x v="8"/>
    <x v="2"/>
    <n v="0.57648247975839861"/>
    <n v="559"/>
    <n v="558.90920000000006"/>
    <n v="9.0799999999944703E-2"/>
  </r>
  <r>
    <x v="8"/>
    <x v="3"/>
    <n v="0.22517190962465328"/>
    <n v="659"/>
    <n v="660.54000000000008"/>
    <n v="-1.5400000000000773"/>
  </r>
  <r>
    <x v="8"/>
    <x v="4"/>
    <n v="0.60611027474202395"/>
    <n v="550"/>
    <n v="550.08590000000004"/>
    <n v="-8.5900000000037835E-2"/>
  </r>
  <r>
    <x v="8"/>
    <x v="5"/>
    <n v="0.32069090406060186"/>
    <n v="560"/>
    <n v="560.77139999999997"/>
    <n v="-0.77139999999997144"/>
  </r>
  <r>
    <x v="8"/>
    <x v="6"/>
    <n v="0.75214693364404028"/>
    <n v="608"/>
    <n v="607.48470000000009"/>
    <n v="0.51529999999991105"/>
  </r>
  <r>
    <x v="8"/>
    <x v="7"/>
    <n v="0.99771338199152815"/>
    <n v="682"/>
    <n v="677.95479999999998"/>
    <n v="4.0452000000000226"/>
  </r>
  <r>
    <x v="8"/>
    <x v="8"/>
    <n v="0.43576959041696806"/>
    <n v="562"/>
    <n v="562.54300000000001"/>
    <n v="-0.54300000000000637"/>
  </r>
  <r>
    <x v="8"/>
    <x v="9"/>
    <n v="0.32609187096225134"/>
    <n v="561"/>
    <n v="561.12360000000001"/>
    <n v="-0.12360000000001037"/>
  </r>
  <r>
    <x v="8"/>
    <x v="10"/>
    <n v="0.76950703593011338"/>
    <n v="662"/>
    <n v="660.92730000000017"/>
    <n v="1.072699999999827"/>
  </r>
  <r>
    <x v="8"/>
    <x v="11"/>
    <n v="0.59911293615501082"/>
    <n v="511"/>
    <n v="510.77119999999996"/>
    <n v="0.2288000000000352"/>
  </r>
  <r>
    <x v="9"/>
    <x v="0"/>
    <n v="0.47991825156635071"/>
    <n v="663"/>
    <n v="663.49919999999997"/>
    <n v="-0.49919999999997344"/>
  </r>
  <r>
    <x v="9"/>
    <x v="1"/>
    <n v="0.9213039362248201"/>
    <n v="617"/>
    <n v="614.53599999999994"/>
    <n v="2.4640000000000555"/>
  </r>
  <r>
    <x v="9"/>
    <x v="2"/>
    <n v="0.680617603205662"/>
    <n v="543"/>
    <n v="542.23879999999997"/>
    <n v="0.76120000000003074"/>
  </r>
  <r>
    <x v="9"/>
    <x v="3"/>
    <n v="0.29402599855606681"/>
    <n v="640"/>
    <n v="640.78920000000005"/>
    <n v="-0.78920000000005075"/>
  </r>
  <r>
    <x v="9"/>
    <x v="4"/>
    <n v="0.95623585623744689"/>
    <n v="536"/>
    <n v="533.59670000000006"/>
    <n v="2.4032999999999447"/>
  </r>
  <r>
    <x v="9"/>
    <x v="5"/>
    <n v="6.8001666322206389E-2"/>
    <n v="542"/>
    <n v="543.91980000000001"/>
    <n v="-1.9198000000000093"/>
  </r>
  <r>
    <x v="9"/>
    <x v="6"/>
    <n v="0.80181537870129305"/>
    <n v="590"/>
    <n v="589.18349999999998"/>
    <n v="0.8165000000000191"/>
  </r>
  <r>
    <x v="9"/>
    <x v="7"/>
    <n v="0.12802406176531855"/>
    <n v="656"/>
    <n v="657.47919999999999"/>
    <n v="-1.4791999999999916"/>
  </r>
  <r>
    <x v="9"/>
    <x v="8"/>
    <n v="0.81347438636137237"/>
    <n v="547"/>
    <n v="545.51020000000005"/>
    <n v="1.4897999999999456"/>
  </r>
  <r>
    <x v="9"/>
    <x v="9"/>
    <n v="0.85011334156085105"/>
    <n v="545"/>
    <n v="544.09079999999994"/>
    <n v="0.9092000000000553"/>
  </r>
  <r>
    <x v="9"/>
    <x v="10"/>
    <n v="0.32095132476021593"/>
    <n v="640"/>
    <n v="640.81409999999994"/>
    <n v="-0.81409999999993943"/>
  </r>
  <r>
    <x v="9"/>
    <x v="11"/>
    <n v="0.61435864976488153"/>
    <n v="496"/>
    <n v="495.18799999999993"/>
    <n v="0.812000000000068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1022A-A309-4ACC-89FF-BE00C05BB48A}" name="PivotTable1" cacheId="0" applyNumberFormats="0" applyBorderFormats="0" applyFontFormats="0" applyPatternFormats="0" applyAlignmentFormats="0" applyWidthHeightFormats="1" dataCaption="ערכים" updatedVersion="8" minRefreshableVersion="3" useAutoFormatting="1" rowGrandTotals="0" itemPrintTitles="1" createdVersion="6" indent="0" compact="0" compactData="0" gridDropZones="1" multipleFieldFilters="0">
  <location ref="K2:M123" firstHeaderRow="2" firstDataRow="2" firstDataCol="2"/>
  <pivotFields count="6">
    <pivotField axis="axisRow" compact="0" outline="0" showAll="0" defaultSubtotal="0">
      <items count="15">
        <item m="1" x="11"/>
        <item m="1" x="13"/>
        <item m="1" x="14"/>
        <item m="1" x="12"/>
        <item m="1" x="10"/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0"/>
    <field x="1"/>
  </rowFields>
  <rowItems count="120"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dataFields count="1">
    <dataField name="סכום של Deman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0C2F9F-686E-4022-9A3F-BB66E8DBB881}" name="טבלה1" displayName="טבלה1" ref="D1:I121" totalsRowShown="0" headerRowDxfId="6">
  <tableColumns count="6">
    <tableColumn id="1" xr3:uid="{B26AFED5-42C8-4ED6-9FE1-C1B55A3973A5}" name="Year"/>
    <tableColumn id="2" xr3:uid="{42B84206-BDD1-4E4B-939E-7E10B59592C7}" name="Month"/>
    <tableColumn id="4" xr3:uid="{FCB8DFFC-4CAD-43C0-9AFE-F4613667D923}" name="Rand" dataDxfId="5">
      <calculatedColumnFormula>RAND()</calculatedColumnFormula>
    </tableColumn>
    <tableColumn id="3" xr3:uid="{A20779AE-C9C1-4CDD-9B02-C060B894EEFB}" name="Demand" dataDxfId="4">
      <calculatedColumnFormula>IF($A$1=0,"",ROUND(_xlfn.NORM.INV(טבלה1[[#This Row],[Rand]],A0+Trend*(ROW()-1),Std)*INDEX(SeasonalityTable,Seasonality,MATCH(טבלה1[[#This Row],[Month]],Months,0)),0))</calculatedColumnFormula>
    </tableColumn>
    <tableColumn id="5" xr3:uid="{58766E25-71BB-44C7-9CBA-7ED94B828AC8}" name="est" dataDxfId="3">
      <calculatedColumnFormula>(A0+(ROW()-1)*Trend)*INDEX(SeasonalityTable,Seasonality,MOD(ROW()-2,12)+1)</calculatedColumnFormula>
    </tableColumn>
    <tableColumn id="6" xr3:uid="{6BE36883-1AD6-4C63-8425-3D748FDE385C}" name="dif" dataDxfId="2">
      <calculatedColumnFormula>טבלה1[[#This Row],[Demand]]-טבלה1[[#This Row],[est]]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EA6052-9C4B-45AE-B6DB-4BD60477AAA7}" name="טבלה2" displayName="טבלה2" ref="A1:D121" totalsRowShown="0" headerRowDxfId="1">
  <tableColumns count="4">
    <tableColumn id="1" xr3:uid="{64B62397-5F65-49C5-8DE9-EAB1D6315742}" name="t"/>
    <tableColumn id="3" xr3:uid="{1619FF93-4253-4538-8442-74C638498BC2}" name="Season" dataDxfId="0">
      <calculatedColumnFormula>טבלה2[[#This Row],[Demand]]/טבלה2[[#This Row],[S]]*(טבלה2[[#This Row],[S]]-1)</calculatedColumnFormula>
    </tableColumn>
    <tableColumn id="2" xr3:uid="{6CB7705D-2E4A-45FD-88C7-C4DF144F295D}" name="Demand">
      <calculatedColumnFormula>Admin!M4</calculatedColumnFormula>
    </tableColumn>
    <tableColumn id="4" xr3:uid="{400C698E-F0CC-41A0-8B56-F3DF51763AFF}" name="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2E5A-B8F3-4EFF-8B12-D5655A3A9C05}">
  <dimension ref="B1:C2"/>
  <sheetViews>
    <sheetView showGridLines="0" workbookViewId="0">
      <selection activeCell="B2" sqref="B2"/>
    </sheetView>
  </sheetViews>
  <sheetFormatPr defaultRowHeight="14.4" x14ac:dyDescent="0.3"/>
  <cols>
    <col min="1" max="1" width="9.44140625" customWidth="1"/>
    <col min="2" max="2" width="13.109375" customWidth="1"/>
  </cols>
  <sheetData>
    <row r="1" spans="2:3" ht="15" thickBot="1" x14ac:dyDescent="0.35"/>
    <row r="2" spans="2:3" ht="16.2" thickBot="1" x14ac:dyDescent="0.35">
      <c r="B2" s="4">
        <v>314713777</v>
      </c>
      <c r="C2" s="3" t="s">
        <v>22</v>
      </c>
    </row>
  </sheetData>
  <sheetProtection algorithmName="SHA-512" hashValue="q08j5DrP2zQtphsFJnUlcZZF4CucPJ66mwQU8lMFsmuz3rzvueuAYTlUpbd/VzgpnkcfJHfBM0vtjQqGQy4fmw==" saltValue="gSOayxzhUvWBK5mES5woB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EF255-BDF9-4421-936D-D783669B3F22}">
  <dimension ref="A1:AC123"/>
  <sheetViews>
    <sheetView topLeftCell="A19" workbookViewId="0">
      <selection activeCell="A21" sqref="A21"/>
    </sheetView>
  </sheetViews>
  <sheetFormatPr defaultRowHeight="14.4" x14ac:dyDescent="0.3"/>
  <cols>
    <col min="1" max="2" width="9.88671875" bestFit="1" customWidth="1"/>
    <col min="3" max="3" width="3.109375" customWidth="1"/>
    <col min="4" max="4" width="5" bestFit="1" customWidth="1"/>
    <col min="5" max="5" width="9.5546875" bestFit="1" customWidth="1"/>
    <col min="6" max="6" width="7.44140625" bestFit="1" customWidth="1"/>
    <col min="7" max="8" width="6.88671875" customWidth="1"/>
    <col min="9" max="9" width="8.5546875" customWidth="1"/>
    <col min="10" max="10" width="3" customWidth="1"/>
    <col min="11" max="11" width="7.44140625" customWidth="1"/>
    <col min="12" max="12" width="9.5546875" bestFit="1" customWidth="1"/>
    <col min="13" max="13" width="5.109375" bestFit="1" customWidth="1"/>
    <col min="14" max="14" width="4.109375" customWidth="1"/>
    <col min="15" max="15" width="4.88671875" bestFit="1" customWidth="1"/>
    <col min="16" max="27" width="7.44140625" customWidth="1"/>
    <col min="28" max="28" width="8" customWidth="1"/>
  </cols>
  <sheetData>
    <row r="1" spans="1:29" x14ac:dyDescent="0.3">
      <c r="A1">
        <f>ID</f>
        <v>314713777</v>
      </c>
      <c r="B1">
        <f>ID+MOD(ID*1,10000)*2</f>
        <v>314721331</v>
      </c>
      <c r="D1" s="5" t="s">
        <v>2</v>
      </c>
      <c r="E1" s="5" t="s">
        <v>3</v>
      </c>
      <c r="F1" s="5" t="s">
        <v>19</v>
      </c>
      <c r="G1" s="5" t="s">
        <v>4</v>
      </c>
      <c r="H1" s="5" t="s">
        <v>30</v>
      </c>
      <c r="I1" s="5" t="s">
        <v>31</v>
      </c>
    </row>
    <row r="2" spans="1:29" x14ac:dyDescent="0.3">
      <c r="D2">
        <v>2013</v>
      </c>
      <c r="E2" t="s">
        <v>13</v>
      </c>
      <c r="F2" s="8">
        <f t="shared" ref="F2:F65" ca="1" si="0">RAND()</f>
        <v>0.51102414954370412</v>
      </c>
      <c r="G2">
        <f ca="1">IF($A$1=0,"",ROUND(_xlfn.NORM.INV(טבלה1[[#This Row],[Rand]],A0+Trend*(ROW()-1),Std)*INDEX(SeasonalityTable,Seasonality,MATCH(טבלה1[[#This Row],[Month]],Months,0)),0))</f>
        <v>846</v>
      </c>
      <c r="H2">
        <f t="shared" ref="H2:H33" si="1">(A0+(ROW()-1)*Trend)*INDEX(SeasonalityTable,Seasonality,MOD(ROW()-2,12)+1)</f>
        <v>846.14880000000005</v>
      </c>
      <c r="I2">
        <f ca="1">טבלה1[[#This Row],[Demand]]-טבלה1[[#This Row],[est]]</f>
        <v>-0.14880000000005111</v>
      </c>
      <c r="K2" s="1" t="s">
        <v>17</v>
      </c>
      <c r="P2" t="s">
        <v>13</v>
      </c>
      <c r="Q2" t="s">
        <v>14</v>
      </c>
      <c r="R2" t="s">
        <v>15</v>
      </c>
      <c r="S2" t="s">
        <v>16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20</v>
      </c>
      <c r="AC2" t="s">
        <v>18</v>
      </c>
    </row>
    <row r="3" spans="1:29" x14ac:dyDescent="0.3">
      <c r="A3" t="s">
        <v>0</v>
      </c>
      <c r="B3">
        <f>MOD(RefNum,17)*23+IF(ISODD(ID),573,73)</f>
        <v>757</v>
      </c>
      <c r="D3">
        <v>2013</v>
      </c>
      <c r="E3" t="s">
        <v>14</v>
      </c>
      <c r="F3" s="8">
        <f t="shared" ca="1" si="0"/>
        <v>0.79195755234303533</v>
      </c>
      <c r="G3">
        <f ca="1">IF($A$1=0,"",ROUND(_xlfn.NORM.INV(טבלה1[[#This Row],[Rand]],A0+Trend*(ROW()-1),Std)*INDEX(SeasonalityTable,Seasonality,MATCH(טבלה1[[#This Row],[Month]],Months,0)),0))</f>
        <v>785</v>
      </c>
      <c r="H3">
        <f t="shared" si="1"/>
        <v>784.13920000000007</v>
      </c>
      <c r="I3">
        <f ca="1">טבלה1[[#This Row],[Demand]]-טבלה1[[#This Row],[est]]</f>
        <v>0.86079999999992651</v>
      </c>
      <c r="K3" s="1" t="s">
        <v>2</v>
      </c>
      <c r="L3" s="1" t="s">
        <v>3</v>
      </c>
      <c r="M3" t="s">
        <v>62</v>
      </c>
      <c r="O3">
        <v>1</v>
      </c>
      <c r="P3">
        <v>1.1299999999999999</v>
      </c>
      <c r="Q3">
        <v>0.86</v>
      </c>
      <c r="R3">
        <v>1.1499999999999999</v>
      </c>
      <c r="S3">
        <v>0.86</v>
      </c>
      <c r="T3">
        <v>1.1000000000000001</v>
      </c>
      <c r="U3">
        <v>0.9</v>
      </c>
      <c r="V3">
        <v>1.02</v>
      </c>
      <c r="W3">
        <v>1.1499999999999999</v>
      </c>
      <c r="X3">
        <v>0.85</v>
      </c>
      <c r="Y3">
        <v>1.05</v>
      </c>
      <c r="Z3">
        <v>0.89</v>
      </c>
      <c r="AA3">
        <v>1.04</v>
      </c>
      <c r="AB3">
        <f>AVERAGE(P3:AA3)</f>
        <v>1</v>
      </c>
      <c r="AC3">
        <f>_xlfn.STDEV.P(P3:AA3)</f>
        <v>0.11554220008291288</v>
      </c>
    </row>
    <row r="4" spans="1:29" x14ac:dyDescent="0.3">
      <c r="A4" t="s">
        <v>1</v>
      </c>
      <c r="B4">
        <f>IF(ISODD(ID),-ROUND((0.0015+MOD(RefNum,7)*0.0005)*A0,2),ROUND((0.003+MOD(RefNum,7)*0.0015)*A0,2))</f>
        <v>-1.51</v>
      </c>
      <c r="D4">
        <v>2013</v>
      </c>
      <c r="E4" t="s">
        <v>15</v>
      </c>
      <c r="F4" s="8">
        <f t="shared" ca="1" si="0"/>
        <v>0.38076475697686085</v>
      </c>
      <c r="G4">
        <f ca="1">IF($A$1=0,"",ROUND(_xlfn.NORM.INV(טבלה1[[#This Row],[Rand]],A0+Trend*(ROW()-1),Std)*INDEX(SeasonalityTable,Seasonality,MATCH(טבלה1[[#This Row],[Month]],Months,0)),0))</f>
        <v>692</v>
      </c>
      <c r="H4">
        <f t="shared" si="1"/>
        <v>692.27240000000006</v>
      </c>
      <c r="I4">
        <f ca="1">טבלה1[[#This Row],[Demand]]-טבלה1[[#This Row],[est]]</f>
        <v>-0.27240000000006148</v>
      </c>
      <c r="K4">
        <v>2013</v>
      </c>
      <c r="L4" t="s">
        <v>13</v>
      </c>
      <c r="M4">
        <v>846</v>
      </c>
      <c r="O4">
        <v>2</v>
      </c>
      <c r="P4">
        <v>1.1200000000000001</v>
      </c>
      <c r="Q4">
        <v>1.04</v>
      </c>
      <c r="R4">
        <v>0.92</v>
      </c>
      <c r="S4">
        <v>1.0900000000000001</v>
      </c>
      <c r="T4">
        <v>0.91</v>
      </c>
      <c r="U4">
        <v>0.92999999999999994</v>
      </c>
      <c r="V4">
        <v>1.01</v>
      </c>
      <c r="W4">
        <v>1.1299999999999999</v>
      </c>
      <c r="X4">
        <v>0.94</v>
      </c>
      <c r="Y4">
        <v>0.94</v>
      </c>
      <c r="Z4">
        <v>1.1100000000000001</v>
      </c>
      <c r="AA4">
        <v>0.86</v>
      </c>
      <c r="AB4">
        <f t="shared" ref="AB4:AB13" si="2">AVERAGE(P4:AA4)</f>
        <v>0.99999999999999967</v>
      </c>
      <c r="AC4">
        <f t="shared" ref="AC4:AC13" si="3">_xlfn.STDEV.P(P4:AA4)</f>
        <v>9.1012819609840326E-2</v>
      </c>
    </row>
    <row r="5" spans="1:29" x14ac:dyDescent="0.3">
      <c r="A5" t="s">
        <v>21</v>
      </c>
      <c r="B5">
        <f>MOD(RefNum,11)+1</f>
        <v>2</v>
      </c>
      <c r="D5">
        <v>2013</v>
      </c>
      <c r="E5" t="s">
        <v>16</v>
      </c>
      <c r="F5" s="8">
        <f t="shared" ca="1" si="0"/>
        <v>9.8121124845944374E-2</v>
      </c>
      <c r="G5">
        <f ca="1">IF($A$1=0,"",ROUND(_xlfn.NORM.INV(טבלה1[[#This Row],[Rand]],A0+Trend*(ROW()-1),Std)*INDEX(SeasonalityTable,Seasonality,MATCH(טבלה1[[#This Row],[Month]],Months,0)),0))</f>
        <v>817</v>
      </c>
      <c r="H5">
        <f t="shared" si="1"/>
        <v>818.54640000000006</v>
      </c>
      <c r="I5">
        <f ca="1">טבלה1[[#This Row],[Demand]]-טבלה1[[#This Row],[est]]</f>
        <v>-1.5464000000000624</v>
      </c>
      <c r="L5" t="s">
        <v>14</v>
      </c>
      <c r="M5">
        <v>786</v>
      </c>
      <c r="O5">
        <v>3</v>
      </c>
      <c r="P5">
        <v>1.1200000000000001</v>
      </c>
      <c r="Q5">
        <v>0.96</v>
      </c>
      <c r="R5">
        <v>0.92</v>
      </c>
      <c r="S5">
        <v>0.87</v>
      </c>
      <c r="T5">
        <v>0.88</v>
      </c>
      <c r="U5">
        <v>1.0900000000000001</v>
      </c>
      <c r="V5">
        <v>1.06</v>
      </c>
      <c r="W5">
        <v>1.03</v>
      </c>
      <c r="X5">
        <v>0.99</v>
      </c>
      <c r="Y5">
        <v>0.98</v>
      </c>
      <c r="Z5">
        <v>0.98</v>
      </c>
      <c r="AA5">
        <v>1.1200000000000001</v>
      </c>
      <c r="AB5">
        <f t="shared" si="2"/>
        <v>1</v>
      </c>
      <c r="AC5">
        <f t="shared" si="3"/>
        <v>8.2462112512353247E-2</v>
      </c>
    </row>
    <row r="6" spans="1:29" x14ac:dyDescent="0.3">
      <c r="A6" t="s">
        <v>18</v>
      </c>
      <c r="B6" s="2">
        <f>IF(ISODD(ID),ABS(Trend/1.1),ABS(Trend/0.8))</f>
        <v>1.3727272727272726</v>
      </c>
      <c r="D6">
        <v>2013</v>
      </c>
      <c r="E6" t="s">
        <v>5</v>
      </c>
      <c r="F6" s="8">
        <f t="shared" ca="1" si="0"/>
        <v>0.42873740319077069</v>
      </c>
      <c r="G6">
        <f ca="1">IF($A$1=0,"",ROUND(_xlfn.NORM.INV(טבלה1[[#This Row],[Rand]],A0+Trend*(ROW()-1),Std)*INDEX(SeasonalityTable,Seasonality,MATCH(טבלה1[[#This Row],[Month]],Months,0)),0))</f>
        <v>682</v>
      </c>
      <c r="H6">
        <f t="shared" si="1"/>
        <v>681.99950000000001</v>
      </c>
      <c r="I6">
        <f ca="1">טבלה1[[#This Row],[Demand]]-טבלה1[[#This Row],[est]]</f>
        <v>4.9999999998817657E-4</v>
      </c>
      <c r="L6" t="s">
        <v>15</v>
      </c>
      <c r="M6">
        <v>691</v>
      </c>
      <c r="O6">
        <v>4</v>
      </c>
      <c r="P6">
        <v>0.96</v>
      </c>
      <c r="Q6">
        <v>1.1299999999999999</v>
      </c>
      <c r="R6">
        <v>1.04</v>
      </c>
      <c r="S6">
        <v>1.1400000000000001</v>
      </c>
      <c r="T6">
        <v>0.92999999999999994</v>
      </c>
      <c r="U6">
        <v>0.92</v>
      </c>
      <c r="V6">
        <v>1.08</v>
      </c>
      <c r="W6">
        <v>0.85</v>
      </c>
      <c r="X6">
        <v>0.88</v>
      </c>
      <c r="Y6">
        <v>1.1100000000000001</v>
      </c>
      <c r="Z6">
        <v>1.08</v>
      </c>
      <c r="AA6">
        <v>0.88</v>
      </c>
      <c r="AB6">
        <f t="shared" si="2"/>
        <v>1</v>
      </c>
      <c r="AC6">
        <f t="shared" si="3"/>
        <v>0.10295630140986985</v>
      </c>
    </row>
    <row r="7" spans="1:29" x14ac:dyDescent="0.3">
      <c r="D7">
        <v>2013</v>
      </c>
      <c r="E7" t="s">
        <v>6</v>
      </c>
      <c r="F7" s="8">
        <f t="shared" ca="1" si="0"/>
        <v>0.88371089928028157</v>
      </c>
      <c r="G7">
        <f ca="1">IF($A$1=0,"",ROUND(_xlfn.NORM.INV(טבלה1[[#This Row],[Rand]],A0+Trend*(ROW()-1),Std)*INDEX(SeasonalityTable,Seasonality,MATCH(טבלה1[[#This Row],[Month]],Months,0)),0))</f>
        <v>697</v>
      </c>
      <c r="H7">
        <f t="shared" si="1"/>
        <v>695.58420000000001</v>
      </c>
      <c r="I7">
        <f ca="1">טבלה1[[#This Row],[Demand]]-טבלה1[[#This Row],[est]]</f>
        <v>1.4157999999999902</v>
      </c>
      <c r="L7" t="s">
        <v>16</v>
      </c>
      <c r="M7">
        <v>819</v>
      </c>
      <c r="O7">
        <v>5</v>
      </c>
      <c r="P7">
        <v>1.07</v>
      </c>
      <c r="Q7">
        <v>1.04</v>
      </c>
      <c r="R7">
        <v>0.95</v>
      </c>
      <c r="S7">
        <v>1.02</v>
      </c>
      <c r="T7">
        <v>0.9</v>
      </c>
      <c r="U7">
        <v>1.0900000000000001</v>
      </c>
      <c r="V7">
        <v>1.1000000000000001</v>
      </c>
      <c r="W7">
        <v>0.92999999999999994</v>
      </c>
      <c r="X7">
        <v>1.1200000000000001</v>
      </c>
      <c r="Y7">
        <v>0.93</v>
      </c>
      <c r="Z7">
        <v>0.88</v>
      </c>
      <c r="AA7">
        <v>0.97</v>
      </c>
      <c r="AB7">
        <f t="shared" si="2"/>
        <v>1</v>
      </c>
      <c r="AC7">
        <f t="shared" si="3"/>
        <v>8.0104098937986146E-2</v>
      </c>
    </row>
    <row r="8" spans="1:29" x14ac:dyDescent="0.3">
      <c r="A8" t="s">
        <v>20</v>
      </c>
      <c r="B8">
        <f>A0+60.5*Trend</f>
        <v>665.64499999999998</v>
      </c>
      <c r="D8">
        <v>2013</v>
      </c>
      <c r="E8" t="s">
        <v>7</v>
      </c>
      <c r="F8" s="8">
        <f t="shared" ca="1" si="0"/>
        <v>0.23878733410864494</v>
      </c>
      <c r="G8">
        <f ca="1">IF($A$1=0,"",ROUND(_xlfn.NORM.INV(טבלה1[[#This Row],[Rand]],A0+Trend*(ROW()-1),Std)*INDEX(SeasonalityTable,Seasonality,MATCH(טבלה1[[#This Row],[Month]],Months,0)),0))</f>
        <v>753</v>
      </c>
      <c r="H8">
        <f t="shared" si="1"/>
        <v>753.89429999999993</v>
      </c>
      <c r="I8">
        <f ca="1">טבלה1[[#This Row],[Demand]]-טבלה1[[#This Row],[est]]</f>
        <v>-0.89429999999993015</v>
      </c>
      <c r="L8" t="s">
        <v>5</v>
      </c>
      <c r="M8">
        <v>681</v>
      </c>
      <c r="O8">
        <v>6</v>
      </c>
      <c r="P8">
        <v>0.88</v>
      </c>
      <c r="Q8">
        <v>0.99</v>
      </c>
      <c r="R8">
        <v>1.1200000000000001</v>
      </c>
      <c r="S8">
        <v>1.03</v>
      </c>
      <c r="T8">
        <v>0.91</v>
      </c>
      <c r="U8">
        <v>1.05</v>
      </c>
      <c r="V8">
        <v>0.92999999999999994</v>
      </c>
      <c r="W8">
        <v>1.1100000000000001</v>
      </c>
      <c r="X8">
        <v>0.95</v>
      </c>
      <c r="Y8">
        <v>1.08</v>
      </c>
      <c r="Z8">
        <v>0.91</v>
      </c>
      <c r="AA8">
        <v>1.04</v>
      </c>
      <c r="AB8">
        <f t="shared" si="2"/>
        <v>1</v>
      </c>
      <c r="AC8">
        <f t="shared" si="3"/>
        <v>7.958224257542218E-2</v>
      </c>
    </row>
    <row r="9" spans="1:29" x14ac:dyDescent="0.3">
      <c r="B9" s="2"/>
      <c r="D9">
        <v>2013</v>
      </c>
      <c r="E9" t="s">
        <v>8</v>
      </c>
      <c r="F9" s="8">
        <f t="shared" ca="1" si="0"/>
        <v>0.17658887155787995</v>
      </c>
      <c r="G9">
        <f ca="1">IF($A$1=0,"",ROUND(_xlfn.NORM.INV(טבלה1[[#This Row],[Rand]],A0+Trend*(ROW()-1),Std)*INDEX(SeasonalityTable,Seasonality,MATCH(טבלה1[[#This Row],[Month]],Months,0)),0))</f>
        <v>840</v>
      </c>
      <c r="H9">
        <f t="shared" si="1"/>
        <v>841.75959999999986</v>
      </c>
      <c r="I9">
        <f ca="1">טבלה1[[#This Row],[Demand]]-טבלה1[[#This Row],[est]]</f>
        <v>-1.7595999999998639</v>
      </c>
      <c r="L9" t="s">
        <v>6</v>
      </c>
      <c r="M9">
        <v>693</v>
      </c>
      <c r="O9">
        <v>7</v>
      </c>
      <c r="P9">
        <v>1.05</v>
      </c>
      <c r="Q9">
        <v>1.1000000000000001</v>
      </c>
      <c r="R9">
        <v>0.93</v>
      </c>
      <c r="S9">
        <v>0.96</v>
      </c>
      <c r="T9">
        <v>1</v>
      </c>
      <c r="U9">
        <v>1.1400000000000001</v>
      </c>
      <c r="V9">
        <v>1.03</v>
      </c>
      <c r="W9">
        <v>1.1000000000000001</v>
      </c>
      <c r="X9">
        <v>0.86</v>
      </c>
      <c r="Y9">
        <v>0.94</v>
      </c>
      <c r="Z9">
        <v>0.89</v>
      </c>
      <c r="AA9">
        <v>1</v>
      </c>
      <c r="AB9">
        <f t="shared" si="2"/>
        <v>1.0000000000000002</v>
      </c>
      <c r="AC9">
        <f t="shared" si="3"/>
        <v>8.4063468086123305E-2</v>
      </c>
    </row>
    <row r="10" spans="1:29" x14ac:dyDescent="0.3">
      <c r="B10">
        <f>10*Std</f>
        <v>13.727272727272727</v>
      </c>
      <c r="D10">
        <v>2013</v>
      </c>
      <c r="E10" t="s">
        <v>9</v>
      </c>
      <c r="F10" s="8">
        <f t="shared" ca="1" si="0"/>
        <v>0.77318681535559619</v>
      </c>
      <c r="G10">
        <f ca="1">IF($A$1=0,"",ROUND(_xlfn.NORM.INV(טבלה1[[#This Row],[Rand]],A0+Trend*(ROW()-1),Std)*INDEX(SeasonalityTable,Seasonality,MATCH(טבלה1[[#This Row],[Month]],Months,0)),0))</f>
        <v>700</v>
      </c>
      <c r="H10">
        <f t="shared" si="1"/>
        <v>698.80539999999996</v>
      </c>
      <c r="I10">
        <f ca="1">טבלה1[[#This Row],[Demand]]-טבלה1[[#This Row],[est]]</f>
        <v>1.1946000000000367</v>
      </c>
      <c r="L10" t="s">
        <v>7</v>
      </c>
      <c r="M10">
        <v>754</v>
      </c>
      <c r="O10">
        <v>8</v>
      </c>
      <c r="P10">
        <v>1.03</v>
      </c>
      <c r="Q10">
        <v>0.87</v>
      </c>
      <c r="R10">
        <v>0.96</v>
      </c>
      <c r="S10">
        <v>1.0900000000000001</v>
      </c>
      <c r="T10">
        <v>1.08</v>
      </c>
      <c r="U10">
        <v>0.92999999999999994</v>
      </c>
      <c r="V10">
        <v>0.88</v>
      </c>
      <c r="W10">
        <v>1</v>
      </c>
      <c r="X10">
        <v>0.86</v>
      </c>
      <c r="Y10">
        <v>1.1000000000000001</v>
      </c>
      <c r="Z10">
        <v>1.05</v>
      </c>
      <c r="AA10">
        <v>1.1499999999999999</v>
      </c>
      <c r="AB10">
        <f t="shared" si="2"/>
        <v>1</v>
      </c>
      <c r="AC10">
        <f t="shared" si="3"/>
        <v>9.4780448054086225E-2</v>
      </c>
    </row>
    <row r="11" spans="1:29" x14ac:dyDescent="0.3">
      <c r="D11">
        <v>2013</v>
      </c>
      <c r="E11" t="s">
        <v>10</v>
      </c>
      <c r="F11" s="8">
        <f t="shared" ca="1" si="0"/>
        <v>0.46661824022796006</v>
      </c>
      <c r="G11">
        <f ca="1">IF($A$1=0,"",ROUND(_xlfn.NORM.INV(טבלה1[[#This Row],[Rand]],A0+Trend*(ROW()-1),Std)*INDEX(SeasonalityTable,Seasonality,MATCH(טבלה1[[#This Row],[Month]],Months,0)),0))</f>
        <v>697</v>
      </c>
      <c r="H11">
        <f t="shared" si="1"/>
        <v>697.38599999999997</v>
      </c>
      <c r="I11">
        <f ca="1">טבלה1[[#This Row],[Demand]]-טבלה1[[#This Row],[est]]</f>
        <v>-0.38599999999996726</v>
      </c>
      <c r="L11" t="s">
        <v>8</v>
      </c>
      <c r="M11">
        <v>843</v>
      </c>
      <c r="O11">
        <v>9</v>
      </c>
      <c r="P11">
        <v>0.87</v>
      </c>
      <c r="Q11">
        <v>0.97</v>
      </c>
      <c r="R11">
        <v>1.06</v>
      </c>
      <c r="S11">
        <v>0.9</v>
      </c>
      <c r="T11">
        <v>1.0900000000000001</v>
      </c>
      <c r="U11">
        <v>1.02</v>
      </c>
      <c r="V11">
        <v>0.9</v>
      </c>
      <c r="W11">
        <v>1.04</v>
      </c>
      <c r="X11">
        <v>1.1299999999999999</v>
      </c>
      <c r="Y11">
        <v>0.85</v>
      </c>
      <c r="Z11">
        <v>1.06</v>
      </c>
      <c r="AA11">
        <v>1.1100000000000001</v>
      </c>
      <c r="AB11">
        <f t="shared" si="2"/>
        <v>1</v>
      </c>
      <c r="AC11">
        <f t="shared" si="3"/>
        <v>9.4251436770657962E-2</v>
      </c>
    </row>
    <row r="12" spans="1:29" x14ac:dyDescent="0.3">
      <c r="D12">
        <v>2013</v>
      </c>
      <c r="E12" t="s">
        <v>11</v>
      </c>
      <c r="F12" s="8">
        <f t="shared" ca="1" si="0"/>
        <v>0.52844010376284478</v>
      </c>
      <c r="G12">
        <f ca="1">IF($A$1=0,"",ROUND(_xlfn.NORM.INV(טבלה1[[#This Row],[Rand]],A0+Trend*(ROW()-1),Std)*INDEX(SeasonalityTable,Seasonality,MATCH(טבלה1[[#This Row],[Month]],Months,0)),0))</f>
        <v>822</v>
      </c>
      <c r="H12">
        <f t="shared" si="1"/>
        <v>821.83290000000011</v>
      </c>
      <c r="I12">
        <f ca="1">טבלה1[[#This Row],[Demand]]-טבלה1[[#This Row],[est]]</f>
        <v>0.16709999999989122</v>
      </c>
      <c r="L12" t="s">
        <v>9</v>
      </c>
      <c r="M12">
        <v>699</v>
      </c>
      <c r="O12">
        <v>10</v>
      </c>
      <c r="P12">
        <v>1.05</v>
      </c>
      <c r="Q12">
        <v>0.87</v>
      </c>
      <c r="R12">
        <v>0.94</v>
      </c>
      <c r="S12">
        <v>1.1299999999999999</v>
      </c>
      <c r="T12">
        <v>0.91</v>
      </c>
      <c r="U12">
        <v>1.08</v>
      </c>
      <c r="V12">
        <v>1.1100000000000001</v>
      </c>
      <c r="W12">
        <v>0.87</v>
      </c>
      <c r="X12">
        <v>1.1400000000000001</v>
      </c>
      <c r="Y12">
        <v>1.04</v>
      </c>
      <c r="Z12">
        <v>0.98</v>
      </c>
      <c r="AA12">
        <v>0.88</v>
      </c>
      <c r="AB12">
        <f t="shared" si="2"/>
        <v>1.0000000000000002</v>
      </c>
      <c r="AC12">
        <f t="shared" si="3"/>
        <v>9.9749686716300051E-2</v>
      </c>
    </row>
    <row r="13" spans="1:29" x14ac:dyDescent="0.3">
      <c r="D13">
        <v>2013</v>
      </c>
      <c r="E13" t="s">
        <v>12</v>
      </c>
      <c r="F13" s="8">
        <f t="shared" ca="1" si="0"/>
        <v>0.67773136328146644</v>
      </c>
      <c r="G13">
        <f ca="1">IF($A$1=0,"",ROUND(_xlfn.NORM.INV(טבלה1[[#This Row],[Rand]],A0+Trend*(ROW()-1),Std)*INDEX(SeasonalityTable,Seasonality,MATCH(טבלה1[[#This Row],[Month]],Months,0)),0))</f>
        <v>636</v>
      </c>
      <c r="H13">
        <f t="shared" si="1"/>
        <v>635.43679999999995</v>
      </c>
      <c r="I13">
        <f ca="1">טבלה1[[#This Row],[Demand]]-טבלה1[[#This Row],[est]]</f>
        <v>0.56320000000005166</v>
      </c>
      <c r="L13" t="s">
        <v>10</v>
      </c>
      <c r="M13">
        <v>698</v>
      </c>
      <c r="O13">
        <v>11</v>
      </c>
      <c r="P13">
        <v>1.05</v>
      </c>
      <c r="Q13">
        <v>0.9</v>
      </c>
      <c r="R13">
        <v>0.98</v>
      </c>
      <c r="S13">
        <v>1.04</v>
      </c>
      <c r="T13">
        <v>1</v>
      </c>
      <c r="U13">
        <v>0.87</v>
      </c>
      <c r="V13">
        <v>1.07</v>
      </c>
      <c r="W13">
        <v>1.1399999999999999</v>
      </c>
      <c r="X13">
        <v>0.89</v>
      </c>
      <c r="Y13">
        <v>1.06</v>
      </c>
      <c r="Z13">
        <v>0.97</v>
      </c>
      <c r="AA13">
        <v>1.03</v>
      </c>
      <c r="AB13">
        <f t="shared" si="2"/>
        <v>1.0000000000000002</v>
      </c>
      <c r="AC13">
        <f t="shared" si="3"/>
        <v>7.8209121377667098E-2</v>
      </c>
    </row>
    <row r="14" spans="1:29" x14ac:dyDescent="0.3">
      <c r="A14" t="s">
        <v>26</v>
      </c>
      <c r="B14" s="7">
        <f>(121*241/6-60.5^2)</f>
        <v>1199.916666666667</v>
      </c>
      <c r="D14">
        <f>D2+1</f>
        <v>2014</v>
      </c>
      <c r="E14" t="s">
        <v>13</v>
      </c>
      <c r="F14" s="8">
        <f t="shared" ca="1" si="0"/>
        <v>0.53496165036335208</v>
      </c>
      <c r="G14">
        <f ca="1">IF($A$1=0,"",ROUND(_xlfn.NORM.INV(טבלה1[[#This Row],[Rand]],A0+Trend*(ROW()-1),Std)*INDEX(SeasonalityTable,Seasonality,MATCH(טבלה1[[#This Row],[Month]],Months,0)),0))</f>
        <v>826</v>
      </c>
      <c r="H14">
        <f t="shared" si="1"/>
        <v>825.85440000000006</v>
      </c>
      <c r="I14">
        <f ca="1">טבלה1[[#This Row],[Demand]]-טבלה1[[#This Row],[est]]</f>
        <v>0.14559999999994488</v>
      </c>
      <c r="L14" t="s">
        <v>11</v>
      </c>
      <c r="M14">
        <v>821</v>
      </c>
    </row>
    <row r="15" spans="1:29" x14ac:dyDescent="0.3">
      <c r="A15" t="s">
        <v>27</v>
      </c>
      <c r="B15" s="7">
        <f>(INDEX($AC$3:$AC$13,Seasonality))^2*avg^2</f>
        <v>3670.2063869070839</v>
      </c>
      <c r="D15">
        <f t="shared" ref="D15:D78" si="4">D3+1</f>
        <v>2014</v>
      </c>
      <c r="E15" t="s">
        <v>14</v>
      </c>
      <c r="F15" s="8">
        <f t="shared" ca="1" si="0"/>
        <v>0.55200054258748199</v>
      </c>
      <c r="G15">
        <f ca="1">IF($A$1=0,"",ROUND(_xlfn.NORM.INV(טבלה1[[#This Row],[Rand]],A0+Trend*(ROW()-1),Std)*INDEX(SeasonalityTable,Seasonality,MATCH(טבלה1[[#This Row],[Month]],Months,0)),0))</f>
        <v>765</v>
      </c>
      <c r="H15">
        <f t="shared" si="1"/>
        <v>765.2944</v>
      </c>
      <c r="I15">
        <f ca="1">טבלה1[[#This Row],[Demand]]-טבלה1[[#This Row],[est]]</f>
        <v>-0.294399999999996</v>
      </c>
      <c r="L15" t="s">
        <v>12</v>
      </c>
      <c r="M15">
        <v>636</v>
      </c>
    </row>
    <row r="16" spans="1:29" x14ac:dyDescent="0.3">
      <c r="A16" t="s">
        <v>28</v>
      </c>
      <c r="B16" s="7">
        <f>SUM(B14:B15)</f>
        <v>4870.1230535737504</v>
      </c>
      <c r="D16">
        <f t="shared" si="4"/>
        <v>2014</v>
      </c>
      <c r="E16" t="s">
        <v>15</v>
      </c>
      <c r="F16" s="8">
        <f t="shared" ca="1" si="0"/>
        <v>0.18916906557841895</v>
      </c>
      <c r="G16">
        <f ca="1">IF($A$1=0,"",ROUND(_xlfn.NORM.INV(טבלה1[[#This Row],[Rand]],A0+Trend*(ROW()-1),Std)*INDEX(SeasonalityTable,Seasonality,MATCH(טבלה1[[#This Row],[Month]],Months,0)),0))</f>
        <v>674</v>
      </c>
      <c r="H16">
        <f t="shared" si="1"/>
        <v>675.60200000000009</v>
      </c>
      <c r="I16">
        <f ca="1">טבלה1[[#This Row],[Demand]]-טבלה1[[#This Row],[est]]</f>
        <v>-1.6020000000000891</v>
      </c>
      <c r="K16">
        <v>2014</v>
      </c>
      <c r="L16" t="s">
        <v>13</v>
      </c>
      <c r="M16">
        <v>824</v>
      </c>
    </row>
    <row r="17" spans="1:28" x14ac:dyDescent="0.3">
      <c r="A17" t="s">
        <v>29</v>
      </c>
      <c r="B17">
        <f>B14/B16</f>
        <v>0.24638323374317098</v>
      </c>
      <c r="D17">
        <f t="shared" si="4"/>
        <v>2014</v>
      </c>
      <c r="E17" t="s">
        <v>16</v>
      </c>
      <c r="F17" s="8">
        <f t="shared" ca="1" si="0"/>
        <v>0.17257481402930819</v>
      </c>
      <c r="G17">
        <f ca="1">IF($A$1=0,"",ROUND(_xlfn.NORM.INV(טבלה1[[#This Row],[Rand]],A0+Trend*(ROW()-1),Std)*INDEX(SeasonalityTable,Seasonality,MATCH(טבלה1[[#This Row],[Month]],Months,0)),0))</f>
        <v>797</v>
      </c>
      <c r="H17">
        <f t="shared" si="1"/>
        <v>798.79560000000015</v>
      </c>
      <c r="I17">
        <f ca="1">טבלה1[[#This Row],[Demand]]-טבלה1[[#This Row],[est]]</f>
        <v>-1.7956000000001495</v>
      </c>
      <c r="L17" t="s">
        <v>14</v>
      </c>
      <c r="M17">
        <v>765</v>
      </c>
      <c r="P17" t="s">
        <v>13</v>
      </c>
      <c r="Q17" t="s">
        <v>14</v>
      </c>
      <c r="R17" t="s">
        <v>15</v>
      </c>
      <c r="S17" t="s">
        <v>16</v>
      </c>
      <c r="T17" t="s">
        <v>5</v>
      </c>
      <c r="U17" t="s">
        <v>6</v>
      </c>
      <c r="V17" t="s">
        <v>7</v>
      </c>
      <c r="W17" t="s">
        <v>8</v>
      </c>
      <c r="X17" t="s">
        <v>9</v>
      </c>
      <c r="Y17" t="s">
        <v>10</v>
      </c>
      <c r="Z17" t="s">
        <v>11</v>
      </c>
      <c r="AA17" t="s">
        <v>12</v>
      </c>
    </row>
    <row r="18" spans="1:28" x14ac:dyDescent="0.3">
      <c r="D18">
        <f t="shared" si="4"/>
        <v>2014</v>
      </c>
      <c r="E18" t="s">
        <v>5</v>
      </c>
      <c r="F18" s="8">
        <f t="shared" ca="1" si="0"/>
        <v>0.29669558328510037</v>
      </c>
      <c r="G18">
        <f ca="1">IF($A$1=0,"",ROUND(_xlfn.NORM.INV(טבלה1[[#This Row],[Rand]],A0+Trend*(ROW()-1),Std)*INDEX(SeasonalityTable,Seasonality,MATCH(טבלה1[[#This Row],[Month]],Months,0)),0))</f>
        <v>665</v>
      </c>
      <c r="H18">
        <f t="shared" si="1"/>
        <v>665.51030000000003</v>
      </c>
      <c r="I18">
        <f ca="1">טבלה1[[#This Row],[Demand]]-טבלה1[[#This Row],[est]]</f>
        <v>-0.51030000000002929</v>
      </c>
      <c r="L18" t="s">
        <v>15</v>
      </c>
      <c r="M18">
        <v>674</v>
      </c>
      <c r="O18">
        <v>2012</v>
      </c>
      <c r="P18" t="e">
        <f t="shared" ref="P18:S18" si="5">GETPIVOTDATA("Demand",$K$2,"Year",$O18,"Month",P$17)</f>
        <v>#REF!</v>
      </c>
      <c r="Q18" t="e">
        <f t="shared" si="5"/>
        <v>#REF!</v>
      </c>
      <c r="R18" t="e">
        <f t="shared" si="5"/>
        <v>#REF!</v>
      </c>
      <c r="S18" t="e">
        <f t="shared" si="5"/>
        <v>#REF!</v>
      </c>
      <c r="T18" t="e">
        <f>GETPIVOTDATA("Demand",$K$2,"Year",$O18,"Month",T$17)</f>
        <v>#REF!</v>
      </c>
      <c r="U18" t="e">
        <f t="shared" ref="U18:AA19" si="6">GETPIVOTDATA("Demand",$K$2,"Year",$O18,"Month",U$17)</f>
        <v>#REF!</v>
      </c>
      <c r="V18" t="e">
        <f t="shared" si="6"/>
        <v>#REF!</v>
      </c>
      <c r="W18" t="e">
        <f t="shared" si="6"/>
        <v>#REF!</v>
      </c>
      <c r="X18" t="e">
        <f t="shared" si="6"/>
        <v>#REF!</v>
      </c>
      <c r="Y18" t="e">
        <f t="shared" si="6"/>
        <v>#REF!</v>
      </c>
      <c r="Z18" t="e">
        <f t="shared" si="6"/>
        <v>#REF!</v>
      </c>
      <c r="AA18" t="e">
        <f t="shared" si="6"/>
        <v>#REF!</v>
      </c>
    </row>
    <row r="19" spans="1:28" x14ac:dyDescent="0.3">
      <c r="D19">
        <f t="shared" si="4"/>
        <v>2014</v>
      </c>
      <c r="E19" t="s">
        <v>6</v>
      </c>
      <c r="F19" s="8">
        <f t="shared" ca="1" si="0"/>
        <v>0.63095193143401773</v>
      </c>
      <c r="G19">
        <f ca="1">IF($A$1=0,"",ROUND(_xlfn.NORM.INV(טבלה1[[#This Row],[Rand]],A0+Trend*(ROW()-1),Std)*INDEX(SeasonalityTable,Seasonality,MATCH(טבלה1[[#This Row],[Month]],Months,0)),0))</f>
        <v>679</v>
      </c>
      <c r="H19">
        <f t="shared" si="1"/>
        <v>678.73260000000005</v>
      </c>
      <c r="I19">
        <f ca="1">טבלה1[[#This Row],[Demand]]-טבלה1[[#This Row],[est]]</f>
        <v>0.26739999999995234</v>
      </c>
      <c r="L19" t="s">
        <v>16</v>
      </c>
      <c r="M19">
        <v>799</v>
      </c>
      <c r="O19">
        <v>2013</v>
      </c>
      <c r="P19">
        <f t="shared" ref="P19:AA27" si="7">GETPIVOTDATA("Demand",$K$2,"Year",$O19,"Month",P$17)</f>
        <v>846</v>
      </c>
      <c r="Q19">
        <f t="shared" si="7"/>
        <v>786</v>
      </c>
      <c r="R19">
        <f t="shared" si="7"/>
        <v>691</v>
      </c>
      <c r="S19">
        <f t="shared" si="7"/>
        <v>819</v>
      </c>
      <c r="T19">
        <f>GETPIVOTDATA("Demand",$K$2,"Year",$O19,"Month",T$17)</f>
        <v>681</v>
      </c>
      <c r="U19">
        <f t="shared" si="6"/>
        <v>693</v>
      </c>
      <c r="V19">
        <f t="shared" si="6"/>
        <v>754</v>
      </c>
      <c r="W19">
        <f t="shared" si="6"/>
        <v>843</v>
      </c>
      <c r="X19">
        <f t="shared" si="6"/>
        <v>699</v>
      </c>
      <c r="Y19">
        <f t="shared" si="6"/>
        <v>698</v>
      </c>
      <c r="Z19">
        <f t="shared" si="6"/>
        <v>821</v>
      </c>
      <c r="AA19">
        <f t="shared" si="6"/>
        <v>636</v>
      </c>
    </row>
    <row r="20" spans="1:28" x14ac:dyDescent="0.3">
      <c r="A20" t="s">
        <v>32</v>
      </c>
      <c r="B20">
        <f>A0+120*Trend</f>
        <v>575.79999999999995</v>
      </c>
      <c r="D20">
        <f t="shared" si="4"/>
        <v>2014</v>
      </c>
      <c r="E20" t="s">
        <v>7</v>
      </c>
      <c r="F20" s="8">
        <f t="shared" ca="1" si="0"/>
        <v>0.60744691022042663</v>
      </c>
      <c r="G20">
        <f ca="1">IF($A$1=0,"",ROUND(_xlfn.NORM.INV(טבלה1[[#This Row],[Rand]],A0+Trend*(ROW()-1),Std)*INDEX(SeasonalityTable,Seasonality,MATCH(טבלה1[[#This Row],[Month]],Months,0)),0))</f>
        <v>736</v>
      </c>
      <c r="H20">
        <f t="shared" si="1"/>
        <v>735.59309999999994</v>
      </c>
      <c r="I20">
        <f ca="1">טבלה1[[#This Row],[Demand]]-טבלה1[[#This Row],[est]]</f>
        <v>0.40690000000006421</v>
      </c>
      <c r="L20" t="s">
        <v>5</v>
      </c>
      <c r="M20">
        <v>665</v>
      </c>
      <c r="O20">
        <v>2014</v>
      </c>
      <c r="P20">
        <f t="shared" si="7"/>
        <v>824</v>
      </c>
      <c r="Q20">
        <f t="shared" si="7"/>
        <v>765</v>
      </c>
      <c r="R20">
        <f t="shared" si="7"/>
        <v>674</v>
      </c>
      <c r="S20">
        <f t="shared" si="7"/>
        <v>799</v>
      </c>
      <c r="T20">
        <f t="shared" si="7"/>
        <v>665</v>
      </c>
      <c r="U20">
        <f t="shared" si="7"/>
        <v>680</v>
      </c>
      <c r="V20">
        <f t="shared" si="7"/>
        <v>735</v>
      </c>
      <c r="W20">
        <f t="shared" si="7"/>
        <v>823</v>
      </c>
      <c r="X20">
        <f t="shared" si="7"/>
        <v>681</v>
      </c>
      <c r="Y20">
        <f t="shared" si="7"/>
        <v>681</v>
      </c>
      <c r="Z20">
        <f t="shared" si="7"/>
        <v>800</v>
      </c>
      <c r="AA20">
        <f t="shared" si="7"/>
        <v>622</v>
      </c>
    </row>
    <row r="21" spans="1:28" x14ac:dyDescent="0.3">
      <c r="A21" t="s">
        <v>33</v>
      </c>
      <c r="B21">
        <f>Trend</f>
        <v>-1.51</v>
      </c>
      <c r="D21">
        <f t="shared" si="4"/>
        <v>2014</v>
      </c>
      <c r="E21" t="s">
        <v>8</v>
      </c>
      <c r="F21" s="8">
        <f t="shared" ca="1" si="0"/>
        <v>0.72984925871462125</v>
      </c>
      <c r="G21">
        <f ca="1">IF($A$1=0,"",ROUND(_xlfn.NORM.INV(טבלה1[[#This Row],[Rand]],A0+Trend*(ROW()-1),Std)*INDEX(SeasonalityTable,Seasonality,MATCH(טבלה1[[#This Row],[Month]],Months,0)),0))</f>
        <v>822</v>
      </c>
      <c r="H21">
        <f t="shared" si="1"/>
        <v>821.28399999999988</v>
      </c>
      <c r="I21">
        <f ca="1">טבלה1[[#This Row],[Demand]]-טבלה1[[#This Row],[est]]</f>
        <v>0.71600000000012187</v>
      </c>
      <c r="L21" t="s">
        <v>6</v>
      </c>
      <c r="M21">
        <v>680</v>
      </c>
      <c r="O21">
        <v>2015</v>
      </c>
      <c r="P21">
        <f t="shared" si="7"/>
        <v>805</v>
      </c>
      <c r="Q21">
        <f t="shared" si="7"/>
        <v>746</v>
      </c>
      <c r="R21">
        <f t="shared" si="7"/>
        <v>660</v>
      </c>
      <c r="S21">
        <f t="shared" si="7"/>
        <v>779</v>
      </c>
      <c r="T21">
        <f t="shared" si="7"/>
        <v>649</v>
      </c>
      <c r="U21">
        <f t="shared" si="7"/>
        <v>663</v>
      </c>
      <c r="V21">
        <f t="shared" si="7"/>
        <v>719</v>
      </c>
      <c r="W21">
        <f t="shared" si="7"/>
        <v>798</v>
      </c>
      <c r="X21">
        <f t="shared" si="7"/>
        <v>664</v>
      </c>
      <c r="Y21">
        <f t="shared" si="7"/>
        <v>666</v>
      </c>
      <c r="Z21">
        <f t="shared" si="7"/>
        <v>782</v>
      </c>
      <c r="AA21">
        <f t="shared" si="7"/>
        <v>603</v>
      </c>
    </row>
    <row r="22" spans="1:28" x14ac:dyDescent="0.3">
      <c r="A22" t="s">
        <v>34</v>
      </c>
      <c r="B22" s="9">
        <f>(B$20+20*B$21)*INDEX(SeasonalityTable,Seasonality,8)</f>
        <v>616.52799999999979</v>
      </c>
      <c r="D22">
        <f t="shared" si="4"/>
        <v>2014</v>
      </c>
      <c r="E22" t="s">
        <v>9</v>
      </c>
      <c r="F22" s="8">
        <f t="shared" ca="1" si="0"/>
        <v>0.21242645781596037</v>
      </c>
      <c r="G22">
        <f ca="1">IF($A$1=0,"",ROUND(_xlfn.NORM.INV(טבלה1[[#This Row],[Rand]],A0+Trend*(ROW()-1),Std)*INDEX(SeasonalityTable,Seasonality,MATCH(טבלה1[[#This Row],[Month]],Months,0)),0))</f>
        <v>681</v>
      </c>
      <c r="H22">
        <f t="shared" si="1"/>
        <v>681.7725999999999</v>
      </c>
      <c r="I22">
        <f ca="1">טבלה1[[#This Row],[Demand]]-טבלה1[[#This Row],[est]]</f>
        <v>-0.77259999999989759</v>
      </c>
      <c r="L22" t="s">
        <v>7</v>
      </c>
      <c r="M22">
        <v>735</v>
      </c>
      <c r="O22">
        <v>2016</v>
      </c>
      <c r="P22">
        <f t="shared" si="7"/>
        <v>786</v>
      </c>
      <c r="Q22">
        <f t="shared" si="7"/>
        <v>728</v>
      </c>
      <c r="R22">
        <f t="shared" si="7"/>
        <v>644</v>
      </c>
      <c r="S22">
        <f t="shared" si="7"/>
        <v>761</v>
      </c>
      <c r="T22">
        <f t="shared" si="7"/>
        <v>631</v>
      </c>
      <c r="U22">
        <f t="shared" si="7"/>
        <v>645</v>
      </c>
      <c r="V22">
        <f t="shared" si="7"/>
        <v>700</v>
      </c>
      <c r="W22">
        <f t="shared" si="7"/>
        <v>781</v>
      </c>
      <c r="X22">
        <f t="shared" si="7"/>
        <v>647</v>
      </c>
      <c r="Y22">
        <f t="shared" si="7"/>
        <v>648</v>
      </c>
      <c r="Z22">
        <f t="shared" si="7"/>
        <v>760</v>
      </c>
      <c r="AA22">
        <f t="shared" si="7"/>
        <v>589</v>
      </c>
    </row>
    <row r="23" spans="1:28" x14ac:dyDescent="0.3">
      <c r="A23" t="s">
        <v>35</v>
      </c>
      <c r="B23" s="9">
        <f>(B$20+2*B$21)*INDEX(SeasonalityTable,Seasonality,2)</f>
        <v>595.69119999999998</v>
      </c>
      <c r="D23">
        <f t="shared" si="4"/>
        <v>2014</v>
      </c>
      <c r="E23" t="s">
        <v>10</v>
      </c>
      <c r="F23" s="8">
        <f t="shared" ca="1" si="0"/>
        <v>0.48507641931391476</v>
      </c>
      <c r="G23">
        <f ca="1">IF($A$1=0,"",ROUND(_xlfn.NORM.INV(טבלה1[[#This Row],[Rand]],A0+Trend*(ROW()-1),Std)*INDEX(SeasonalityTable,Seasonality,MATCH(טבלה1[[#This Row],[Month]],Months,0)),0))</f>
        <v>680</v>
      </c>
      <c r="H23">
        <f t="shared" si="1"/>
        <v>680.3531999999999</v>
      </c>
      <c r="I23">
        <f ca="1">טבלה1[[#This Row],[Demand]]-טבלה1[[#This Row],[est]]</f>
        <v>-0.35319999999990159</v>
      </c>
      <c r="L23" t="s">
        <v>8</v>
      </c>
      <c r="M23">
        <v>823</v>
      </c>
      <c r="O23">
        <v>2017</v>
      </c>
      <c r="P23">
        <f t="shared" si="7"/>
        <v>763</v>
      </c>
      <c r="Q23">
        <f t="shared" si="7"/>
        <v>709</v>
      </c>
      <c r="R23">
        <f t="shared" si="7"/>
        <v>624</v>
      </c>
      <c r="S23">
        <f t="shared" si="7"/>
        <v>738</v>
      </c>
      <c r="T23">
        <f t="shared" si="7"/>
        <v>614</v>
      </c>
      <c r="U23">
        <f t="shared" si="7"/>
        <v>626</v>
      </c>
      <c r="V23">
        <f t="shared" si="7"/>
        <v>679</v>
      </c>
      <c r="W23">
        <f t="shared" si="7"/>
        <v>758</v>
      </c>
      <c r="X23">
        <f t="shared" si="7"/>
        <v>630</v>
      </c>
      <c r="Y23">
        <f t="shared" si="7"/>
        <v>628</v>
      </c>
      <c r="Z23">
        <f t="shared" si="7"/>
        <v>742</v>
      </c>
      <c r="AA23">
        <f t="shared" si="7"/>
        <v>573</v>
      </c>
    </row>
    <row r="24" spans="1:28" x14ac:dyDescent="0.3">
      <c r="A24" t="s">
        <v>36</v>
      </c>
      <c r="B24" s="9">
        <f>(B$20+3*B$21)*INDEX(SeasonalityTable,Seasonality,3)</f>
        <v>525.5684</v>
      </c>
      <c r="D24">
        <f t="shared" si="4"/>
        <v>2014</v>
      </c>
      <c r="E24" t="s">
        <v>11</v>
      </c>
      <c r="F24" s="8">
        <f t="shared" ca="1" si="0"/>
        <v>0.69395887404060963</v>
      </c>
      <c r="G24">
        <f ca="1">IF($A$1=0,"",ROUND(_xlfn.NORM.INV(טבלה1[[#This Row],[Rand]],A0+Trend*(ROW()-1),Std)*INDEX(SeasonalityTable,Seasonality,MATCH(טבלה1[[#This Row],[Month]],Months,0)),0))</f>
        <v>802</v>
      </c>
      <c r="H24">
        <f t="shared" si="1"/>
        <v>801.7197000000001</v>
      </c>
      <c r="I24">
        <f ca="1">טבלה1[[#This Row],[Demand]]-טבלה1[[#This Row],[est]]</f>
        <v>0.28029999999989741</v>
      </c>
      <c r="L24" t="s">
        <v>9</v>
      </c>
      <c r="M24">
        <v>681</v>
      </c>
      <c r="O24">
        <v>2018</v>
      </c>
      <c r="P24">
        <f t="shared" si="7"/>
        <v>743</v>
      </c>
      <c r="Q24">
        <f t="shared" si="7"/>
        <v>688</v>
      </c>
      <c r="R24">
        <f t="shared" si="7"/>
        <v>608</v>
      </c>
      <c r="S24">
        <f t="shared" si="7"/>
        <v>719</v>
      </c>
      <c r="T24">
        <f t="shared" si="7"/>
        <v>599</v>
      </c>
      <c r="U24">
        <f t="shared" si="7"/>
        <v>611</v>
      </c>
      <c r="V24">
        <f t="shared" si="7"/>
        <v>660</v>
      </c>
      <c r="W24">
        <f t="shared" si="7"/>
        <v>738</v>
      </c>
      <c r="X24">
        <f t="shared" si="7"/>
        <v>614</v>
      </c>
      <c r="Y24">
        <f t="shared" si="7"/>
        <v>613</v>
      </c>
      <c r="Z24">
        <f t="shared" si="7"/>
        <v>724</v>
      </c>
      <c r="AA24">
        <f t="shared" si="7"/>
        <v>557</v>
      </c>
    </row>
    <row r="25" spans="1:28" x14ac:dyDescent="0.3">
      <c r="A25" t="s">
        <v>37</v>
      </c>
      <c r="B25" s="9">
        <f>(B$20+4*B$21)*INDEX(SeasonalityTable,Seasonality,4)</f>
        <v>621.03840000000002</v>
      </c>
      <c r="D25">
        <f t="shared" si="4"/>
        <v>2014</v>
      </c>
      <c r="E25" t="s">
        <v>12</v>
      </c>
      <c r="F25" s="8">
        <f t="shared" ca="1" si="0"/>
        <v>0.47381993035218628</v>
      </c>
      <c r="G25">
        <f ca="1">IF($A$1=0,"",ROUND(_xlfn.NORM.INV(טבלה1[[#This Row],[Rand]],A0+Trend*(ROW()-1),Std)*INDEX(SeasonalityTable,Seasonality,MATCH(טבלה1[[#This Row],[Month]],Months,0)),0))</f>
        <v>620</v>
      </c>
      <c r="H25">
        <f t="shared" si="1"/>
        <v>619.85360000000003</v>
      </c>
      <c r="I25">
        <f ca="1">טבלה1[[#This Row],[Demand]]-טבלה1[[#This Row],[est]]</f>
        <v>0.14639999999997144</v>
      </c>
      <c r="L25" t="s">
        <v>10</v>
      </c>
      <c r="M25">
        <v>681</v>
      </c>
      <c r="O25">
        <v>2019</v>
      </c>
      <c r="P25">
        <f t="shared" si="7"/>
        <v>723</v>
      </c>
      <c r="Q25">
        <f t="shared" si="7"/>
        <v>672</v>
      </c>
      <c r="R25">
        <f t="shared" si="7"/>
        <v>592</v>
      </c>
      <c r="S25">
        <f t="shared" si="7"/>
        <v>703</v>
      </c>
      <c r="T25">
        <f t="shared" si="7"/>
        <v>581</v>
      </c>
      <c r="U25">
        <f t="shared" si="7"/>
        <v>593</v>
      </c>
      <c r="V25">
        <f t="shared" si="7"/>
        <v>644</v>
      </c>
      <c r="W25">
        <f t="shared" si="7"/>
        <v>718</v>
      </c>
      <c r="X25">
        <f t="shared" si="7"/>
        <v>597</v>
      </c>
      <c r="Y25">
        <f t="shared" si="7"/>
        <v>594</v>
      </c>
      <c r="Z25">
        <f t="shared" si="7"/>
        <v>699</v>
      </c>
      <c r="AA25">
        <f t="shared" si="7"/>
        <v>538</v>
      </c>
    </row>
    <row r="26" spans="1:28" x14ac:dyDescent="0.3">
      <c r="D26">
        <f t="shared" si="4"/>
        <v>2015</v>
      </c>
      <c r="E26" t="s">
        <v>13</v>
      </c>
      <c r="F26" s="8">
        <f t="shared" ca="1" si="0"/>
        <v>0.21473406563691211</v>
      </c>
      <c r="G26">
        <f ca="1">IF($A$1=0,"",ROUND(_xlfn.NORM.INV(טבלה1[[#This Row],[Rand]],A0+Trend*(ROW()-1),Std)*INDEX(SeasonalityTable,Seasonality,MATCH(טבלה1[[#This Row],[Month]],Months,0)),0))</f>
        <v>804</v>
      </c>
      <c r="H26">
        <f t="shared" si="1"/>
        <v>805.56000000000006</v>
      </c>
      <c r="I26">
        <f ca="1">טבלה1[[#This Row],[Demand]]-טבלה1[[#This Row],[est]]</f>
        <v>-1.5600000000000591</v>
      </c>
      <c r="L26" t="s">
        <v>11</v>
      </c>
      <c r="M26">
        <v>800</v>
      </c>
      <c r="O26">
        <v>2020</v>
      </c>
      <c r="P26">
        <f t="shared" si="7"/>
        <v>703</v>
      </c>
      <c r="Q26">
        <f t="shared" si="7"/>
        <v>652</v>
      </c>
      <c r="R26">
        <f t="shared" si="7"/>
        <v>575</v>
      </c>
      <c r="S26">
        <f t="shared" si="7"/>
        <v>681</v>
      </c>
      <c r="T26">
        <f t="shared" si="7"/>
        <v>568</v>
      </c>
      <c r="U26">
        <f t="shared" si="7"/>
        <v>578</v>
      </c>
      <c r="V26">
        <f t="shared" si="7"/>
        <v>627</v>
      </c>
      <c r="W26">
        <f t="shared" si="7"/>
        <v>700</v>
      </c>
      <c r="X26">
        <f t="shared" si="7"/>
        <v>577</v>
      </c>
      <c r="Y26">
        <f t="shared" si="7"/>
        <v>578</v>
      </c>
      <c r="Z26">
        <f t="shared" si="7"/>
        <v>683</v>
      </c>
      <c r="AA26">
        <f t="shared" si="7"/>
        <v>524</v>
      </c>
    </row>
    <row r="27" spans="1:28" x14ac:dyDescent="0.3">
      <c r="D27">
        <f t="shared" si="4"/>
        <v>2015</v>
      </c>
      <c r="E27" t="s">
        <v>14</v>
      </c>
      <c r="F27" s="8">
        <f t="shared" ca="1" si="0"/>
        <v>0.6663100809055762</v>
      </c>
      <c r="G27">
        <f ca="1">IF($A$1=0,"",ROUND(_xlfn.NORM.INV(טבלה1[[#This Row],[Rand]],A0+Trend*(ROW()-1),Std)*INDEX(SeasonalityTable,Seasonality,MATCH(טבלה1[[#This Row],[Month]],Months,0)),0))</f>
        <v>747</v>
      </c>
      <c r="H27">
        <f t="shared" si="1"/>
        <v>746.44960000000003</v>
      </c>
      <c r="I27">
        <f ca="1">טבלה1[[#This Row],[Demand]]-טבלה1[[#This Row],[est]]</f>
        <v>0.5503999999999678</v>
      </c>
      <c r="L27" t="s">
        <v>12</v>
      </c>
      <c r="M27">
        <v>622</v>
      </c>
      <c r="O27">
        <v>2021</v>
      </c>
      <c r="P27">
        <f t="shared" si="7"/>
        <v>684</v>
      </c>
      <c r="Q27">
        <f t="shared" si="7"/>
        <v>631</v>
      </c>
      <c r="R27">
        <f t="shared" si="7"/>
        <v>559</v>
      </c>
      <c r="S27">
        <f t="shared" si="7"/>
        <v>659</v>
      </c>
      <c r="T27">
        <f t="shared" si="7"/>
        <v>550</v>
      </c>
      <c r="U27">
        <f t="shared" si="7"/>
        <v>560</v>
      </c>
      <c r="V27">
        <f t="shared" si="7"/>
        <v>608</v>
      </c>
      <c r="W27">
        <f t="shared" si="7"/>
        <v>682</v>
      </c>
      <c r="X27">
        <f t="shared" si="7"/>
        <v>562</v>
      </c>
      <c r="Y27">
        <f t="shared" si="7"/>
        <v>561</v>
      </c>
      <c r="Z27">
        <f t="shared" si="7"/>
        <v>662</v>
      </c>
      <c r="AA27">
        <f t="shared" si="7"/>
        <v>511</v>
      </c>
    </row>
    <row r="28" spans="1:28" x14ac:dyDescent="0.3">
      <c r="D28">
        <f t="shared" si="4"/>
        <v>2015</v>
      </c>
      <c r="E28" t="s">
        <v>15</v>
      </c>
      <c r="F28" s="8">
        <f t="shared" ca="1" si="0"/>
        <v>0.36405488009045095</v>
      </c>
      <c r="G28">
        <f ca="1">IF($A$1=0,"",ROUND(_xlfn.NORM.INV(טבלה1[[#This Row],[Rand]],A0+Trend*(ROW()-1),Std)*INDEX(SeasonalityTable,Seasonality,MATCH(טבלה1[[#This Row],[Month]],Months,0)),0))</f>
        <v>658</v>
      </c>
      <c r="H28">
        <f t="shared" si="1"/>
        <v>658.9316</v>
      </c>
      <c r="I28">
        <f ca="1">טבלה1[[#This Row],[Demand]]-טבלה1[[#This Row],[est]]</f>
        <v>-0.93160000000000309</v>
      </c>
      <c r="K28">
        <v>2015</v>
      </c>
      <c r="L28" t="s">
        <v>13</v>
      </c>
      <c r="M28">
        <v>805</v>
      </c>
      <c r="O28">
        <v>2022</v>
      </c>
    </row>
    <row r="29" spans="1:28" x14ac:dyDescent="0.3">
      <c r="D29">
        <f t="shared" si="4"/>
        <v>2015</v>
      </c>
      <c r="E29" t="s">
        <v>16</v>
      </c>
      <c r="F29" s="8">
        <f t="shared" ca="1" si="0"/>
        <v>4.7499392366739501E-2</v>
      </c>
      <c r="G29">
        <f ca="1">IF($A$1=0,"",ROUND(_xlfn.NORM.INV(טבלה1[[#This Row],[Rand]],A0+Trend*(ROW()-1),Std)*INDEX(SeasonalityTable,Seasonality,MATCH(טבלה1[[#This Row],[Month]],Months,0)),0))</f>
        <v>777</v>
      </c>
      <c r="H29">
        <f t="shared" si="1"/>
        <v>779.04480000000012</v>
      </c>
      <c r="I29">
        <f ca="1">טבלה1[[#This Row],[Demand]]-טבלה1[[#This Row],[est]]</f>
        <v>-2.044800000000123</v>
      </c>
      <c r="L29" t="s">
        <v>14</v>
      </c>
      <c r="M29">
        <v>746</v>
      </c>
    </row>
    <row r="30" spans="1:28" x14ac:dyDescent="0.3">
      <c r="D30">
        <f t="shared" si="4"/>
        <v>2015</v>
      </c>
      <c r="E30" t="s">
        <v>5</v>
      </c>
      <c r="F30" s="8">
        <f t="shared" ca="1" si="0"/>
        <v>0.97632053249770656</v>
      </c>
      <c r="G30">
        <f ca="1">IF($A$1=0,"",ROUND(_xlfn.NORM.INV(טבלה1[[#This Row],[Rand]],A0+Trend*(ROW()-1),Std)*INDEX(SeasonalityTable,Seasonality,MATCH(טבלה1[[#This Row],[Month]],Months,0)),0))</f>
        <v>651</v>
      </c>
      <c r="H30">
        <f t="shared" si="1"/>
        <v>649.02110000000005</v>
      </c>
      <c r="I30">
        <f ca="1">טבלה1[[#This Row],[Demand]]-טבלה1[[#This Row],[est]]</f>
        <v>1.9788999999999533</v>
      </c>
      <c r="L30" t="s">
        <v>15</v>
      </c>
      <c r="M30">
        <v>660</v>
      </c>
      <c r="P30" t="e">
        <f>AVERAGE(P18:P28)</f>
        <v>#REF!</v>
      </c>
      <c r="Q30" t="e">
        <f t="shared" ref="Q30:AA30" si="8">AVERAGE(Q18:Q28)</f>
        <v>#REF!</v>
      </c>
      <c r="R30" t="e">
        <f t="shared" si="8"/>
        <v>#REF!</v>
      </c>
      <c r="S30" t="e">
        <f t="shared" si="8"/>
        <v>#REF!</v>
      </c>
      <c r="T30" t="e">
        <f t="shared" si="8"/>
        <v>#REF!</v>
      </c>
      <c r="U30" t="e">
        <f t="shared" si="8"/>
        <v>#REF!</v>
      </c>
      <c r="V30" t="e">
        <f t="shared" si="8"/>
        <v>#REF!</v>
      </c>
      <c r="W30" t="e">
        <f t="shared" si="8"/>
        <v>#REF!</v>
      </c>
      <c r="X30" t="e">
        <f t="shared" si="8"/>
        <v>#REF!</v>
      </c>
      <c r="Y30" t="e">
        <f t="shared" si="8"/>
        <v>#REF!</v>
      </c>
      <c r="Z30" t="e">
        <f t="shared" si="8"/>
        <v>#REF!</v>
      </c>
      <c r="AA30" t="e">
        <f t="shared" si="8"/>
        <v>#REF!</v>
      </c>
      <c r="AB30" t="e">
        <f>AVERAGE(P30:AA30)</f>
        <v>#REF!</v>
      </c>
    </row>
    <row r="31" spans="1:28" x14ac:dyDescent="0.3">
      <c r="D31">
        <f t="shared" si="4"/>
        <v>2015</v>
      </c>
      <c r="E31" t="s">
        <v>6</v>
      </c>
      <c r="F31" s="8">
        <f t="shared" ca="1" si="0"/>
        <v>0.26590840622906842</v>
      </c>
      <c r="G31">
        <f ca="1">IF($A$1=0,"",ROUND(_xlfn.NORM.INV(טבלה1[[#This Row],[Rand]],A0+Trend*(ROW()-1),Std)*INDEX(SeasonalityTable,Seasonality,MATCH(טבלה1[[#This Row],[Month]],Months,0)),0))</f>
        <v>661</v>
      </c>
      <c r="H31">
        <f t="shared" si="1"/>
        <v>661.88099999999997</v>
      </c>
      <c r="I31">
        <f ca="1">טבלה1[[#This Row],[Demand]]-טבלה1[[#This Row],[est]]</f>
        <v>-0.88099999999997181</v>
      </c>
      <c r="L31" t="s">
        <v>16</v>
      </c>
      <c r="M31">
        <v>779</v>
      </c>
    </row>
    <row r="32" spans="1:28" x14ac:dyDescent="0.3">
      <c r="D32">
        <f t="shared" si="4"/>
        <v>2015</v>
      </c>
      <c r="E32" t="s">
        <v>7</v>
      </c>
      <c r="F32" s="8">
        <f t="shared" ca="1" si="0"/>
        <v>0.64626773174055185</v>
      </c>
      <c r="G32">
        <f ca="1">IF($A$1=0,"",ROUND(_xlfn.NORM.INV(טבלה1[[#This Row],[Rand]],A0+Trend*(ROW()-1),Std)*INDEX(SeasonalityTable,Seasonality,MATCH(טבלה1[[#This Row],[Month]],Months,0)),0))</f>
        <v>718</v>
      </c>
      <c r="H32">
        <f t="shared" si="1"/>
        <v>717.29190000000006</v>
      </c>
      <c r="I32">
        <f ca="1">טבלה1[[#This Row],[Demand]]-טבלה1[[#This Row],[est]]</f>
        <v>0.70809999999994488</v>
      </c>
      <c r="L32" t="s">
        <v>5</v>
      </c>
      <c r="M32">
        <v>649</v>
      </c>
      <c r="P32" t="e">
        <f>P30/$AB30</f>
        <v>#REF!</v>
      </c>
      <c r="Q32" t="e">
        <f t="shared" ref="Q32:AA32" si="9">Q30/$AB30</f>
        <v>#REF!</v>
      </c>
      <c r="R32" t="e">
        <f t="shared" si="9"/>
        <v>#REF!</v>
      </c>
      <c r="S32" t="e">
        <f t="shared" si="9"/>
        <v>#REF!</v>
      </c>
      <c r="T32" t="e">
        <f t="shared" si="9"/>
        <v>#REF!</v>
      </c>
      <c r="U32" t="e">
        <f t="shared" si="9"/>
        <v>#REF!</v>
      </c>
      <c r="V32" t="e">
        <f t="shared" si="9"/>
        <v>#REF!</v>
      </c>
      <c r="W32" t="e">
        <f t="shared" si="9"/>
        <v>#REF!</v>
      </c>
      <c r="X32" t="e">
        <f t="shared" si="9"/>
        <v>#REF!</v>
      </c>
      <c r="Y32" t="e">
        <f t="shared" si="9"/>
        <v>#REF!</v>
      </c>
      <c r="Z32" t="e">
        <f t="shared" si="9"/>
        <v>#REF!</v>
      </c>
      <c r="AA32" t="e">
        <f t="shared" si="9"/>
        <v>#REF!</v>
      </c>
    </row>
    <row r="33" spans="4:28" x14ac:dyDescent="0.3">
      <c r="D33">
        <f t="shared" si="4"/>
        <v>2015</v>
      </c>
      <c r="E33" t="s">
        <v>8</v>
      </c>
      <c r="F33" s="8">
        <f t="shared" ca="1" si="0"/>
        <v>0.10455527870077608</v>
      </c>
      <c r="G33">
        <f ca="1">IF($A$1=0,"",ROUND(_xlfn.NORM.INV(טבלה1[[#This Row],[Rand]],A0+Trend*(ROW()-1),Std)*INDEX(SeasonalityTable,Seasonality,MATCH(טבלה1[[#This Row],[Month]],Months,0)),0))</f>
        <v>799</v>
      </c>
      <c r="H33">
        <f t="shared" si="1"/>
        <v>800.80839999999989</v>
      </c>
      <c r="I33">
        <f ca="1">טבלה1[[#This Row],[Demand]]-טבלה1[[#This Row],[est]]</f>
        <v>-1.8083999999998923</v>
      </c>
      <c r="L33" t="s">
        <v>6</v>
      </c>
      <c r="M33">
        <v>663</v>
      </c>
    </row>
    <row r="34" spans="4:28" x14ac:dyDescent="0.3">
      <c r="D34">
        <f t="shared" si="4"/>
        <v>2015</v>
      </c>
      <c r="E34" t="s">
        <v>9</v>
      </c>
      <c r="F34" s="8">
        <f t="shared" ca="1" si="0"/>
        <v>0.74642087085674502</v>
      </c>
      <c r="G34">
        <f ca="1">IF($A$1=0,"",ROUND(_xlfn.NORM.INV(טבלה1[[#This Row],[Rand]],A0+Trend*(ROW()-1),Std)*INDEX(SeasonalityTable,Seasonality,MATCH(טבלה1[[#This Row],[Month]],Months,0)),0))</f>
        <v>666</v>
      </c>
      <c r="H34">
        <f t="shared" ref="H34:H65" si="10">(A0+(ROW()-1)*Trend)*INDEX(SeasonalityTable,Seasonality,MOD(ROW()-2,12)+1)</f>
        <v>664.73979999999995</v>
      </c>
      <c r="I34">
        <f ca="1">טבלה1[[#This Row],[Demand]]-טבלה1[[#This Row],[est]]</f>
        <v>1.2602000000000544</v>
      </c>
      <c r="L34" t="s">
        <v>7</v>
      </c>
      <c r="M34">
        <v>719</v>
      </c>
      <c r="P34" t="e">
        <f t="shared" ref="P34:AA34" si="11">INDEX(P3:P13,Seasonality)-P32</f>
        <v>#REF!</v>
      </c>
      <c r="Q34" t="e">
        <f t="shared" si="11"/>
        <v>#REF!</v>
      </c>
      <c r="R34" t="e">
        <f t="shared" si="11"/>
        <v>#REF!</v>
      </c>
      <c r="S34" t="e">
        <f t="shared" si="11"/>
        <v>#REF!</v>
      </c>
      <c r="T34" t="e">
        <f t="shared" si="11"/>
        <v>#REF!</v>
      </c>
      <c r="U34" t="e">
        <f t="shared" si="11"/>
        <v>#REF!</v>
      </c>
      <c r="V34" t="e">
        <f t="shared" si="11"/>
        <v>#REF!</v>
      </c>
      <c r="W34" t="e">
        <f t="shared" si="11"/>
        <v>#REF!</v>
      </c>
      <c r="X34" t="e">
        <f t="shared" si="11"/>
        <v>#REF!</v>
      </c>
      <c r="Y34" t="e">
        <f t="shared" si="11"/>
        <v>#REF!</v>
      </c>
      <c r="Z34" t="e">
        <f t="shared" si="11"/>
        <v>#REF!</v>
      </c>
      <c r="AA34" t="e">
        <f t="shared" si="11"/>
        <v>#REF!</v>
      </c>
      <c r="AB34" t="e">
        <f>_xlfn.STDEV.S(P34:AA34)</f>
        <v>#REF!</v>
      </c>
    </row>
    <row r="35" spans="4:28" x14ac:dyDescent="0.3">
      <c r="D35">
        <f t="shared" si="4"/>
        <v>2015</v>
      </c>
      <c r="E35" t="s">
        <v>10</v>
      </c>
      <c r="F35" s="8">
        <f t="shared" ca="1" si="0"/>
        <v>0.65579730029993299</v>
      </c>
      <c r="G35">
        <f ca="1">IF($A$1=0,"",ROUND(_xlfn.NORM.INV(טבלה1[[#This Row],[Rand]],A0+Trend*(ROW()-1),Std)*INDEX(SeasonalityTable,Seasonality,MATCH(טבלה1[[#This Row],[Month]],Months,0)),0))</f>
        <v>664</v>
      </c>
      <c r="H35">
        <f t="shared" si="10"/>
        <v>663.32039999999995</v>
      </c>
      <c r="I35">
        <f ca="1">טבלה1[[#This Row],[Demand]]-טבלה1[[#This Row],[est]]</f>
        <v>0.67960000000005039</v>
      </c>
      <c r="L35" t="s">
        <v>8</v>
      </c>
      <c r="M35">
        <v>798</v>
      </c>
    </row>
    <row r="36" spans="4:28" x14ac:dyDescent="0.3">
      <c r="D36">
        <f t="shared" si="4"/>
        <v>2015</v>
      </c>
      <c r="E36" t="s">
        <v>11</v>
      </c>
      <c r="F36" s="8">
        <f t="shared" ca="1" si="0"/>
        <v>0.93567639579435435</v>
      </c>
      <c r="G36">
        <f ca="1">IF($A$1=0,"",ROUND(_xlfn.NORM.INV(טבלה1[[#This Row],[Rand]],A0+Trend*(ROW()-1),Std)*INDEX(SeasonalityTable,Seasonality,MATCH(טבלה1[[#This Row],[Month]],Months,0)),0))</f>
        <v>784</v>
      </c>
      <c r="H36">
        <f t="shared" si="10"/>
        <v>781.6065000000001</v>
      </c>
      <c r="I36">
        <f ca="1">טבלה1[[#This Row],[Demand]]-טבלה1[[#This Row],[est]]</f>
        <v>2.3934999999999036</v>
      </c>
      <c r="L36" t="s">
        <v>9</v>
      </c>
      <c r="M36">
        <v>664</v>
      </c>
    </row>
    <row r="37" spans="4:28" x14ac:dyDescent="0.3">
      <c r="D37">
        <f t="shared" si="4"/>
        <v>2015</v>
      </c>
      <c r="E37" t="s">
        <v>12</v>
      </c>
      <c r="F37" s="8">
        <f t="shared" ca="1" si="0"/>
        <v>0.2585649718102655</v>
      </c>
      <c r="G37">
        <f ca="1">IF($A$1=0,"",ROUND(_xlfn.NORM.INV(טבלה1[[#This Row],[Rand]],A0+Trend*(ROW()-1),Std)*INDEX(SeasonalityTable,Seasonality,MATCH(טבלה1[[#This Row],[Month]],Months,0)),0))</f>
        <v>604</v>
      </c>
      <c r="H37">
        <f t="shared" si="10"/>
        <v>604.2704</v>
      </c>
      <c r="I37">
        <f ca="1">טבלה1[[#This Row],[Demand]]-טבלה1[[#This Row],[est]]</f>
        <v>-0.27039999999999509</v>
      </c>
      <c r="L37" t="s">
        <v>10</v>
      </c>
      <c r="M37">
        <v>666</v>
      </c>
    </row>
    <row r="38" spans="4:28" x14ac:dyDescent="0.3">
      <c r="D38">
        <f t="shared" si="4"/>
        <v>2016</v>
      </c>
      <c r="E38" t="s">
        <v>13</v>
      </c>
      <c r="F38" s="8">
        <f t="shared" ca="1" si="0"/>
        <v>0.23323320034544881</v>
      </c>
      <c r="G38">
        <f ca="1">IF($A$1=0,"",ROUND(_xlfn.NORM.INV(טבלה1[[#This Row],[Rand]],A0+Trend*(ROW()-1),Std)*INDEX(SeasonalityTable,Seasonality,MATCH(טבלה1[[#This Row],[Month]],Months,0)),0))</f>
        <v>784</v>
      </c>
      <c r="H38">
        <f t="shared" si="10"/>
        <v>785.26560000000006</v>
      </c>
      <c r="I38">
        <f ca="1">טבלה1[[#This Row],[Demand]]-טבלה1[[#This Row],[est]]</f>
        <v>-1.2656000000000631</v>
      </c>
      <c r="L38" t="s">
        <v>11</v>
      </c>
      <c r="M38">
        <v>782</v>
      </c>
    </row>
    <row r="39" spans="4:28" x14ac:dyDescent="0.3">
      <c r="D39">
        <f t="shared" si="4"/>
        <v>2016</v>
      </c>
      <c r="E39" t="s">
        <v>14</v>
      </c>
      <c r="F39" s="8">
        <f t="shared" ca="1" si="0"/>
        <v>0.64838253294544934</v>
      </c>
      <c r="G39">
        <f ca="1">IF($A$1=0,"",ROUND(_xlfn.NORM.INV(טבלה1[[#This Row],[Rand]],A0+Trend*(ROW()-1),Std)*INDEX(SeasonalityTable,Seasonality,MATCH(טבלה1[[#This Row],[Month]],Months,0)),0))</f>
        <v>728</v>
      </c>
      <c r="H39">
        <f t="shared" si="10"/>
        <v>727.60480000000007</v>
      </c>
      <c r="I39">
        <f ca="1">טבלה1[[#This Row],[Demand]]-טבלה1[[#This Row],[est]]</f>
        <v>0.39519999999993161</v>
      </c>
      <c r="L39" t="s">
        <v>12</v>
      </c>
      <c r="M39">
        <v>603</v>
      </c>
    </row>
    <row r="40" spans="4:28" x14ac:dyDescent="0.3">
      <c r="D40">
        <f t="shared" si="4"/>
        <v>2016</v>
      </c>
      <c r="E40" t="s">
        <v>15</v>
      </c>
      <c r="F40" s="8">
        <f t="shared" ca="1" si="0"/>
        <v>0.64327150963960023</v>
      </c>
      <c r="G40">
        <f ca="1">IF($A$1=0,"",ROUND(_xlfn.NORM.INV(טבלה1[[#This Row],[Rand]],A0+Trend*(ROW()-1),Std)*INDEX(SeasonalityTable,Seasonality,MATCH(טבלה1[[#This Row],[Month]],Months,0)),0))</f>
        <v>643</v>
      </c>
      <c r="H40">
        <f t="shared" si="10"/>
        <v>642.26120000000003</v>
      </c>
      <c r="I40">
        <f ca="1">טבלה1[[#This Row],[Demand]]-טבלה1[[#This Row],[est]]</f>
        <v>0.73879999999996926</v>
      </c>
      <c r="K40">
        <v>2016</v>
      </c>
      <c r="L40" t="s">
        <v>13</v>
      </c>
      <c r="M40">
        <v>786</v>
      </c>
    </row>
    <row r="41" spans="4:28" x14ac:dyDescent="0.3">
      <c r="D41">
        <f t="shared" si="4"/>
        <v>2016</v>
      </c>
      <c r="E41" t="s">
        <v>16</v>
      </c>
      <c r="F41" s="8">
        <f t="shared" ca="1" si="0"/>
        <v>0.61660035774668465</v>
      </c>
      <c r="G41">
        <f ca="1">IF($A$1=0,"",ROUND(_xlfn.NORM.INV(טבלה1[[#This Row],[Rand]],A0+Trend*(ROW()-1),Std)*INDEX(SeasonalityTable,Seasonality,MATCH(טבלה1[[#This Row],[Month]],Months,0)),0))</f>
        <v>760</v>
      </c>
      <c r="H41">
        <f t="shared" si="10"/>
        <v>759.2940000000001</v>
      </c>
      <c r="I41">
        <f ca="1">טבלה1[[#This Row],[Demand]]-טבלה1[[#This Row],[est]]</f>
        <v>0.70599999999990359</v>
      </c>
      <c r="L41" t="s">
        <v>14</v>
      </c>
      <c r="M41">
        <v>728</v>
      </c>
    </row>
    <row r="42" spans="4:28" x14ac:dyDescent="0.3">
      <c r="D42">
        <f t="shared" si="4"/>
        <v>2016</v>
      </c>
      <c r="E42" t="s">
        <v>5</v>
      </c>
      <c r="F42" s="8">
        <f t="shared" ca="1" si="0"/>
        <v>0.96120733581128881</v>
      </c>
      <c r="G42">
        <f ca="1">IF($A$1=0,"",ROUND(_xlfn.NORM.INV(טבלה1[[#This Row],[Rand]],A0+Trend*(ROW()-1),Std)*INDEX(SeasonalityTable,Seasonality,MATCH(טבלה1[[#This Row],[Month]],Months,0)),0))</f>
        <v>635</v>
      </c>
      <c r="H42">
        <f t="shared" si="10"/>
        <v>632.53190000000006</v>
      </c>
      <c r="I42">
        <f ca="1">טבלה1[[#This Row],[Demand]]-טבלה1[[#This Row],[est]]</f>
        <v>2.4680999999999358</v>
      </c>
      <c r="L42" t="s">
        <v>15</v>
      </c>
      <c r="M42">
        <v>644</v>
      </c>
    </row>
    <row r="43" spans="4:28" x14ac:dyDescent="0.3">
      <c r="D43">
        <f t="shared" si="4"/>
        <v>2016</v>
      </c>
      <c r="E43" t="s">
        <v>6</v>
      </c>
      <c r="F43" s="8">
        <f t="shared" ca="1" si="0"/>
        <v>0.33867360818116687</v>
      </c>
      <c r="G43">
        <f ca="1">IF($A$1=0,"",ROUND(_xlfn.NORM.INV(טבלה1[[#This Row],[Rand]],A0+Trend*(ROW()-1),Std)*INDEX(SeasonalityTable,Seasonality,MATCH(טבלה1[[#This Row],[Month]],Months,0)),0))</f>
        <v>644</v>
      </c>
      <c r="H43">
        <f t="shared" si="10"/>
        <v>645.02940000000001</v>
      </c>
      <c r="I43">
        <f ca="1">טבלה1[[#This Row],[Demand]]-טבלה1[[#This Row],[est]]</f>
        <v>-1.0294000000000096</v>
      </c>
      <c r="L43" t="s">
        <v>16</v>
      </c>
      <c r="M43">
        <v>761</v>
      </c>
    </row>
    <row r="44" spans="4:28" x14ac:dyDescent="0.3">
      <c r="D44">
        <f t="shared" si="4"/>
        <v>2016</v>
      </c>
      <c r="E44" t="s">
        <v>7</v>
      </c>
      <c r="F44" s="8">
        <f t="shared" ca="1" si="0"/>
        <v>0.63011478333089954</v>
      </c>
      <c r="G44">
        <f ca="1">IF($A$1=0,"",ROUND(_xlfn.NORM.INV(טבלה1[[#This Row],[Rand]],A0+Trend*(ROW()-1),Std)*INDEX(SeasonalityTable,Seasonality,MATCH(טבלה1[[#This Row],[Month]],Months,0)),0))</f>
        <v>699</v>
      </c>
      <c r="H44">
        <f t="shared" si="10"/>
        <v>698.99069999999995</v>
      </c>
      <c r="I44">
        <f ca="1">טבלה1[[#This Row],[Demand]]-טבלה1[[#This Row],[est]]</f>
        <v>9.3000000000529326E-3</v>
      </c>
      <c r="L44" t="s">
        <v>5</v>
      </c>
      <c r="M44">
        <v>631</v>
      </c>
    </row>
    <row r="45" spans="4:28" x14ac:dyDescent="0.3">
      <c r="D45">
        <f t="shared" si="4"/>
        <v>2016</v>
      </c>
      <c r="E45" t="s">
        <v>8</v>
      </c>
      <c r="F45" s="8">
        <f t="shared" ca="1" si="0"/>
        <v>0.32600658244065228</v>
      </c>
      <c r="G45">
        <f ca="1">IF($A$1=0,"",ROUND(_xlfn.NORM.INV(טבלה1[[#This Row],[Rand]],A0+Trend*(ROW()-1),Std)*INDEX(SeasonalityTable,Seasonality,MATCH(טבלה1[[#This Row],[Month]],Months,0)),0))</f>
        <v>780</v>
      </c>
      <c r="H45">
        <f t="shared" si="10"/>
        <v>780.33279999999991</v>
      </c>
      <c r="I45">
        <f ca="1">טבלה1[[#This Row],[Demand]]-טבלה1[[#This Row],[est]]</f>
        <v>-0.3327999999999065</v>
      </c>
      <c r="L45" t="s">
        <v>6</v>
      </c>
      <c r="M45">
        <v>645</v>
      </c>
    </row>
    <row r="46" spans="4:28" x14ac:dyDescent="0.3">
      <c r="D46">
        <f t="shared" si="4"/>
        <v>2016</v>
      </c>
      <c r="E46" t="s">
        <v>9</v>
      </c>
      <c r="F46" s="8">
        <f t="shared" ca="1" si="0"/>
        <v>0.74934374376991075</v>
      </c>
      <c r="G46">
        <f ca="1">IF($A$1=0,"",ROUND(_xlfn.NORM.INV(טבלה1[[#This Row],[Rand]],A0+Trend*(ROW()-1),Std)*INDEX(SeasonalityTable,Seasonality,MATCH(טבלה1[[#This Row],[Month]],Months,0)),0))</f>
        <v>649</v>
      </c>
      <c r="H46">
        <f t="shared" si="10"/>
        <v>647.70699999999988</v>
      </c>
      <c r="I46">
        <f ca="1">טבלה1[[#This Row],[Demand]]-טבלה1[[#This Row],[est]]</f>
        <v>1.2930000000001201</v>
      </c>
      <c r="L46" t="s">
        <v>7</v>
      </c>
      <c r="M46">
        <v>700</v>
      </c>
    </row>
    <row r="47" spans="4:28" x14ac:dyDescent="0.3">
      <c r="D47">
        <f t="shared" si="4"/>
        <v>2016</v>
      </c>
      <c r="E47" t="s">
        <v>10</v>
      </c>
      <c r="F47" s="8">
        <f t="shared" ca="1" si="0"/>
        <v>0.22143181916852983</v>
      </c>
      <c r="G47">
        <f ca="1">IF($A$1=0,"",ROUND(_xlfn.NORM.INV(טבלה1[[#This Row],[Rand]],A0+Trend*(ROW()-1),Std)*INDEX(SeasonalityTable,Seasonality,MATCH(טבלה1[[#This Row],[Month]],Months,0)),0))</f>
        <v>645</v>
      </c>
      <c r="H47">
        <f t="shared" si="10"/>
        <v>646.28759999999988</v>
      </c>
      <c r="I47">
        <f ca="1">טבלה1[[#This Row],[Demand]]-טבלה1[[#This Row],[est]]</f>
        <v>-1.2875999999998839</v>
      </c>
      <c r="L47" t="s">
        <v>8</v>
      </c>
      <c r="M47">
        <v>781</v>
      </c>
    </row>
    <row r="48" spans="4:28" x14ac:dyDescent="0.3">
      <c r="D48">
        <f t="shared" si="4"/>
        <v>2016</v>
      </c>
      <c r="E48" t="s">
        <v>11</v>
      </c>
      <c r="F48" s="8">
        <f t="shared" ca="1" si="0"/>
        <v>0.80752398835228201</v>
      </c>
      <c r="G48">
        <f ca="1">IF($A$1=0,"",ROUND(_xlfn.NORM.INV(טבלה1[[#This Row],[Rand]],A0+Trend*(ROW()-1),Std)*INDEX(SeasonalityTable,Seasonality,MATCH(טבלה1[[#This Row],[Month]],Months,0)),0))</f>
        <v>763</v>
      </c>
      <c r="H48">
        <f t="shared" si="10"/>
        <v>761.49330000000009</v>
      </c>
      <c r="I48">
        <f ca="1">טבלה1[[#This Row],[Demand]]-טבלה1[[#This Row],[est]]</f>
        <v>1.5066999999999098</v>
      </c>
      <c r="L48" t="s">
        <v>9</v>
      </c>
      <c r="M48">
        <v>647</v>
      </c>
    </row>
    <row r="49" spans="4:13" x14ac:dyDescent="0.3">
      <c r="D49">
        <f t="shared" si="4"/>
        <v>2016</v>
      </c>
      <c r="E49" t="s">
        <v>12</v>
      </c>
      <c r="F49" s="8">
        <f t="shared" ca="1" si="0"/>
        <v>0.76398767243475196</v>
      </c>
      <c r="G49">
        <f ca="1">IF($A$1=0,"",ROUND(_xlfn.NORM.INV(טבלה1[[#This Row],[Rand]],A0+Trend*(ROW()-1),Std)*INDEX(SeasonalityTable,Seasonality,MATCH(טבלה1[[#This Row],[Month]],Months,0)),0))</f>
        <v>590</v>
      </c>
      <c r="H49">
        <f t="shared" si="10"/>
        <v>588.68719999999996</v>
      </c>
      <c r="I49">
        <f ca="1">טבלה1[[#This Row],[Demand]]-טבלה1[[#This Row],[est]]</f>
        <v>1.3128000000000384</v>
      </c>
      <c r="L49" t="s">
        <v>10</v>
      </c>
      <c r="M49">
        <v>648</v>
      </c>
    </row>
    <row r="50" spans="4:13" x14ac:dyDescent="0.3">
      <c r="D50">
        <f t="shared" si="4"/>
        <v>2017</v>
      </c>
      <c r="E50" t="s">
        <v>13</v>
      </c>
      <c r="F50" s="8">
        <f t="shared" ca="1" si="0"/>
        <v>0.29801528785119158</v>
      </c>
      <c r="G50">
        <f ca="1">IF($A$1=0,"",ROUND(_xlfn.NORM.INV(טבלה1[[#This Row],[Rand]],A0+Trend*(ROW()-1),Std)*INDEX(SeasonalityTable,Seasonality,MATCH(טבלה1[[#This Row],[Month]],Months,0)),0))</f>
        <v>764</v>
      </c>
      <c r="H50">
        <f t="shared" si="10"/>
        <v>764.97120000000007</v>
      </c>
      <c r="I50">
        <f ca="1">טבלה1[[#This Row],[Demand]]-טבלה1[[#This Row],[est]]</f>
        <v>-0.97120000000006712</v>
      </c>
      <c r="L50" t="s">
        <v>11</v>
      </c>
      <c r="M50">
        <v>760</v>
      </c>
    </row>
    <row r="51" spans="4:13" x14ac:dyDescent="0.3">
      <c r="D51">
        <f t="shared" si="4"/>
        <v>2017</v>
      </c>
      <c r="E51" t="s">
        <v>14</v>
      </c>
      <c r="F51" s="8">
        <f t="shared" ca="1" si="0"/>
        <v>0.4681129479573124</v>
      </c>
      <c r="G51">
        <f ca="1">IF($A$1=0,"",ROUND(_xlfn.NORM.INV(טבלה1[[#This Row],[Rand]],A0+Trend*(ROW()-1),Std)*INDEX(SeasonalityTable,Seasonality,MATCH(טבלה1[[#This Row],[Month]],Months,0)),0))</f>
        <v>709</v>
      </c>
      <c r="H51">
        <f t="shared" si="10"/>
        <v>708.76</v>
      </c>
      <c r="I51">
        <f ca="1">טבלה1[[#This Row],[Demand]]-טבלה1[[#This Row],[est]]</f>
        <v>0.24000000000000909</v>
      </c>
      <c r="L51" t="s">
        <v>12</v>
      </c>
      <c r="M51">
        <v>589</v>
      </c>
    </row>
    <row r="52" spans="4:13" x14ac:dyDescent="0.3">
      <c r="D52">
        <f t="shared" si="4"/>
        <v>2017</v>
      </c>
      <c r="E52" t="s">
        <v>15</v>
      </c>
      <c r="F52" s="8">
        <f t="shared" ca="1" si="0"/>
        <v>0.29890122991750601</v>
      </c>
      <c r="G52">
        <f ca="1">IF($A$1=0,"",ROUND(_xlfn.NORM.INV(טבלה1[[#This Row],[Rand]],A0+Trend*(ROW()-1),Std)*INDEX(SeasonalityTable,Seasonality,MATCH(טבלה1[[#This Row],[Month]],Months,0)),0))</f>
        <v>625</v>
      </c>
      <c r="H52">
        <f t="shared" si="10"/>
        <v>625.59080000000006</v>
      </c>
      <c r="I52">
        <f ca="1">טבלה1[[#This Row],[Demand]]-טבלה1[[#This Row],[est]]</f>
        <v>-0.59080000000005839</v>
      </c>
      <c r="K52">
        <v>2017</v>
      </c>
      <c r="L52" t="s">
        <v>13</v>
      </c>
      <c r="M52">
        <v>763</v>
      </c>
    </row>
    <row r="53" spans="4:13" x14ac:dyDescent="0.3">
      <c r="D53">
        <f t="shared" si="4"/>
        <v>2017</v>
      </c>
      <c r="E53" t="s">
        <v>16</v>
      </c>
      <c r="F53" s="8">
        <f t="shared" ca="1" si="0"/>
        <v>9.5791457142299197E-2</v>
      </c>
      <c r="G53">
        <f ca="1">IF($A$1=0,"",ROUND(_xlfn.NORM.INV(טבלה1[[#This Row],[Rand]],A0+Trend*(ROW()-1),Std)*INDEX(SeasonalityTable,Seasonality,MATCH(טבלה1[[#This Row],[Month]],Months,0)),0))</f>
        <v>738</v>
      </c>
      <c r="H53">
        <f t="shared" si="10"/>
        <v>739.54320000000007</v>
      </c>
      <c r="I53">
        <f ca="1">טבלה1[[#This Row],[Demand]]-טבלה1[[#This Row],[est]]</f>
        <v>-1.5432000000000698</v>
      </c>
      <c r="L53" t="s">
        <v>14</v>
      </c>
      <c r="M53">
        <v>709</v>
      </c>
    </row>
    <row r="54" spans="4:13" x14ac:dyDescent="0.3">
      <c r="D54">
        <f t="shared" si="4"/>
        <v>2017</v>
      </c>
      <c r="E54" t="s">
        <v>5</v>
      </c>
      <c r="F54" s="8">
        <f t="shared" ca="1" si="0"/>
        <v>0.64244952957755597</v>
      </c>
      <c r="G54">
        <f ca="1">IF($A$1=0,"",ROUND(_xlfn.NORM.INV(טבלה1[[#This Row],[Rand]],A0+Trend*(ROW()-1),Std)*INDEX(SeasonalityTable,Seasonality,MATCH(טבלה1[[#This Row],[Month]],Months,0)),0))</f>
        <v>616</v>
      </c>
      <c r="H54">
        <f t="shared" si="10"/>
        <v>616.04270000000008</v>
      </c>
      <c r="I54">
        <f ca="1">טבלה1[[#This Row],[Demand]]-טבלה1[[#This Row],[est]]</f>
        <v>-4.2700000000081673E-2</v>
      </c>
      <c r="L54" t="s">
        <v>15</v>
      </c>
      <c r="M54">
        <v>624</v>
      </c>
    </row>
    <row r="55" spans="4:13" x14ac:dyDescent="0.3">
      <c r="D55">
        <f t="shared" si="4"/>
        <v>2017</v>
      </c>
      <c r="E55" t="s">
        <v>6</v>
      </c>
      <c r="F55" s="8">
        <f t="shared" ca="1" si="0"/>
        <v>0.86116247961194303</v>
      </c>
      <c r="G55">
        <f ca="1">IF($A$1=0,"",ROUND(_xlfn.NORM.INV(טבלה1[[#This Row],[Rand]],A0+Trend*(ROW()-1),Std)*INDEX(SeasonalityTable,Seasonality,MATCH(טבלה1[[#This Row],[Month]],Months,0)),0))</f>
        <v>630</v>
      </c>
      <c r="H55">
        <f t="shared" si="10"/>
        <v>628.17780000000005</v>
      </c>
      <c r="I55">
        <f ca="1">טבלה1[[#This Row],[Demand]]-טבלה1[[#This Row],[est]]</f>
        <v>1.8221999999999525</v>
      </c>
      <c r="L55" t="s">
        <v>16</v>
      </c>
      <c r="M55">
        <v>738</v>
      </c>
    </row>
    <row r="56" spans="4:13" x14ac:dyDescent="0.3">
      <c r="D56">
        <f t="shared" si="4"/>
        <v>2017</v>
      </c>
      <c r="E56" t="s">
        <v>7</v>
      </c>
      <c r="F56" s="8">
        <f t="shared" ca="1" si="0"/>
        <v>0.45197510446885625</v>
      </c>
      <c r="G56">
        <f ca="1">IF($A$1=0,"",ROUND(_xlfn.NORM.INV(טבלה1[[#This Row],[Rand]],A0+Trend*(ROW()-1),Std)*INDEX(SeasonalityTable,Seasonality,MATCH(טבלה1[[#This Row],[Month]],Months,0)),0))</f>
        <v>681</v>
      </c>
      <c r="H56">
        <f t="shared" si="10"/>
        <v>680.68950000000007</v>
      </c>
      <c r="I56">
        <f ca="1">טבלה1[[#This Row],[Demand]]-טבלה1[[#This Row],[est]]</f>
        <v>0.31049999999993361</v>
      </c>
      <c r="L56" t="s">
        <v>5</v>
      </c>
      <c r="M56">
        <v>614</v>
      </c>
    </row>
    <row r="57" spans="4:13" x14ac:dyDescent="0.3">
      <c r="D57">
        <f t="shared" si="4"/>
        <v>2017</v>
      </c>
      <c r="E57" t="s">
        <v>8</v>
      </c>
      <c r="F57" s="8">
        <f t="shared" ca="1" si="0"/>
        <v>0.65808521994652824</v>
      </c>
      <c r="G57">
        <f ca="1">IF($A$1=0,"",ROUND(_xlfn.NORM.INV(טבלה1[[#This Row],[Rand]],A0+Trend*(ROW()-1),Std)*INDEX(SeasonalityTable,Seasonality,MATCH(טבלה1[[#This Row],[Month]],Months,0)),0))</f>
        <v>760</v>
      </c>
      <c r="H57">
        <f t="shared" si="10"/>
        <v>759.85720000000003</v>
      </c>
      <c r="I57">
        <f ca="1">טבלה1[[#This Row],[Demand]]-טבלה1[[#This Row],[est]]</f>
        <v>0.14279999999996562</v>
      </c>
      <c r="L57" t="s">
        <v>6</v>
      </c>
      <c r="M57">
        <v>626</v>
      </c>
    </row>
    <row r="58" spans="4:13" x14ac:dyDescent="0.3">
      <c r="D58">
        <f t="shared" si="4"/>
        <v>2017</v>
      </c>
      <c r="E58" t="s">
        <v>9</v>
      </c>
      <c r="F58" s="8">
        <f t="shared" ca="1" si="0"/>
        <v>0.94673865042159133</v>
      </c>
      <c r="G58">
        <f ca="1">IF($A$1=0,"",ROUND(_xlfn.NORM.INV(טבלה1[[#This Row],[Rand]],A0+Trend*(ROW()-1),Std)*INDEX(SeasonalityTable,Seasonality,MATCH(טבלה1[[#This Row],[Month]],Months,0)),0))</f>
        <v>633</v>
      </c>
      <c r="H58">
        <f t="shared" si="10"/>
        <v>630.67419999999993</v>
      </c>
      <c r="I58">
        <f ca="1">טבלה1[[#This Row],[Demand]]-טבלה1[[#This Row],[est]]</f>
        <v>2.325800000000072</v>
      </c>
      <c r="L58" t="s">
        <v>7</v>
      </c>
      <c r="M58">
        <v>679</v>
      </c>
    </row>
    <row r="59" spans="4:13" x14ac:dyDescent="0.3">
      <c r="D59">
        <f t="shared" si="4"/>
        <v>2017</v>
      </c>
      <c r="E59" t="s">
        <v>10</v>
      </c>
      <c r="F59" s="8">
        <f t="shared" ca="1" si="0"/>
        <v>0.11076363253249</v>
      </c>
      <c r="G59">
        <f ca="1">IF($A$1=0,"",ROUND(_xlfn.NORM.INV(טבלה1[[#This Row],[Rand]],A0+Trend*(ROW()-1),Std)*INDEX(SeasonalityTable,Seasonality,MATCH(טבלה1[[#This Row],[Month]],Months,0)),0))</f>
        <v>628</v>
      </c>
      <c r="H59">
        <f t="shared" si="10"/>
        <v>629.25479999999993</v>
      </c>
      <c r="I59">
        <f ca="1">טבלה1[[#This Row],[Demand]]-טבלה1[[#This Row],[est]]</f>
        <v>-1.254799999999932</v>
      </c>
      <c r="L59" t="s">
        <v>8</v>
      </c>
      <c r="M59">
        <v>758</v>
      </c>
    </row>
    <row r="60" spans="4:13" x14ac:dyDescent="0.3">
      <c r="D60">
        <f t="shared" si="4"/>
        <v>2017</v>
      </c>
      <c r="E60" t="s">
        <v>11</v>
      </c>
      <c r="F60" s="8">
        <f t="shared" ca="1" si="0"/>
        <v>0.79669859142008448</v>
      </c>
      <c r="G60">
        <f ca="1">IF($A$1=0,"",ROUND(_xlfn.NORM.INV(טבלה1[[#This Row],[Rand]],A0+Trend*(ROW()-1),Std)*INDEX(SeasonalityTable,Seasonality,MATCH(טבלה1[[#This Row],[Month]],Months,0)),0))</f>
        <v>743</v>
      </c>
      <c r="H60">
        <f t="shared" si="10"/>
        <v>741.38010000000008</v>
      </c>
      <c r="I60">
        <f ca="1">טבלה1[[#This Row],[Demand]]-טבלה1[[#This Row],[est]]</f>
        <v>1.619899999999916</v>
      </c>
      <c r="L60" t="s">
        <v>9</v>
      </c>
      <c r="M60">
        <v>630</v>
      </c>
    </row>
    <row r="61" spans="4:13" x14ac:dyDescent="0.3">
      <c r="D61">
        <f t="shared" si="4"/>
        <v>2017</v>
      </c>
      <c r="E61" t="s">
        <v>12</v>
      </c>
      <c r="F61" s="8">
        <f t="shared" ca="1" si="0"/>
        <v>0.25535166626048611</v>
      </c>
      <c r="G61">
        <f ca="1">IF($A$1=0,"",ROUND(_xlfn.NORM.INV(טבלה1[[#This Row],[Rand]],A0+Trend*(ROW()-1),Std)*INDEX(SeasonalityTable,Seasonality,MATCH(טבלה1[[#This Row],[Month]],Months,0)),0))</f>
        <v>572</v>
      </c>
      <c r="H61">
        <f t="shared" si="10"/>
        <v>573.10399999999993</v>
      </c>
      <c r="I61">
        <f ca="1">טבלה1[[#This Row],[Demand]]-טבלה1[[#This Row],[est]]</f>
        <v>-1.1039999999999281</v>
      </c>
      <c r="L61" t="s">
        <v>10</v>
      </c>
      <c r="M61">
        <v>628</v>
      </c>
    </row>
    <row r="62" spans="4:13" x14ac:dyDescent="0.3">
      <c r="D62">
        <f t="shared" si="4"/>
        <v>2018</v>
      </c>
      <c r="E62" t="s">
        <v>13</v>
      </c>
      <c r="F62" s="8">
        <f t="shared" ca="1" si="0"/>
        <v>1.9309493983071579E-2</v>
      </c>
      <c r="G62">
        <f ca="1">IF($A$1=0,"",ROUND(_xlfn.NORM.INV(טבלה1[[#This Row],[Rand]],A0+Trend*(ROW()-1),Std)*INDEX(SeasonalityTable,Seasonality,MATCH(טבלה1[[#This Row],[Month]],Months,0)),0))</f>
        <v>741</v>
      </c>
      <c r="H62">
        <f t="shared" si="10"/>
        <v>744.67680000000007</v>
      </c>
      <c r="I62">
        <f ca="1">טבלה1[[#This Row],[Demand]]-טבלה1[[#This Row],[est]]</f>
        <v>-3.6768000000000711</v>
      </c>
      <c r="L62" t="s">
        <v>11</v>
      </c>
      <c r="M62">
        <v>742</v>
      </c>
    </row>
    <row r="63" spans="4:13" x14ac:dyDescent="0.3">
      <c r="D63">
        <f t="shared" si="4"/>
        <v>2018</v>
      </c>
      <c r="E63" t="s">
        <v>14</v>
      </c>
      <c r="F63" s="8">
        <f t="shared" ca="1" si="0"/>
        <v>0.47642435687883544</v>
      </c>
      <c r="G63">
        <f ca="1">IF($A$1=0,"",ROUND(_xlfn.NORM.INV(טבלה1[[#This Row],[Rand]],A0+Trend*(ROW()-1),Std)*INDEX(SeasonalityTable,Seasonality,MATCH(טבלה1[[#This Row],[Month]],Months,0)),0))</f>
        <v>690</v>
      </c>
      <c r="H63">
        <f t="shared" si="10"/>
        <v>689.91520000000003</v>
      </c>
      <c r="I63">
        <f ca="1">טבלה1[[#This Row],[Demand]]-טבלה1[[#This Row],[est]]</f>
        <v>8.4799999999972897E-2</v>
      </c>
      <c r="L63" t="s">
        <v>12</v>
      </c>
      <c r="M63">
        <v>573</v>
      </c>
    </row>
    <row r="64" spans="4:13" x14ac:dyDescent="0.3">
      <c r="D64">
        <f t="shared" si="4"/>
        <v>2018</v>
      </c>
      <c r="E64" t="s">
        <v>15</v>
      </c>
      <c r="F64" s="8">
        <f t="shared" ca="1" si="0"/>
        <v>0.81976200169476443</v>
      </c>
      <c r="G64">
        <f ca="1">IF($A$1=0,"",ROUND(_xlfn.NORM.INV(טבלה1[[#This Row],[Rand]],A0+Trend*(ROW()-1),Std)*INDEX(SeasonalityTable,Seasonality,MATCH(טבלה1[[#This Row],[Month]],Months,0)),0))</f>
        <v>610</v>
      </c>
      <c r="H64">
        <f t="shared" si="10"/>
        <v>608.92040000000009</v>
      </c>
      <c r="I64">
        <f ca="1">טבלה1[[#This Row],[Demand]]-טבלה1[[#This Row],[est]]</f>
        <v>1.079599999999914</v>
      </c>
      <c r="K64">
        <v>2018</v>
      </c>
      <c r="L64" t="s">
        <v>13</v>
      </c>
      <c r="M64">
        <v>743</v>
      </c>
    </row>
    <row r="65" spans="4:13" x14ac:dyDescent="0.3">
      <c r="D65">
        <f t="shared" si="4"/>
        <v>2018</v>
      </c>
      <c r="E65" t="s">
        <v>16</v>
      </c>
      <c r="F65" s="8">
        <f t="shared" ca="1" si="0"/>
        <v>0.7082025691379803</v>
      </c>
      <c r="G65">
        <f ca="1">IF($A$1=0,"",ROUND(_xlfn.NORM.INV(טבלה1[[#This Row],[Rand]],A0+Trend*(ROW()-1),Std)*INDEX(SeasonalityTable,Seasonality,MATCH(טבלה1[[#This Row],[Month]],Months,0)),0))</f>
        <v>721</v>
      </c>
      <c r="H65">
        <f t="shared" si="10"/>
        <v>719.79240000000004</v>
      </c>
      <c r="I65">
        <f ca="1">טבלה1[[#This Row],[Demand]]-טבלה1[[#This Row],[est]]</f>
        <v>1.2075999999999567</v>
      </c>
      <c r="L65" t="s">
        <v>14</v>
      </c>
      <c r="M65">
        <v>688</v>
      </c>
    </row>
    <row r="66" spans="4:13" x14ac:dyDescent="0.3">
      <c r="D66">
        <f t="shared" si="4"/>
        <v>2018</v>
      </c>
      <c r="E66" t="s">
        <v>5</v>
      </c>
      <c r="F66" s="8">
        <f t="shared" ref="F66:F121" ca="1" si="12">RAND()</f>
        <v>0.29433521631317883</v>
      </c>
      <c r="G66">
        <f ca="1">IF($A$1=0,"",ROUND(_xlfn.NORM.INV(טבלה1[[#This Row],[Rand]],A0+Trend*(ROW()-1),Std)*INDEX(SeasonalityTable,Seasonality,MATCH(טבלה1[[#This Row],[Month]],Months,0)),0))</f>
        <v>599</v>
      </c>
      <c r="H66">
        <f t="shared" ref="H66:H97" si="13">(A0+(ROW()-1)*Trend)*INDEX(SeasonalityTable,Seasonality,MOD(ROW()-2,12)+1)</f>
        <v>599.55349999999999</v>
      </c>
      <c r="I66">
        <f ca="1">טבלה1[[#This Row],[Demand]]-טבלה1[[#This Row],[est]]</f>
        <v>-0.55349999999998545</v>
      </c>
      <c r="L66" t="s">
        <v>15</v>
      </c>
      <c r="M66">
        <v>608</v>
      </c>
    </row>
    <row r="67" spans="4:13" x14ac:dyDescent="0.3">
      <c r="D67">
        <f t="shared" si="4"/>
        <v>2018</v>
      </c>
      <c r="E67" t="s">
        <v>6</v>
      </c>
      <c r="F67" s="8">
        <f t="shared" ca="1" si="12"/>
        <v>0.68073041094746645</v>
      </c>
      <c r="G67">
        <f ca="1">IF($A$1=0,"",ROUND(_xlfn.NORM.INV(טבלה1[[#This Row],[Rand]],A0+Trend*(ROW()-1),Std)*INDEX(SeasonalityTable,Seasonality,MATCH(טבלה1[[#This Row],[Month]],Months,0)),0))</f>
        <v>612</v>
      </c>
      <c r="H67">
        <f t="shared" si="13"/>
        <v>611.32619999999997</v>
      </c>
      <c r="I67">
        <f ca="1">טבלה1[[#This Row],[Demand]]-טבלה1[[#This Row],[est]]</f>
        <v>0.67380000000002838</v>
      </c>
      <c r="L67" t="s">
        <v>16</v>
      </c>
      <c r="M67">
        <v>719</v>
      </c>
    </row>
    <row r="68" spans="4:13" x14ac:dyDescent="0.3">
      <c r="D68">
        <f t="shared" si="4"/>
        <v>2018</v>
      </c>
      <c r="E68" t="s">
        <v>7</v>
      </c>
      <c r="F68" s="8">
        <f t="shared" ca="1" si="12"/>
        <v>0.35527362484811675</v>
      </c>
      <c r="G68">
        <f ca="1">IF($A$1=0,"",ROUND(_xlfn.NORM.INV(טבלה1[[#This Row],[Rand]],A0+Trend*(ROW()-1),Std)*INDEX(SeasonalityTable,Seasonality,MATCH(טבלה1[[#This Row],[Month]],Months,0)),0))</f>
        <v>662</v>
      </c>
      <c r="H68">
        <f t="shared" si="13"/>
        <v>662.38830000000007</v>
      </c>
      <c r="I68">
        <f ca="1">טבלה1[[#This Row],[Demand]]-טבלה1[[#This Row],[est]]</f>
        <v>-0.38830000000007203</v>
      </c>
      <c r="L68" t="s">
        <v>5</v>
      </c>
      <c r="M68">
        <v>599</v>
      </c>
    </row>
    <row r="69" spans="4:13" x14ac:dyDescent="0.3">
      <c r="D69">
        <f t="shared" si="4"/>
        <v>2018</v>
      </c>
      <c r="E69" t="s">
        <v>8</v>
      </c>
      <c r="F69" s="8">
        <f t="shared" ca="1" si="12"/>
        <v>0.64677805480946637</v>
      </c>
      <c r="G69">
        <f ca="1">IF($A$1=0,"",ROUND(_xlfn.NORM.INV(טבלה1[[#This Row],[Rand]],A0+Trend*(ROW()-1),Std)*INDEX(SeasonalityTable,Seasonality,MATCH(טבלה1[[#This Row],[Month]],Months,0)),0))</f>
        <v>740</v>
      </c>
      <c r="H69">
        <f t="shared" si="13"/>
        <v>739.38159999999982</v>
      </c>
      <c r="I69">
        <f ca="1">טבלה1[[#This Row],[Demand]]-טבלה1[[#This Row],[est]]</f>
        <v>0.61840000000017881</v>
      </c>
      <c r="L69" t="s">
        <v>6</v>
      </c>
      <c r="M69">
        <v>611</v>
      </c>
    </row>
    <row r="70" spans="4:13" x14ac:dyDescent="0.3">
      <c r="D70">
        <f t="shared" si="4"/>
        <v>2018</v>
      </c>
      <c r="E70" t="s">
        <v>9</v>
      </c>
      <c r="F70" s="8">
        <f t="shared" ca="1" si="12"/>
        <v>0.7026771523500861</v>
      </c>
      <c r="G70">
        <f ca="1">IF($A$1=0,"",ROUND(_xlfn.NORM.INV(טבלה1[[#This Row],[Rand]],A0+Trend*(ROW()-1),Std)*INDEX(SeasonalityTable,Seasonality,MATCH(טבלה1[[#This Row],[Month]],Months,0)),0))</f>
        <v>614</v>
      </c>
      <c r="H70">
        <f t="shared" si="13"/>
        <v>613.64139999999986</v>
      </c>
      <c r="I70">
        <f ca="1">טבלה1[[#This Row],[Demand]]-טבלה1[[#This Row],[est]]</f>
        <v>0.3586000000001377</v>
      </c>
      <c r="L70" t="s">
        <v>7</v>
      </c>
      <c r="M70">
        <v>660</v>
      </c>
    </row>
    <row r="71" spans="4:13" x14ac:dyDescent="0.3">
      <c r="D71">
        <f t="shared" si="4"/>
        <v>2018</v>
      </c>
      <c r="E71" t="s">
        <v>10</v>
      </c>
      <c r="F71" s="8">
        <f t="shared" ca="1" si="12"/>
        <v>0.8405970863780684</v>
      </c>
      <c r="G71">
        <f ca="1">IF($A$1=0,"",ROUND(_xlfn.NORM.INV(טבלה1[[#This Row],[Rand]],A0+Trend*(ROW()-1),Std)*INDEX(SeasonalityTable,Seasonality,MATCH(טבלה1[[#This Row],[Month]],Months,0)),0))</f>
        <v>614</v>
      </c>
      <c r="H71">
        <f t="shared" si="13"/>
        <v>612.22199999999987</v>
      </c>
      <c r="I71">
        <f ca="1">טבלה1[[#This Row],[Demand]]-טבלה1[[#This Row],[est]]</f>
        <v>1.7780000000001337</v>
      </c>
      <c r="L71" t="s">
        <v>8</v>
      </c>
      <c r="M71">
        <v>738</v>
      </c>
    </row>
    <row r="72" spans="4:13" x14ac:dyDescent="0.3">
      <c r="D72">
        <f t="shared" si="4"/>
        <v>2018</v>
      </c>
      <c r="E72" t="s">
        <v>11</v>
      </c>
      <c r="F72" s="8">
        <f t="shared" ca="1" si="12"/>
        <v>0.80407299137743848</v>
      </c>
      <c r="G72">
        <f ca="1">IF($A$1=0,"",ROUND(_xlfn.NORM.INV(טבלה1[[#This Row],[Rand]],A0+Trend*(ROW()-1),Std)*INDEX(SeasonalityTable,Seasonality,MATCH(טבלה1[[#This Row],[Month]],Months,0)),0))</f>
        <v>723</v>
      </c>
      <c r="H72">
        <f t="shared" si="13"/>
        <v>721.26690000000008</v>
      </c>
      <c r="I72">
        <f ca="1">טבלה1[[#This Row],[Demand]]-טבלה1[[#This Row],[est]]</f>
        <v>1.7330999999999221</v>
      </c>
      <c r="L72" t="s">
        <v>9</v>
      </c>
      <c r="M72">
        <v>614</v>
      </c>
    </row>
    <row r="73" spans="4:13" x14ac:dyDescent="0.3">
      <c r="D73">
        <f t="shared" si="4"/>
        <v>2018</v>
      </c>
      <c r="E73" t="s">
        <v>12</v>
      </c>
      <c r="F73" s="8">
        <f t="shared" ca="1" si="12"/>
        <v>0.35703082075325931</v>
      </c>
      <c r="G73">
        <f ca="1">IF($A$1=0,"",ROUND(_xlfn.NORM.INV(טבלה1[[#This Row],[Rand]],A0+Trend*(ROW()-1),Std)*INDEX(SeasonalityTable,Seasonality,MATCH(טבלה1[[#This Row],[Month]],Months,0)),0))</f>
        <v>557</v>
      </c>
      <c r="H73">
        <f t="shared" si="13"/>
        <v>557.52080000000001</v>
      </c>
      <c r="I73">
        <f ca="1">טבלה1[[#This Row],[Demand]]-טבלה1[[#This Row],[est]]</f>
        <v>-0.52080000000000837</v>
      </c>
      <c r="L73" t="s">
        <v>10</v>
      </c>
      <c r="M73">
        <v>613</v>
      </c>
    </row>
    <row r="74" spans="4:13" x14ac:dyDescent="0.3">
      <c r="D74">
        <f t="shared" si="4"/>
        <v>2019</v>
      </c>
      <c r="E74" t="s">
        <v>13</v>
      </c>
      <c r="F74" s="8">
        <f t="shared" ca="1" si="12"/>
        <v>0.8000539930015873</v>
      </c>
      <c r="G74">
        <f ca="1">IF($A$1=0,"",ROUND(_xlfn.NORM.INV(טבלה1[[#This Row],[Rand]],A0+Trend*(ROW()-1),Std)*INDEX(SeasonalityTable,Seasonality,MATCH(טבלה1[[#This Row],[Month]],Months,0)),0))</f>
        <v>726</v>
      </c>
      <c r="H74">
        <f t="shared" si="13"/>
        <v>724.38240000000008</v>
      </c>
      <c r="I74">
        <f ca="1">טבלה1[[#This Row],[Demand]]-טבלה1[[#This Row],[est]]</f>
        <v>1.6175999999999249</v>
      </c>
      <c r="L74" t="s">
        <v>11</v>
      </c>
      <c r="M74">
        <v>724</v>
      </c>
    </row>
    <row r="75" spans="4:13" x14ac:dyDescent="0.3">
      <c r="D75">
        <f t="shared" si="4"/>
        <v>2019</v>
      </c>
      <c r="E75" t="s">
        <v>14</v>
      </c>
      <c r="F75" s="8">
        <f t="shared" ca="1" si="12"/>
        <v>0.33729010585853814</v>
      </c>
      <c r="G75">
        <f ca="1">IF($A$1=0,"",ROUND(_xlfn.NORM.INV(טבלה1[[#This Row],[Rand]],A0+Trend*(ROW()-1),Std)*INDEX(SeasonalityTable,Seasonality,MATCH(טבלה1[[#This Row],[Month]],Months,0)),0))</f>
        <v>670</v>
      </c>
      <c r="H75">
        <f t="shared" si="13"/>
        <v>671.07040000000006</v>
      </c>
      <c r="I75">
        <f ca="1">טבלה1[[#This Row],[Demand]]-טבלה1[[#This Row],[est]]</f>
        <v>-1.0704000000000633</v>
      </c>
      <c r="L75" t="s">
        <v>12</v>
      </c>
      <c r="M75">
        <v>557</v>
      </c>
    </row>
    <row r="76" spans="4:13" x14ac:dyDescent="0.3">
      <c r="D76">
        <f t="shared" si="4"/>
        <v>2019</v>
      </c>
      <c r="E76" t="s">
        <v>15</v>
      </c>
      <c r="F76" s="8">
        <f t="shared" ca="1" si="12"/>
        <v>6.0611402090067545E-2</v>
      </c>
      <c r="G76">
        <f ca="1">IF($A$1=0,"",ROUND(_xlfn.NORM.INV(טבלה1[[#This Row],[Rand]],A0+Trend*(ROW()-1),Std)*INDEX(SeasonalityTable,Seasonality,MATCH(טבלה1[[#This Row],[Month]],Months,0)),0))</f>
        <v>590</v>
      </c>
      <c r="H76">
        <f t="shared" si="13"/>
        <v>592.25</v>
      </c>
      <c r="I76">
        <f ca="1">טבלה1[[#This Row],[Demand]]-טבלה1[[#This Row],[est]]</f>
        <v>-2.25</v>
      </c>
      <c r="K76">
        <v>2019</v>
      </c>
      <c r="L76" t="s">
        <v>13</v>
      </c>
      <c r="M76">
        <v>723</v>
      </c>
    </row>
    <row r="77" spans="4:13" x14ac:dyDescent="0.3">
      <c r="D77">
        <f t="shared" si="4"/>
        <v>2019</v>
      </c>
      <c r="E77" t="s">
        <v>16</v>
      </c>
      <c r="F77" s="8">
        <f t="shared" ca="1" si="12"/>
        <v>0.2810580749429038</v>
      </c>
      <c r="G77">
        <f ca="1">IF($A$1=0,"",ROUND(_xlfn.NORM.INV(טבלה1[[#This Row],[Rand]],A0+Trend*(ROW()-1),Std)*INDEX(SeasonalityTable,Seasonality,MATCH(טבלה1[[#This Row],[Month]],Months,0)),0))</f>
        <v>699</v>
      </c>
      <c r="H77">
        <f t="shared" si="13"/>
        <v>700.04160000000002</v>
      </c>
      <c r="I77">
        <f ca="1">טבלה1[[#This Row],[Demand]]-טבלה1[[#This Row],[est]]</f>
        <v>-1.0416000000000167</v>
      </c>
      <c r="L77" t="s">
        <v>14</v>
      </c>
      <c r="M77">
        <v>672</v>
      </c>
    </row>
    <row r="78" spans="4:13" x14ac:dyDescent="0.3">
      <c r="D78">
        <f t="shared" si="4"/>
        <v>2019</v>
      </c>
      <c r="E78" t="s">
        <v>5</v>
      </c>
      <c r="F78" s="8">
        <f t="shared" ca="1" si="12"/>
        <v>0.54238477225591775</v>
      </c>
      <c r="G78">
        <f ca="1">IF($A$1=0,"",ROUND(_xlfn.NORM.INV(טבלה1[[#This Row],[Rand]],A0+Trend*(ROW()-1),Std)*INDEX(SeasonalityTable,Seasonality,MATCH(טבלה1[[#This Row],[Month]],Months,0)),0))</f>
        <v>583</v>
      </c>
      <c r="H78">
        <f t="shared" si="13"/>
        <v>583.0643</v>
      </c>
      <c r="I78">
        <f ca="1">טבלה1[[#This Row],[Demand]]-טבלה1[[#This Row],[est]]</f>
        <v>-6.430000000000291E-2</v>
      </c>
      <c r="L78" t="s">
        <v>15</v>
      </c>
      <c r="M78">
        <v>592</v>
      </c>
    </row>
    <row r="79" spans="4:13" x14ac:dyDescent="0.3">
      <c r="D79">
        <f t="shared" ref="D79:D121" si="14">D67+1</f>
        <v>2019</v>
      </c>
      <c r="E79" t="s">
        <v>6</v>
      </c>
      <c r="F79" s="8">
        <f t="shared" ca="1" si="12"/>
        <v>6.9043897162857082E-3</v>
      </c>
      <c r="G79">
        <f ca="1">IF($A$1=0,"",ROUND(_xlfn.NORM.INV(טבלה1[[#This Row],[Rand]],A0+Trend*(ROW()-1),Std)*INDEX(SeasonalityTable,Seasonality,MATCH(טבלה1[[#This Row],[Month]],Months,0)),0))</f>
        <v>591</v>
      </c>
      <c r="H79">
        <f t="shared" si="13"/>
        <v>594.47460000000001</v>
      </c>
      <c r="I79">
        <f ca="1">טבלה1[[#This Row],[Demand]]-טבלה1[[#This Row],[est]]</f>
        <v>-3.4746000000000095</v>
      </c>
      <c r="L79" t="s">
        <v>16</v>
      </c>
      <c r="M79">
        <v>703</v>
      </c>
    </row>
    <row r="80" spans="4:13" x14ac:dyDescent="0.3">
      <c r="D80">
        <f t="shared" si="14"/>
        <v>2019</v>
      </c>
      <c r="E80" t="s">
        <v>7</v>
      </c>
      <c r="F80" s="8">
        <f t="shared" ca="1" si="12"/>
        <v>0.4189610239499203</v>
      </c>
      <c r="G80">
        <f ca="1">IF($A$1=0,"",ROUND(_xlfn.NORM.INV(טבלה1[[#This Row],[Rand]],A0+Trend*(ROW()-1),Std)*INDEX(SeasonalityTable,Seasonality,MATCH(טבלה1[[#This Row],[Month]],Months,0)),0))</f>
        <v>644</v>
      </c>
      <c r="H80">
        <f t="shared" si="13"/>
        <v>644.08710000000008</v>
      </c>
      <c r="I80">
        <f ca="1">טבלה1[[#This Row],[Demand]]-טבלה1[[#This Row],[est]]</f>
        <v>-8.7100000000077671E-2</v>
      </c>
      <c r="L80" t="s">
        <v>5</v>
      </c>
      <c r="M80">
        <v>581</v>
      </c>
    </row>
    <row r="81" spans="4:13" x14ac:dyDescent="0.3">
      <c r="D81">
        <f t="shared" si="14"/>
        <v>2019</v>
      </c>
      <c r="E81" t="s">
        <v>8</v>
      </c>
      <c r="F81" s="8">
        <f t="shared" ca="1" si="12"/>
        <v>0.20114204146494374</v>
      </c>
      <c r="G81">
        <f ca="1">IF($A$1=0,"",ROUND(_xlfn.NORM.INV(טבלה1[[#This Row],[Rand]],A0+Trend*(ROW()-1),Std)*INDEX(SeasonalityTable,Seasonality,MATCH(טבלה1[[#This Row],[Month]],Months,0)),0))</f>
        <v>718</v>
      </c>
      <c r="H81">
        <f t="shared" si="13"/>
        <v>718.90599999999995</v>
      </c>
      <c r="I81">
        <f ca="1">טבלה1[[#This Row],[Demand]]-טבלה1[[#This Row],[est]]</f>
        <v>-0.90599999999994907</v>
      </c>
      <c r="L81" t="s">
        <v>6</v>
      </c>
      <c r="M81">
        <v>593</v>
      </c>
    </row>
    <row r="82" spans="4:13" x14ac:dyDescent="0.3">
      <c r="D82">
        <f t="shared" si="14"/>
        <v>2019</v>
      </c>
      <c r="E82" t="s">
        <v>9</v>
      </c>
      <c r="F82" s="8">
        <f t="shared" ca="1" si="12"/>
        <v>0.71516533784034175</v>
      </c>
      <c r="G82">
        <f ca="1">IF($A$1=0,"",ROUND(_xlfn.NORM.INV(טבלה1[[#This Row],[Rand]],A0+Trend*(ROW()-1),Std)*INDEX(SeasonalityTable,Seasonality,MATCH(טבלה1[[#This Row],[Month]],Months,0)),0))</f>
        <v>597</v>
      </c>
      <c r="H82">
        <f t="shared" si="13"/>
        <v>596.60860000000002</v>
      </c>
      <c r="I82">
        <f ca="1">טבלה1[[#This Row],[Demand]]-טבלה1[[#This Row],[est]]</f>
        <v>0.39139999999997599</v>
      </c>
      <c r="L82" t="s">
        <v>7</v>
      </c>
      <c r="M82">
        <v>644</v>
      </c>
    </row>
    <row r="83" spans="4:13" x14ac:dyDescent="0.3">
      <c r="D83">
        <f t="shared" si="14"/>
        <v>2019</v>
      </c>
      <c r="E83" t="s">
        <v>10</v>
      </c>
      <c r="F83" s="8">
        <f t="shared" ca="1" si="12"/>
        <v>0.93172599323293526</v>
      </c>
      <c r="G83">
        <f ca="1">IF($A$1=0,"",ROUND(_xlfn.NORM.INV(טבלה1[[#This Row],[Rand]],A0+Trend*(ROW()-1),Std)*INDEX(SeasonalityTable,Seasonality,MATCH(טבלה1[[#This Row],[Month]],Months,0)),0))</f>
        <v>597</v>
      </c>
      <c r="H83">
        <f t="shared" si="13"/>
        <v>595.18919999999991</v>
      </c>
      <c r="I83">
        <f ca="1">טבלה1[[#This Row],[Demand]]-טבלה1[[#This Row],[est]]</f>
        <v>1.8108000000000857</v>
      </c>
      <c r="L83" t="s">
        <v>8</v>
      </c>
      <c r="M83">
        <v>718</v>
      </c>
    </row>
    <row r="84" spans="4:13" x14ac:dyDescent="0.3">
      <c r="D84">
        <f t="shared" si="14"/>
        <v>2019</v>
      </c>
      <c r="E84" t="s">
        <v>11</v>
      </c>
      <c r="F84" s="8">
        <f t="shared" ca="1" si="12"/>
        <v>0.41540234314235558</v>
      </c>
      <c r="G84">
        <f ca="1">IF($A$1=0,"",ROUND(_xlfn.NORM.INV(טבלה1[[#This Row],[Rand]],A0+Trend*(ROW()-1),Std)*INDEX(SeasonalityTable,Seasonality,MATCH(טבלה1[[#This Row],[Month]],Months,0)),0))</f>
        <v>701</v>
      </c>
      <c r="H84">
        <f t="shared" si="13"/>
        <v>701.15370000000007</v>
      </c>
      <c r="I84">
        <f ca="1">טבלה1[[#This Row],[Demand]]-טבלה1[[#This Row],[est]]</f>
        <v>-0.15370000000007167</v>
      </c>
      <c r="L84" t="s">
        <v>9</v>
      </c>
      <c r="M84">
        <v>597</v>
      </c>
    </row>
    <row r="85" spans="4:13" x14ac:dyDescent="0.3">
      <c r="D85">
        <f t="shared" si="14"/>
        <v>2019</v>
      </c>
      <c r="E85" t="s">
        <v>12</v>
      </c>
      <c r="F85" s="8">
        <f t="shared" ca="1" si="12"/>
        <v>0.30770764819417962</v>
      </c>
      <c r="G85">
        <f ca="1">IF($A$1=0,"",ROUND(_xlfn.NORM.INV(טבלה1[[#This Row],[Rand]],A0+Trend*(ROW()-1),Std)*INDEX(SeasonalityTable,Seasonality,MATCH(טבלה1[[#This Row],[Month]],Months,0)),0))</f>
        <v>541</v>
      </c>
      <c r="H85">
        <f t="shared" si="13"/>
        <v>541.93759999999997</v>
      </c>
      <c r="I85">
        <f ca="1">טבלה1[[#This Row],[Demand]]-טבלה1[[#This Row],[est]]</f>
        <v>-0.9375999999999749</v>
      </c>
      <c r="L85" t="s">
        <v>10</v>
      </c>
      <c r="M85">
        <v>594</v>
      </c>
    </row>
    <row r="86" spans="4:13" x14ac:dyDescent="0.3">
      <c r="D86">
        <f t="shared" si="14"/>
        <v>2020</v>
      </c>
      <c r="E86" t="s">
        <v>13</v>
      </c>
      <c r="F86" s="8">
        <f t="shared" ca="1" si="12"/>
        <v>0.21910912109914038</v>
      </c>
      <c r="G86">
        <f ca="1">IF($A$1=0,"",ROUND(_xlfn.NORM.INV(טבלה1[[#This Row],[Rand]],A0+Trend*(ROW()-1),Std)*INDEX(SeasonalityTable,Seasonality,MATCH(טבלה1[[#This Row],[Month]],Months,0)),0))</f>
        <v>703</v>
      </c>
      <c r="H86">
        <f t="shared" si="13"/>
        <v>704.08800000000008</v>
      </c>
      <c r="I86">
        <f ca="1">טבלה1[[#This Row],[Demand]]-טבלה1[[#This Row],[est]]</f>
        <v>-1.0880000000000791</v>
      </c>
      <c r="L86" t="s">
        <v>11</v>
      </c>
      <c r="M86">
        <v>699</v>
      </c>
    </row>
    <row r="87" spans="4:13" x14ac:dyDescent="0.3">
      <c r="D87">
        <f t="shared" si="14"/>
        <v>2020</v>
      </c>
      <c r="E87" t="s">
        <v>14</v>
      </c>
      <c r="F87" s="8">
        <f t="shared" ca="1" si="12"/>
        <v>0.10612197821280356</v>
      </c>
      <c r="G87">
        <f ca="1">IF($A$1=0,"",ROUND(_xlfn.NORM.INV(טבלה1[[#This Row],[Rand]],A0+Trend*(ROW()-1),Std)*INDEX(SeasonalityTable,Seasonality,MATCH(טבלה1[[#This Row],[Month]],Months,0)),0))</f>
        <v>650</v>
      </c>
      <c r="H87">
        <f t="shared" si="13"/>
        <v>652.22559999999999</v>
      </c>
      <c r="I87">
        <f ca="1">טבלה1[[#This Row],[Demand]]-טבלה1[[#This Row],[est]]</f>
        <v>-2.2255999999999858</v>
      </c>
      <c r="L87" t="s">
        <v>12</v>
      </c>
      <c r="M87">
        <v>538</v>
      </c>
    </row>
    <row r="88" spans="4:13" x14ac:dyDescent="0.3">
      <c r="D88">
        <f t="shared" si="14"/>
        <v>2020</v>
      </c>
      <c r="E88" t="s">
        <v>15</v>
      </c>
      <c r="F88" s="8">
        <f t="shared" ca="1" si="12"/>
        <v>0.54773817772659805</v>
      </c>
      <c r="G88">
        <f ca="1">IF($A$1=0,"",ROUND(_xlfn.NORM.INV(טבלה1[[#This Row],[Rand]],A0+Trend*(ROW()-1),Std)*INDEX(SeasonalityTable,Seasonality,MATCH(טבלה1[[#This Row],[Month]],Months,0)),0))</f>
        <v>576</v>
      </c>
      <c r="H88">
        <f t="shared" si="13"/>
        <v>575.57960000000003</v>
      </c>
      <c r="I88">
        <f ca="1">טבלה1[[#This Row],[Demand]]-טבלה1[[#This Row],[est]]</f>
        <v>0.42039999999997235</v>
      </c>
      <c r="K88">
        <v>2020</v>
      </c>
      <c r="L88" t="s">
        <v>13</v>
      </c>
      <c r="M88">
        <v>703</v>
      </c>
    </row>
    <row r="89" spans="4:13" x14ac:dyDescent="0.3">
      <c r="D89">
        <f t="shared" si="14"/>
        <v>2020</v>
      </c>
      <c r="E89" t="s">
        <v>16</v>
      </c>
      <c r="F89" s="8">
        <f t="shared" ca="1" si="12"/>
        <v>0.81208464164607419</v>
      </c>
      <c r="G89">
        <f ca="1">IF($A$1=0,"",ROUND(_xlfn.NORM.INV(טבלה1[[#This Row],[Rand]],A0+Trend*(ROW()-1),Std)*INDEX(SeasonalityTable,Seasonality,MATCH(טבלה1[[#This Row],[Month]],Months,0)),0))</f>
        <v>682</v>
      </c>
      <c r="H89">
        <f t="shared" si="13"/>
        <v>680.2908000000001</v>
      </c>
      <c r="I89">
        <f ca="1">טבלה1[[#This Row],[Demand]]-טבלה1[[#This Row],[est]]</f>
        <v>1.7091999999998961</v>
      </c>
      <c r="L89" t="s">
        <v>14</v>
      </c>
      <c r="M89">
        <v>652</v>
      </c>
    </row>
    <row r="90" spans="4:13" x14ac:dyDescent="0.3">
      <c r="D90">
        <f t="shared" si="14"/>
        <v>2020</v>
      </c>
      <c r="E90" t="s">
        <v>5</v>
      </c>
      <c r="F90" s="8">
        <f t="shared" ca="1" si="12"/>
        <v>0.55684847805978743</v>
      </c>
      <c r="G90">
        <f ca="1">IF($A$1=0,"",ROUND(_xlfn.NORM.INV(טבלה1[[#This Row],[Rand]],A0+Trend*(ROW()-1),Std)*INDEX(SeasonalityTable,Seasonality,MATCH(טבלה1[[#This Row],[Month]],Months,0)),0))</f>
        <v>567</v>
      </c>
      <c r="H90">
        <f t="shared" si="13"/>
        <v>566.57510000000002</v>
      </c>
      <c r="I90">
        <f ca="1">טבלה1[[#This Row],[Demand]]-טבלה1[[#This Row],[est]]</f>
        <v>0.42489999999997963</v>
      </c>
      <c r="L90" t="s">
        <v>15</v>
      </c>
      <c r="M90">
        <v>575</v>
      </c>
    </row>
    <row r="91" spans="4:13" x14ac:dyDescent="0.3">
      <c r="D91">
        <f t="shared" si="14"/>
        <v>2020</v>
      </c>
      <c r="E91" t="s">
        <v>6</v>
      </c>
      <c r="F91" s="8">
        <f t="shared" ca="1" si="12"/>
        <v>0.94615703278376839</v>
      </c>
      <c r="G91">
        <f ca="1">IF($A$1=0,"",ROUND(_xlfn.NORM.INV(טבלה1[[#This Row],[Rand]],A0+Trend*(ROW()-1),Std)*INDEX(SeasonalityTable,Seasonality,MATCH(טבלה1[[#This Row],[Month]],Months,0)),0))</f>
        <v>580</v>
      </c>
      <c r="H91">
        <f t="shared" si="13"/>
        <v>577.62299999999993</v>
      </c>
      <c r="I91">
        <f ca="1">טבלה1[[#This Row],[Demand]]-טבלה1[[#This Row],[est]]</f>
        <v>2.3770000000000664</v>
      </c>
      <c r="L91" t="s">
        <v>16</v>
      </c>
      <c r="M91">
        <v>681</v>
      </c>
    </row>
    <row r="92" spans="4:13" x14ac:dyDescent="0.3">
      <c r="D92">
        <f t="shared" si="14"/>
        <v>2020</v>
      </c>
      <c r="E92" t="s">
        <v>7</v>
      </c>
      <c r="F92" s="8">
        <f t="shared" ca="1" si="12"/>
        <v>0.86628578615575946</v>
      </c>
      <c r="G92">
        <f ca="1">IF($A$1=0,"",ROUND(_xlfn.NORM.INV(טבלה1[[#This Row],[Rand]],A0+Trend*(ROW()-1),Std)*INDEX(SeasonalityTable,Seasonality,MATCH(טבלה1[[#This Row],[Month]],Months,0)),0))</f>
        <v>627</v>
      </c>
      <c r="H92">
        <f t="shared" si="13"/>
        <v>625.78590000000008</v>
      </c>
      <c r="I92">
        <f ca="1">טבלה1[[#This Row],[Demand]]-טבלה1[[#This Row],[est]]</f>
        <v>1.2140999999999167</v>
      </c>
      <c r="L92" t="s">
        <v>5</v>
      </c>
      <c r="M92">
        <v>568</v>
      </c>
    </row>
    <row r="93" spans="4:13" x14ac:dyDescent="0.3">
      <c r="D93">
        <f t="shared" si="14"/>
        <v>2020</v>
      </c>
      <c r="E93" t="s">
        <v>8</v>
      </c>
      <c r="F93" s="8">
        <f t="shared" ca="1" si="12"/>
        <v>0.5287590683293345</v>
      </c>
      <c r="G93">
        <f ca="1">IF($A$1=0,"",ROUND(_xlfn.NORM.INV(טבלה1[[#This Row],[Rand]],A0+Trend*(ROW()-1),Std)*INDEX(SeasonalityTable,Seasonality,MATCH(טבלה1[[#This Row],[Month]],Months,0)),0))</f>
        <v>699</v>
      </c>
      <c r="H93">
        <f t="shared" si="13"/>
        <v>698.43039999999996</v>
      </c>
      <c r="I93">
        <f ca="1">טבלה1[[#This Row],[Demand]]-טבלה1[[#This Row],[est]]</f>
        <v>0.56960000000003674</v>
      </c>
      <c r="L93" t="s">
        <v>6</v>
      </c>
      <c r="M93">
        <v>578</v>
      </c>
    </row>
    <row r="94" spans="4:13" x14ac:dyDescent="0.3">
      <c r="D94">
        <f t="shared" si="14"/>
        <v>2020</v>
      </c>
      <c r="E94" t="s">
        <v>9</v>
      </c>
      <c r="F94" s="8">
        <f t="shared" ca="1" si="12"/>
        <v>0.52495203584097339</v>
      </c>
      <c r="G94">
        <f ca="1">IF($A$1=0,"",ROUND(_xlfn.NORM.INV(טבלה1[[#This Row],[Rand]],A0+Trend*(ROW()-1),Std)*INDEX(SeasonalityTable,Seasonality,MATCH(טבלה1[[#This Row],[Month]],Months,0)),0))</f>
        <v>580</v>
      </c>
      <c r="H94">
        <f t="shared" si="13"/>
        <v>579.57579999999996</v>
      </c>
      <c r="I94">
        <f ca="1">טבלה1[[#This Row],[Demand]]-טבלה1[[#This Row],[est]]</f>
        <v>0.42420000000004165</v>
      </c>
      <c r="L94" t="s">
        <v>7</v>
      </c>
      <c r="M94">
        <v>627</v>
      </c>
    </row>
    <row r="95" spans="4:13" x14ac:dyDescent="0.3">
      <c r="D95">
        <f t="shared" si="14"/>
        <v>2020</v>
      </c>
      <c r="E95" t="s">
        <v>10</v>
      </c>
      <c r="F95" s="8">
        <f t="shared" ca="1" si="12"/>
        <v>0.32494494448622568</v>
      </c>
      <c r="G95">
        <f ca="1">IF($A$1=0,"",ROUND(_xlfn.NORM.INV(טבלה1[[#This Row],[Rand]],A0+Trend*(ROW()-1),Std)*INDEX(SeasonalityTable,Seasonality,MATCH(טבלה1[[#This Row],[Month]],Months,0)),0))</f>
        <v>578</v>
      </c>
      <c r="H95">
        <f t="shared" si="13"/>
        <v>578.15639999999996</v>
      </c>
      <c r="I95">
        <f ca="1">טבלה1[[#This Row],[Demand]]-טבלה1[[#This Row],[est]]</f>
        <v>-0.15639999999996235</v>
      </c>
      <c r="L95" t="s">
        <v>8</v>
      </c>
      <c r="M95">
        <v>700</v>
      </c>
    </row>
    <row r="96" spans="4:13" x14ac:dyDescent="0.3">
      <c r="D96">
        <f t="shared" si="14"/>
        <v>2020</v>
      </c>
      <c r="E96" t="s">
        <v>11</v>
      </c>
      <c r="F96" s="8">
        <f t="shared" ca="1" si="12"/>
        <v>0.48562706186993032</v>
      </c>
      <c r="G96">
        <f ca="1">IF($A$1=0,"",ROUND(_xlfn.NORM.INV(טבלה1[[#This Row],[Rand]],A0+Trend*(ROW()-1),Std)*INDEX(SeasonalityTable,Seasonality,MATCH(טבלה1[[#This Row],[Month]],Months,0)),0))</f>
        <v>681</v>
      </c>
      <c r="H96">
        <f t="shared" si="13"/>
        <v>681.04050000000007</v>
      </c>
      <c r="I96">
        <f ca="1">טבלה1[[#This Row],[Demand]]-טבלה1[[#This Row],[est]]</f>
        <v>-4.0500000000065484E-2</v>
      </c>
      <c r="L96" t="s">
        <v>9</v>
      </c>
      <c r="M96">
        <v>577</v>
      </c>
    </row>
    <row r="97" spans="4:13" x14ac:dyDescent="0.3">
      <c r="D97">
        <f t="shared" si="14"/>
        <v>2020</v>
      </c>
      <c r="E97" t="s">
        <v>12</v>
      </c>
      <c r="F97" s="8">
        <f t="shared" ca="1" si="12"/>
        <v>7.441501586883803E-2</v>
      </c>
      <c r="G97">
        <f ca="1">IF($A$1=0,"",ROUND(_xlfn.NORM.INV(טבלה1[[#This Row],[Rand]],A0+Trend*(ROW()-1),Std)*INDEX(SeasonalityTable,Seasonality,MATCH(טבלה1[[#This Row],[Month]],Months,0)),0))</f>
        <v>525</v>
      </c>
      <c r="H97">
        <f t="shared" si="13"/>
        <v>526.35439999999994</v>
      </c>
      <c r="I97">
        <f ca="1">טבלה1[[#This Row],[Demand]]-טבלה1[[#This Row],[est]]</f>
        <v>-1.3543999999999414</v>
      </c>
      <c r="L97" t="s">
        <v>10</v>
      </c>
      <c r="M97">
        <v>578</v>
      </c>
    </row>
    <row r="98" spans="4:13" x14ac:dyDescent="0.3">
      <c r="D98">
        <f t="shared" si="14"/>
        <v>2021</v>
      </c>
      <c r="E98" t="s">
        <v>13</v>
      </c>
      <c r="F98" s="8">
        <f t="shared" ca="1" si="12"/>
        <v>0.15042550127343679</v>
      </c>
      <c r="G98">
        <f ca="1">IF($A$1=0,"",ROUND(_xlfn.NORM.INV(טבלה1[[#This Row],[Rand]],A0+Trend*(ROW()-1),Std)*INDEX(SeasonalityTable,Seasonality,MATCH(טבלה1[[#This Row],[Month]],Months,0)),0))</f>
        <v>682</v>
      </c>
      <c r="H98">
        <f t="shared" ref="H98:H121" si="15">(A0+(ROW()-1)*Trend)*INDEX(SeasonalityTable,Seasonality,MOD(ROW()-2,12)+1)</f>
        <v>683.79360000000008</v>
      </c>
      <c r="I98">
        <f ca="1">טבלה1[[#This Row],[Demand]]-טבלה1[[#This Row],[est]]</f>
        <v>-1.7936000000000831</v>
      </c>
      <c r="L98" t="s">
        <v>11</v>
      </c>
      <c r="M98">
        <v>683</v>
      </c>
    </row>
    <row r="99" spans="4:13" x14ac:dyDescent="0.3">
      <c r="D99">
        <f t="shared" si="14"/>
        <v>2021</v>
      </c>
      <c r="E99" t="s">
        <v>14</v>
      </c>
      <c r="F99" s="8">
        <f t="shared" ca="1" si="12"/>
        <v>0.95840993480156211</v>
      </c>
      <c r="G99">
        <f ca="1">IF($A$1=0,"",ROUND(_xlfn.NORM.INV(טבלה1[[#This Row],[Rand]],A0+Trend*(ROW()-1),Std)*INDEX(SeasonalityTable,Seasonality,MATCH(טבלה1[[#This Row],[Month]],Months,0)),0))</f>
        <v>636</v>
      </c>
      <c r="H99">
        <f t="shared" si="15"/>
        <v>633.38080000000002</v>
      </c>
      <c r="I99">
        <f ca="1">טבלה1[[#This Row],[Demand]]-טבלה1[[#This Row],[est]]</f>
        <v>2.619199999999978</v>
      </c>
      <c r="L99" t="s">
        <v>12</v>
      </c>
      <c r="M99">
        <v>524</v>
      </c>
    </row>
    <row r="100" spans="4:13" x14ac:dyDescent="0.3">
      <c r="D100">
        <f t="shared" si="14"/>
        <v>2021</v>
      </c>
      <c r="E100" t="s">
        <v>15</v>
      </c>
      <c r="F100" s="8">
        <f t="shared" ca="1" si="12"/>
        <v>0.10877171577530664</v>
      </c>
      <c r="G100">
        <f ca="1">IF($A$1=0,"",ROUND(_xlfn.NORM.INV(טבלה1[[#This Row],[Rand]],A0+Trend*(ROW()-1),Std)*INDEX(SeasonalityTable,Seasonality,MATCH(טבלה1[[#This Row],[Month]],Months,0)),0))</f>
        <v>557</v>
      </c>
      <c r="H100">
        <f t="shared" si="15"/>
        <v>558.90920000000006</v>
      </c>
      <c r="I100">
        <f ca="1">טבלה1[[#This Row],[Demand]]-טבלה1[[#This Row],[est]]</f>
        <v>-1.9092000000000553</v>
      </c>
      <c r="K100">
        <v>2021</v>
      </c>
      <c r="L100" t="s">
        <v>13</v>
      </c>
      <c r="M100">
        <v>684</v>
      </c>
    </row>
    <row r="101" spans="4:13" x14ac:dyDescent="0.3">
      <c r="D101">
        <f t="shared" si="14"/>
        <v>2021</v>
      </c>
      <c r="E101" t="s">
        <v>16</v>
      </c>
      <c r="F101" s="8">
        <f t="shared" ca="1" si="12"/>
        <v>0.81832430771690445</v>
      </c>
      <c r="G101">
        <f ca="1">IF($A$1=0,"",ROUND(_xlfn.NORM.INV(טבלה1[[#This Row],[Rand]],A0+Trend*(ROW()-1),Std)*INDEX(SeasonalityTable,Seasonality,MATCH(טבלה1[[#This Row],[Month]],Months,0)),0))</f>
        <v>662</v>
      </c>
      <c r="H101">
        <f t="shared" si="15"/>
        <v>660.54000000000008</v>
      </c>
      <c r="I101">
        <f ca="1">טבלה1[[#This Row],[Demand]]-טבלה1[[#This Row],[est]]</f>
        <v>1.4599999999999227</v>
      </c>
      <c r="L101" t="s">
        <v>14</v>
      </c>
      <c r="M101">
        <v>631</v>
      </c>
    </row>
    <row r="102" spans="4:13" x14ac:dyDescent="0.3">
      <c r="D102">
        <f t="shared" si="14"/>
        <v>2021</v>
      </c>
      <c r="E102" t="s">
        <v>5</v>
      </c>
      <c r="F102" s="8">
        <f t="shared" ca="1" si="12"/>
        <v>0.53365679053478532</v>
      </c>
      <c r="G102">
        <f ca="1">IF($A$1=0,"",ROUND(_xlfn.NORM.INV(טבלה1[[#This Row],[Rand]],A0+Trend*(ROW()-1),Std)*INDEX(SeasonalityTable,Seasonality,MATCH(טבלה1[[#This Row],[Month]],Months,0)),0))</f>
        <v>550</v>
      </c>
      <c r="H102">
        <f t="shared" si="15"/>
        <v>550.08590000000004</v>
      </c>
      <c r="I102">
        <f ca="1">טבלה1[[#This Row],[Demand]]-טבלה1[[#This Row],[est]]</f>
        <v>-8.5900000000037835E-2</v>
      </c>
      <c r="L102" t="s">
        <v>15</v>
      </c>
      <c r="M102">
        <v>559</v>
      </c>
    </row>
    <row r="103" spans="4:13" x14ac:dyDescent="0.3">
      <c r="D103">
        <f t="shared" si="14"/>
        <v>2021</v>
      </c>
      <c r="E103" t="s">
        <v>6</v>
      </c>
      <c r="F103" s="8">
        <f t="shared" ca="1" si="12"/>
        <v>0.5463297574305418</v>
      </c>
      <c r="G103">
        <f ca="1">IF($A$1=0,"",ROUND(_xlfn.NORM.INV(טבלה1[[#This Row],[Rand]],A0+Trend*(ROW()-1),Std)*INDEX(SeasonalityTable,Seasonality,MATCH(טבלה1[[#This Row],[Month]],Months,0)),0))</f>
        <v>561</v>
      </c>
      <c r="H103">
        <f t="shared" si="15"/>
        <v>560.77139999999997</v>
      </c>
      <c r="I103">
        <f ca="1">טבלה1[[#This Row],[Demand]]-טבלה1[[#This Row],[est]]</f>
        <v>0.22860000000002856</v>
      </c>
      <c r="L103" t="s">
        <v>16</v>
      </c>
      <c r="M103">
        <v>659</v>
      </c>
    </row>
    <row r="104" spans="4:13" x14ac:dyDescent="0.3">
      <c r="D104">
        <f t="shared" si="14"/>
        <v>2021</v>
      </c>
      <c r="E104" t="s">
        <v>7</v>
      </c>
      <c r="F104" s="8">
        <f t="shared" ca="1" si="12"/>
        <v>0.11056184062519414</v>
      </c>
      <c r="G104">
        <f ca="1">IF($A$1=0,"",ROUND(_xlfn.NORM.INV(טבלה1[[#This Row],[Rand]],A0+Trend*(ROW()-1),Std)*INDEX(SeasonalityTable,Seasonality,MATCH(טבלה1[[#This Row],[Month]],Months,0)),0))</f>
        <v>606</v>
      </c>
      <c r="H104">
        <f t="shared" si="15"/>
        <v>607.48470000000009</v>
      </c>
      <c r="I104">
        <f ca="1">טבלה1[[#This Row],[Demand]]-טבלה1[[#This Row],[est]]</f>
        <v>-1.4847000000000889</v>
      </c>
      <c r="L104" t="s">
        <v>5</v>
      </c>
      <c r="M104">
        <v>550</v>
      </c>
    </row>
    <row r="105" spans="4:13" x14ac:dyDescent="0.3">
      <c r="D105">
        <f t="shared" si="14"/>
        <v>2021</v>
      </c>
      <c r="E105" t="s">
        <v>8</v>
      </c>
      <c r="F105" s="8">
        <f t="shared" ca="1" si="12"/>
        <v>0.82993121800856606</v>
      </c>
      <c r="G105">
        <f ca="1">IF($A$1=0,"",ROUND(_xlfn.NORM.INV(טבלה1[[#This Row],[Rand]],A0+Trend*(ROW()-1),Std)*INDEX(SeasonalityTable,Seasonality,MATCH(טבלה1[[#This Row],[Month]],Months,0)),0))</f>
        <v>679</v>
      </c>
      <c r="H105">
        <f t="shared" si="15"/>
        <v>677.95479999999998</v>
      </c>
      <c r="I105">
        <f ca="1">טבלה1[[#This Row],[Demand]]-טבלה1[[#This Row],[est]]</f>
        <v>1.0452000000000226</v>
      </c>
      <c r="L105" t="s">
        <v>6</v>
      </c>
      <c r="M105">
        <v>560</v>
      </c>
    </row>
    <row r="106" spans="4:13" x14ac:dyDescent="0.3">
      <c r="D106">
        <f t="shared" si="14"/>
        <v>2021</v>
      </c>
      <c r="E106" t="s">
        <v>9</v>
      </c>
      <c r="F106" s="8">
        <f t="shared" ca="1" si="12"/>
        <v>0.27015687165547009</v>
      </c>
      <c r="G106">
        <f ca="1">IF($A$1=0,"",ROUND(_xlfn.NORM.INV(טבלה1[[#This Row],[Rand]],A0+Trend*(ROW()-1),Std)*INDEX(SeasonalityTable,Seasonality,MATCH(טבלה1[[#This Row],[Month]],Months,0)),0))</f>
        <v>562</v>
      </c>
      <c r="H106">
        <f t="shared" si="15"/>
        <v>562.54300000000001</v>
      </c>
      <c r="I106">
        <f ca="1">טבלה1[[#This Row],[Demand]]-טבלה1[[#This Row],[est]]</f>
        <v>-0.54300000000000637</v>
      </c>
      <c r="L106" t="s">
        <v>7</v>
      </c>
      <c r="M106">
        <v>608</v>
      </c>
    </row>
    <row r="107" spans="4:13" x14ac:dyDescent="0.3">
      <c r="D107">
        <f t="shared" si="14"/>
        <v>2021</v>
      </c>
      <c r="E107" t="s">
        <v>10</v>
      </c>
      <c r="F107" s="8">
        <f t="shared" ca="1" si="12"/>
        <v>4.5847711155642568E-2</v>
      </c>
      <c r="G107">
        <f ca="1">IF($A$1=0,"",ROUND(_xlfn.NORM.INV(טבלה1[[#This Row],[Rand]],A0+Trend*(ROW()-1),Std)*INDEX(SeasonalityTable,Seasonality,MATCH(טבלה1[[#This Row],[Month]],Months,0)),0))</f>
        <v>559</v>
      </c>
      <c r="H107">
        <f t="shared" si="15"/>
        <v>561.12360000000001</v>
      </c>
      <c r="I107">
        <f ca="1">טבלה1[[#This Row],[Demand]]-טבלה1[[#This Row],[est]]</f>
        <v>-2.1236000000000104</v>
      </c>
      <c r="L107" t="s">
        <v>8</v>
      </c>
      <c r="M107">
        <v>682</v>
      </c>
    </row>
    <row r="108" spans="4:13" x14ac:dyDescent="0.3">
      <c r="D108">
        <f t="shared" si="14"/>
        <v>2021</v>
      </c>
      <c r="E108" t="s">
        <v>11</v>
      </c>
      <c r="F108" s="8">
        <f t="shared" ca="1" si="12"/>
        <v>9.6131995297042527E-2</v>
      </c>
      <c r="G108">
        <f ca="1">IF($A$1=0,"",ROUND(_xlfn.NORM.INV(טבלה1[[#This Row],[Rand]],A0+Trend*(ROW()-1),Std)*INDEX(SeasonalityTable,Seasonality,MATCH(טבלה1[[#This Row],[Month]],Months,0)),0))</f>
        <v>659</v>
      </c>
      <c r="H108">
        <f t="shared" si="15"/>
        <v>660.92730000000017</v>
      </c>
      <c r="I108">
        <f ca="1">טבלה1[[#This Row],[Demand]]-טבלה1[[#This Row],[est]]</f>
        <v>-1.927300000000173</v>
      </c>
      <c r="L108" t="s">
        <v>9</v>
      </c>
      <c r="M108">
        <v>562</v>
      </c>
    </row>
    <row r="109" spans="4:13" x14ac:dyDescent="0.3">
      <c r="D109">
        <f t="shared" si="14"/>
        <v>2021</v>
      </c>
      <c r="E109" t="s">
        <v>12</v>
      </c>
      <c r="F109" s="8">
        <f t="shared" ca="1" si="12"/>
        <v>0.47017067213499186</v>
      </c>
      <c r="G109">
        <f ca="1">IF($A$1=0,"",ROUND(_xlfn.NORM.INV(טבלה1[[#This Row],[Rand]],A0+Trend*(ROW()-1),Std)*INDEX(SeasonalityTable,Seasonality,MATCH(טבלה1[[#This Row],[Month]],Months,0)),0))</f>
        <v>511</v>
      </c>
      <c r="H109">
        <f t="shared" si="15"/>
        <v>510.77119999999996</v>
      </c>
      <c r="I109">
        <f ca="1">טבלה1[[#This Row],[Demand]]-טבלה1[[#This Row],[est]]</f>
        <v>0.2288000000000352</v>
      </c>
      <c r="L109" t="s">
        <v>10</v>
      </c>
      <c r="M109">
        <v>561</v>
      </c>
    </row>
    <row r="110" spans="4:13" x14ac:dyDescent="0.3">
      <c r="D110">
        <f t="shared" si="14"/>
        <v>2022</v>
      </c>
      <c r="E110" t="s">
        <v>13</v>
      </c>
      <c r="F110" s="8">
        <f t="shared" ca="1" si="12"/>
        <v>0.681544196098119</v>
      </c>
      <c r="G110">
        <f ca="1">IF($A$1=0,"",ROUND(_xlfn.NORM.INV(טבלה1[[#This Row],[Rand]],A0+Trend*(ROW()-1),Std)*INDEX(SeasonalityTable,Seasonality,MATCH(טבלה1[[#This Row],[Month]],Months,0)),0))</f>
        <v>664</v>
      </c>
      <c r="H110">
        <f t="shared" si="15"/>
        <v>663.49919999999997</v>
      </c>
      <c r="I110">
        <f ca="1">טבלה1[[#This Row],[Demand]]-טבלה1[[#This Row],[est]]</f>
        <v>0.50080000000002656</v>
      </c>
      <c r="L110" t="s">
        <v>11</v>
      </c>
      <c r="M110">
        <v>662</v>
      </c>
    </row>
    <row r="111" spans="4:13" x14ac:dyDescent="0.3">
      <c r="D111">
        <f t="shared" si="14"/>
        <v>2022</v>
      </c>
      <c r="E111" t="s">
        <v>14</v>
      </c>
      <c r="F111" s="8">
        <f t="shared" ca="1" si="12"/>
        <v>0.20253525193008182</v>
      </c>
      <c r="G111">
        <f ca="1">IF($A$1=0,"",ROUND(_xlfn.NORM.INV(טבלה1[[#This Row],[Rand]],A0+Trend*(ROW()-1),Std)*INDEX(SeasonalityTable,Seasonality,MATCH(טבלה1[[#This Row],[Month]],Months,0)),0))</f>
        <v>613</v>
      </c>
      <c r="H111">
        <f t="shared" si="15"/>
        <v>614.53599999999994</v>
      </c>
      <c r="I111">
        <f ca="1">טבלה1[[#This Row],[Demand]]-טבלה1[[#This Row],[est]]</f>
        <v>-1.5359999999999445</v>
      </c>
      <c r="L111" t="s">
        <v>12</v>
      </c>
      <c r="M111">
        <v>511</v>
      </c>
    </row>
    <row r="112" spans="4:13" x14ac:dyDescent="0.3">
      <c r="D112">
        <f t="shared" si="14"/>
        <v>2022</v>
      </c>
      <c r="E112" t="s">
        <v>15</v>
      </c>
      <c r="F112" s="8">
        <f t="shared" ca="1" si="12"/>
        <v>0.15684693913389458</v>
      </c>
      <c r="G112">
        <f ca="1">IF($A$1=0,"",ROUND(_xlfn.NORM.INV(טבלה1[[#This Row],[Rand]],A0+Trend*(ROW()-1),Std)*INDEX(SeasonalityTable,Seasonality,MATCH(טבלה1[[#This Row],[Month]],Months,0)),0))</f>
        <v>541</v>
      </c>
      <c r="H112">
        <f t="shared" si="15"/>
        <v>542.23879999999997</v>
      </c>
      <c r="I112">
        <f ca="1">טבלה1[[#This Row],[Demand]]-טבלה1[[#This Row],[est]]</f>
        <v>-1.2387999999999693</v>
      </c>
      <c r="K112">
        <v>2022</v>
      </c>
      <c r="L112" t="s">
        <v>13</v>
      </c>
      <c r="M112">
        <v>663</v>
      </c>
    </row>
    <row r="113" spans="4:13" x14ac:dyDescent="0.3">
      <c r="D113">
        <f t="shared" si="14"/>
        <v>2022</v>
      </c>
      <c r="E113" t="s">
        <v>16</v>
      </c>
      <c r="F113" s="8">
        <f t="shared" ca="1" si="12"/>
        <v>0.45326351199183113</v>
      </c>
      <c r="G113">
        <f ca="1">IF($A$1=0,"",ROUND(_xlfn.NORM.INV(טבלה1[[#This Row],[Rand]],A0+Trend*(ROW()-1),Std)*INDEX(SeasonalityTable,Seasonality,MATCH(טבלה1[[#This Row],[Month]],Months,0)),0))</f>
        <v>641</v>
      </c>
      <c r="H113">
        <f t="shared" si="15"/>
        <v>640.78920000000005</v>
      </c>
      <c r="I113">
        <f ca="1">טבלה1[[#This Row],[Demand]]-טבלה1[[#This Row],[est]]</f>
        <v>0.21079999999994925</v>
      </c>
      <c r="L113" t="s">
        <v>14</v>
      </c>
      <c r="M113">
        <v>617</v>
      </c>
    </row>
    <row r="114" spans="4:13" x14ac:dyDescent="0.3">
      <c r="D114">
        <f t="shared" si="14"/>
        <v>2022</v>
      </c>
      <c r="E114" t="s">
        <v>5</v>
      </c>
      <c r="F114" s="8">
        <f t="shared" ca="1" si="12"/>
        <v>0.92763428789919344</v>
      </c>
      <c r="G114">
        <f ca="1">IF($A$1=0,"",ROUND(_xlfn.NORM.INV(טבלה1[[#This Row],[Rand]],A0+Trend*(ROW()-1),Std)*INDEX(SeasonalityTable,Seasonality,MATCH(טבלה1[[#This Row],[Month]],Months,0)),0))</f>
        <v>535</v>
      </c>
      <c r="H114">
        <f t="shared" si="15"/>
        <v>533.59670000000006</v>
      </c>
      <c r="I114">
        <f ca="1">טבלה1[[#This Row],[Demand]]-טבלה1[[#This Row],[est]]</f>
        <v>1.4032999999999447</v>
      </c>
      <c r="L114" t="s">
        <v>15</v>
      </c>
      <c r="M114">
        <v>543</v>
      </c>
    </row>
    <row r="115" spans="4:13" x14ac:dyDescent="0.3">
      <c r="D115">
        <f t="shared" si="14"/>
        <v>2022</v>
      </c>
      <c r="E115" t="s">
        <v>6</v>
      </c>
      <c r="F115" s="8">
        <f t="shared" ca="1" si="12"/>
        <v>0.78861900041772748</v>
      </c>
      <c r="G115">
        <f ca="1">IF($A$1=0,"",ROUND(_xlfn.NORM.INV(טבלה1[[#This Row],[Rand]],A0+Trend*(ROW()-1),Std)*INDEX(SeasonalityTable,Seasonality,MATCH(טבלה1[[#This Row],[Month]],Months,0)),0))</f>
        <v>545</v>
      </c>
      <c r="H115">
        <f t="shared" si="15"/>
        <v>543.91980000000001</v>
      </c>
      <c r="I115">
        <f ca="1">טבלה1[[#This Row],[Demand]]-טבלה1[[#This Row],[est]]</f>
        <v>1.0801999999999907</v>
      </c>
      <c r="L115" t="s">
        <v>16</v>
      </c>
      <c r="M115">
        <v>640</v>
      </c>
    </row>
    <row r="116" spans="4:13" x14ac:dyDescent="0.3">
      <c r="D116">
        <f t="shared" si="14"/>
        <v>2022</v>
      </c>
      <c r="E116" t="s">
        <v>7</v>
      </c>
      <c r="F116" s="8">
        <f t="shared" ca="1" si="12"/>
        <v>0.89925544154677217</v>
      </c>
      <c r="G116">
        <f ca="1">IF($A$1=0,"",ROUND(_xlfn.NORM.INV(טבלה1[[#This Row],[Rand]],A0+Trend*(ROW()-1),Std)*INDEX(SeasonalityTable,Seasonality,MATCH(טבלה1[[#This Row],[Month]],Months,0)),0))</f>
        <v>591</v>
      </c>
      <c r="H116">
        <f t="shared" si="15"/>
        <v>589.18349999999998</v>
      </c>
      <c r="I116">
        <f ca="1">טבלה1[[#This Row],[Demand]]-טבלה1[[#This Row],[est]]</f>
        <v>1.8165000000000191</v>
      </c>
      <c r="L116" t="s">
        <v>5</v>
      </c>
      <c r="M116">
        <v>536</v>
      </c>
    </row>
    <row r="117" spans="4:13" x14ac:dyDescent="0.3">
      <c r="D117">
        <f t="shared" si="14"/>
        <v>2022</v>
      </c>
      <c r="E117" t="s">
        <v>8</v>
      </c>
      <c r="F117" s="8">
        <f t="shared" ca="1" si="12"/>
        <v>0.43463082018770216</v>
      </c>
      <c r="G117">
        <f ca="1">IF($A$1=0,"",ROUND(_xlfn.NORM.INV(טבלה1[[#This Row],[Rand]],A0+Trend*(ROW()-1),Std)*INDEX(SeasonalityTable,Seasonality,MATCH(טבלה1[[#This Row],[Month]],Months,0)),0))</f>
        <v>657</v>
      </c>
      <c r="H117">
        <f t="shared" si="15"/>
        <v>657.47919999999999</v>
      </c>
      <c r="I117">
        <f ca="1">טבלה1[[#This Row],[Demand]]-טבלה1[[#This Row],[est]]</f>
        <v>-0.47919999999999163</v>
      </c>
      <c r="L117" t="s">
        <v>6</v>
      </c>
      <c r="M117">
        <v>542</v>
      </c>
    </row>
    <row r="118" spans="4:13" x14ac:dyDescent="0.3">
      <c r="D118">
        <f t="shared" si="14"/>
        <v>2022</v>
      </c>
      <c r="E118" t="s">
        <v>9</v>
      </c>
      <c r="F118" s="8">
        <f t="shared" ca="1" si="12"/>
        <v>0.40003533994126783</v>
      </c>
      <c r="G118">
        <f ca="1">IF($A$1=0,"",ROUND(_xlfn.NORM.INV(טבלה1[[#This Row],[Rand]],A0+Trend*(ROW()-1),Std)*INDEX(SeasonalityTable,Seasonality,MATCH(טבלה1[[#This Row],[Month]],Months,0)),0))</f>
        <v>545</v>
      </c>
      <c r="H118">
        <f t="shared" si="15"/>
        <v>545.51020000000005</v>
      </c>
      <c r="I118">
        <f ca="1">טבלה1[[#This Row],[Demand]]-טבלה1[[#This Row],[est]]</f>
        <v>-0.51020000000005439</v>
      </c>
      <c r="L118" t="s">
        <v>7</v>
      </c>
      <c r="M118">
        <v>590</v>
      </c>
    </row>
    <row r="119" spans="4:13" x14ac:dyDescent="0.3">
      <c r="D119">
        <f t="shared" si="14"/>
        <v>2022</v>
      </c>
      <c r="E119" t="s">
        <v>10</v>
      </c>
      <c r="F119" s="8">
        <f t="shared" ca="1" si="12"/>
        <v>0.25603317963315042</v>
      </c>
      <c r="G119">
        <f ca="1">IF($A$1=0,"",ROUND(_xlfn.NORM.INV(טבלה1[[#This Row],[Rand]],A0+Trend*(ROW()-1),Std)*INDEX(SeasonalityTable,Seasonality,MATCH(טבלה1[[#This Row],[Month]],Months,0)),0))</f>
        <v>543</v>
      </c>
      <c r="H119">
        <f t="shared" si="15"/>
        <v>544.09079999999994</v>
      </c>
      <c r="I119">
        <f ca="1">טבלה1[[#This Row],[Demand]]-טבלה1[[#This Row],[est]]</f>
        <v>-1.0907999999999447</v>
      </c>
      <c r="L119" t="s">
        <v>8</v>
      </c>
      <c r="M119">
        <v>656</v>
      </c>
    </row>
    <row r="120" spans="4:13" x14ac:dyDescent="0.3">
      <c r="D120">
        <f t="shared" si="14"/>
        <v>2022</v>
      </c>
      <c r="E120" t="s">
        <v>11</v>
      </c>
      <c r="F120" s="8">
        <f t="shared" ca="1" si="12"/>
        <v>0.84029543301702148</v>
      </c>
      <c r="G120">
        <f ca="1">IF($A$1=0,"",ROUND(_xlfn.NORM.INV(טבלה1[[#This Row],[Rand]],A0+Trend*(ROW()-1),Std)*INDEX(SeasonalityTable,Seasonality,MATCH(טבלה1[[#This Row],[Month]],Months,0)),0))</f>
        <v>642</v>
      </c>
      <c r="H120">
        <f t="shared" si="15"/>
        <v>640.81409999999994</v>
      </c>
      <c r="I120">
        <f ca="1">טבלה1[[#This Row],[Demand]]-טבלה1[[#This Row],[est]]</f>
        <v>1.1859000000000606</v>
      </c>
      <c r="L120" t="s">
        <v>9</v>
      </c>
      <c r="M120">
        <v>547</v>
      </c>
    </row>
    <row r="121" spans="4:13" x14ac:dyDescent="0.3">
      <c r="D121">
        <f t="shared" si="14"/>
        <v>2022</v>
      </c>
      <c r="E121" t="s">
        <v>12</v>
      </c>
      <c r="F121" s="8">
        <f t="shared" ca="1" si="12"/>
        <v>0.46252472102417996</v>
      </c>
      <c r="G121">
        <f ca="1">IF($A$1=0,"",ROUND(_xlfn.NORM.INV(טבלה1[[#This Row],[Rand]],A0+Trend*(ROW()-1),Std)*INDEX(SeasonalityTable,Seasonality,MATCH(טבלה1[[#This Row],[Month]],Months,0)),0))</f>
        <v>495</v>
      </c>
      <c r="H121">
        <f t="shared" si="15"/>
        <v>495.18799999999993</v>
      </c>
      <c r="I121">
        <f ca="1">טבלה1[[#This Row],[Demand]]-טבלה1[[#This Row],[est]]</f>
        <v>-0.18799999999993133</v>
      </c>
      <c r="L121" t="s">
        <v>10</v>
      </c>
      <c r="M121">
        <v>545</v>
      </c>
    </row>
    <row r="122" spans="4:13" x14ac:dyDescent="0.3">
      <c r="L122" t="s">
        <v>11</v>
      </c>
      <c r="M122">
        <v>640</v>
      </c>
    </row>
    <row r="123" spans="4:13" x14ac:dyDescent="0.3">
      <c r="L123" t="s">
        <v>12</v>
      </c>
      <c r="M123">
        <v>496</v>
      </c>
    </row>
  </sheetData>
  <pageMargins left="0.7" right="0.7" top="0.75" bottom="0.75" header="0.3" footer="0.3"/>
  <ignoredErrors>
    <ignoredError sqref="AB3:AB13" formulaRange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1A1F-6706-496C-9EC7-41DC6FAB6A78}">
  <dimension ref="A1:E21"/>
  <sheetViews>
    <sheetView tabSelected="1" workbookViewId="0">
      <selection activeCell="E8" sqref="E8"/>
    </sheetView>
  </sheetViews>
  <sheetFormatPr defaultRowHeight="14.4" x14ac:dyDescent="0.3"/>
  <cols>
    <col min="4" max="4" width="14.88671875" customWidth="1"/>
  </cols>
  <sheetData>
    <row r="1" spans="1:5" x14ac:dyDescent="0.3">
      <c r="A1" s="10" t="s">
        <v>38</v>
      </c>
      <c r="B1" s="10" t="s">
        <v>39</v>
      </c>
      <c r="C1" s="10" t="s">
        <v>41</v>
      </c>
      <c r="D1" s="10" t="s">
        <v>42</v>
      </c>
      <c r="E1" s="11" t="s">
        <v>40</v>
      </c>
    </row>
    <row r="2" spans="1:5" x14ac:dyDescent="0.3">
      <c r="A2" s="12">
        <v>1</v>
      </c>
      <c r="B2" s="12"/>
      <c r="C2" s="12">
        <v>2</v>
      </c>
      <c r="D2" s="12" t="s">
        <v>43</v>
      </c>
      <c r="E2" s="28" t="s">
        <v>63</v>
      </c>
    </row>
    <row r="3" spans="1:5" x14ac:dyDescent="0.3">
      <c r="A3" s="12">
        <v>2</v>
      </c>
      <c r="B3" s="12"/>
      <c r="C3" s="12">
        <v>3</v>
      </c>
      <c r="D3" s="12" t="s">
        <v>44</v>
      </c>
      <c r="E3" s="28" t="s">
        <v>61</v>
      </c>
    </row>
    <row r="4" spans="1:5" x14ac:dyDescent="0.3">
      <c r="A4" s="12">
        <v>5</v>
      </c>
      <c r="B4" s="12" t="s">
        <v>46</v>
      </c>
      <c r="C4" s="12">
        <v>2</v>
      </c>
      <c r="D4" s="12" t="s">
        <v>45</v>
      </c>
      <c r="E4" s="40">
        <v>937.14859999999999</v>
      </c>
    </row>
    <row r="5" spans="1:5" x14ac:dyDescent="0.3">
      <c r="A5" s="12">
        <v>5</v>
      </c>
      <c r="B5" s="12" t="s">
        <v>47</v>
      </c>
      <c r="C5" s="12">
        <v>2</v>
      </c>
      <c r="D5" s="12" t="s">
        <v>45</v>
      </c>
      <c r="E5" s="40">
        <v>-4.1798999999999999</v>
      </c>
    </row>
    <row r="6" spans="1:5" x14ac:dyDescent="0.3">
      <c r="A6" s="12">
        <v>5</v>
      </c>
      <c r="B6" s="12" t="s">
        <v>48</v>
      </c>
      <c r="C6" s="12">
        <v>2</v>
      </c>
      <c r="D6" s="12" t="s">
        <v>45</v>
      </c>
      <c r="E6" s="40">
        <v>0.82499999999999996</v>
      </c>
    </row>
    <row r="7" spans="1:5" x14ac:dyDescent="0.3">
      <c r="A7" s="12">
        <v>5</v>
      </c>
      <c r="B7" s="12" t="s">
        <v>49</v>
      </c>
      <c r="C7" s="12">
        <v>2</v>
      </c>
      <c r="D7" s="12" t="s">
        <v>45</v>
      </c>
      <c r="E7" s="40">
        <v>66.341610000000003</v>
      </c>
    </row>
    <row r="8" spans="1:5" ht="100.8" x14ac:dyDescent="0.3">
      <c r="A8" s="12">
        <v>7</v>
      </c>
      <c r="B8" s="12" t="s">
        <v>46</v>
      </c>
      <c r="C8" s="12">
        <v>1</v>
      </c>
      <c r="D8" s="12" t="s">
        <v>45</v>
      </c>
      <c r="E8" s="41" t="s">
        <v>64</v>
      </c>
    </row>
    <row r="9" spans="1:5" x14ac:dyDescent="0.3">
      <c r="A9" s="12">
        <v>7</v>
      </c>
      <c r="B9" s="12" t="s">
        <v>47</v>
      </c>
      <c r="C9" s="12">
        <v>1</v>
      </c>
      <c r="D9" s="12" t="s">
        <v>45</v>
      </c>
      <c r="E9" s="40" t="s">
        <v>65</v>
      </c>
    </row>
    <row r="10" spans="1:5" x14ac:dyDescent="0.3">
      <c r="A10" s="12">
        <v>7</v>
      </c>
      <c r="B10" s="12" t="s">
        <v>48</v>
      </c>
      <c r="C10" s="12">
        <v>1</v>
      </c>
      <c r="D10" s="12" t="s">
        <v>45</v>
      </c>
      <c r="E10" s="40"/>
    </row>
    <row r="11" spans="1:5" x14ac:dyDescent="0.3">
      <c r="A11" s="12">
        <v>7</v>
      </c>
      <c r="B11" s="12" t="s">
        <v>50</v>
      </c>
      <c r="C11" s="12">
        <v>2</v>
      </c>
      <c r="D11" s="12" t="s">
        <v>45</v>
      </c>
      <c r="E11" s="40">
        <v>20.928529999999999</v>
      </c>
    </row>
    <row r="12" spans="1:5" x14ac:dyDescent="0.3">
      <c r="A12" s="12">
        <v>7</v>
      </c>
      <c r="B12" s="12" t="s">
        <v>49</v>
      </c>
      <c r="C12" s="12">
        <v>2</v>
      </c>
      <c r="D12" s="12" t="s">
        <v>45</v>
      </c>
      <c r="E12" s="28"/>
    </row>
    <row r="13" spans="1:5" x14ac:dyDescent="0.3">
      <c r="A13" s="12">
        <v>8</v>
      </c>
      <c r="B13" s="12" t="s">
        <v>46</v>
      </c>
      <c r="C13" s="12">
        <v>3</v>
      </c>
      <c r="D13" s="12" t="s">
        <v>44</v>
      </c>
      <c r="E13" s="28"/>
    </row>
    <row r="14" spans="1:5" x14ac:dyDescent="0.3">
      <c r="A14" s="12">
        <v>8</v>
      </c>
      <c r="B14" s="12" t="s">
        <v>47</v>
      </c>
      <c r="C14" s="12">
        <v>2</v>
      </c>
      <c r="D14" s="12" t="s">
        <v>45</v>
      </c>
      <c r="E14" s="28"/>
    </row>
    <row r="15" spans="1:5" x14ac:dyDescent="0.3">
      <c r="A15" s="12">
        <v>8</v>
      </c>
      <c r="B15" s="12" t="s">
        <v>48</v>
      </c>
      <c r="C15" s="12">
        <v>2</v>
      </c>
      <c r="D15" s="12" t="s">
        <v>45</v>
      </c>
      <c r="E15" s="28"/>
    </row>
    <row r="16" spans="1:5" x14ac:dyDescent="0.3">
      <c r="A16" s="12">
        <v>8</v>
      </c>
      <c r="B16" s="12" t="s">
        <v>50</v>
      </c>
      <c r="C16" s="12">
        <v>2</v>
      </c>
      <c r="D16" s="12" t="s">
        <v>45</v>
      </c>
      <c r="E16" s="40">
        <v>9.349558</v>
      </c>
    </row>
    <row r="17" spans="1:5" x14ac:dyDescent="0.3">
      <c r="A17" s="12">
        <v>8</v>
      </c>
      <c r="B17" s="12" t="s">
        <v>49</v>
      </c>
      <c r="C17" s="12">
        <v>3</v>
      </c>
      <c r="D17" s="12" t="s">
        <v>45</v>
      </c>
      <c r="E17" s="28"/>
    </row>
    <row r="18" spans="1:5" x14ac:dyDescent="0.3">
      <c r="A18" s="12">
        <v>9</v>
      </c>
      <c r="B18" s="12" t="s">
        <v>47</v>
      </c>
      <c r="C18" s="12">
        <v>2</v>
      </c>
      <c r="D18" s="12" t="s">
        <v>45</v>
      </c>
      <c r="E18" s="28"/>
    </row>
    <row r="19" spans="1:5" x14ac:dyDescent="0.3">
      <c r="A19" s="12">
        <v>9</v>
      </c>
      <c r="B19" s="12" t="s">
        <v>48</v>
      </c>
      <c r="C19" s="12">
        <v>2</v>
      </c>
      <c r="D19" s="12" t="s">
        <v>45</v>
      </c>
      <c r="E19" s="28">
        <f>33.88619-(-32.82215)</f>
        <v>66.708339999999993</v>
      </c>
    </row>
    <row r="20" spans="1:5" x14ac:dyDescent="0.3">
      <c r="A20" s="12">
        <v>9</v>
      </c>
      <c r="B20" s="12" t="s">
        <v>50</v>
      </c>
      <c r="C20" s="12">
        <v>5</v>
      </c>
      <c r="D20" s="12" t="s">
        <v>51</v>
      </c>
      <c r="E20" s="28" t="s">
        <v>66</v>
      </c>
    </row>
    <row r="21" spans="1:5" x14ac:dyDescent="0.3">
      <c r="A21" s="13"/>
      <c r="B21" s="13"/>
      <c r="C21" s="13"/>
      <c r="D21" s="13"/>
    </row>
  </sheetData>
  <sheetProtection sheet="1" objects="1" scenarios="1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A4AE-F1F6-4FFB-AD9F-3B5EE71BF85D}">
  <dimension ref="B1:F66"/>
  <sheetViews>
    <sheetView zoomScale="95" zoomScaleNormal="100" workbookViewId="0">
      <selection activeCell="F63" sqref="F63"/>
    </sheetView>
  </sheetViews>
  <sheetFormatPr defaultRowHeight="14.4" x14ac:dyDescent="0.3"/>
  <cols>
    <col min="1" max="1" width="1.5546875" customWidth="1"/>
    <col min="4" max="4" width="22.33203125" customWidth="1"/>
    <col min="5" max="5" width="38.77734375" customWidth="1"/>
    <col min="6" max="6" width="31.6640625" customWidth="1"/>
  </cols>
  <sheetData>
    <row r="1" spans="2:6" ht="18" x14ac:dyDescent="0.35">
      <c r="B1" s="14" t="s">
        <v>39</v>
      </c>
      <c r="C1" s="15" t="s">
        <v>52</v>
      </c>
      <c r="D1" s="16"/>
      <c r="E1" s="16"/>
      <c r="F1" s="17"/>
    </row>
    <row r="2" spans="2:6" ht="18" x14ac:dyDescent="0.35">
      <c r="B2" s="29"/>
      <c r="C2" s="30"/>
      <c r="D2" s="37"/>
      <c r="E2" s="37"/>
      <c r="F2" s="20"/>
    </row>
    <row r="3" spans="2:6" ht="18" x14ac:dyDescent="0.35">
      <c r="B3" s="18" t="s">
        <v>53</v>
      </c>
      <c r="C3" s="19">
        <v>2</v>
      </c>
      <c r="D3" s="19"/>
      <c r="E3" s="19"/>
      <c r="F3" s="43">
        <v>34</v>
      </c>
    </row>
    <row r="4" spans="2:6" ht="18" x14ac:dyDescent="0.35">
      <c r="B4" s="31"/>
      <c r="C4" s="32"/>
      <c r="D4" s="37"/>
      <c r="E4" s="37"/>
      <c r="F4" s="20"/>
    </row>
    <row r="5" spans="2:6" ht="18" x14ac:dyDescent="0.35">
      <c r="B5" s="18"/>
      <c r="C5" s="19"/>
      <c r="D5" s="37"/>
      <c r="E5" s="37"/>
      <c r="F5" s="20"/>
    </row>
    <row r="6" spans="2:6" ht="18" x14ac:dyDescent="0.35">
      <c r="B6" s="18"/>
      <c r="C6" s="19"/>
      <c r="D6" s="37"/>
      <c r="E6" s="37"/>
      <c r="F6" s="20"/>
    </row>
    <row r="7" spans="2:6" ht="18" x14ac:dyDescent="0.35">
      <c r="B7" s="18"/>
      <c r="C7" s="19"/>
      <c r="D7" s="37"/>
      <c r="E7" s="37"/>
      <c r="F7" s="20"/>
    </row>
    <row r="8" spans="2:6" ht="18" x14ac:dyDescent="0.35">
      <c r="B8" s="18"/>
      <c r="C8" s="19"/>
      <c r="D8" s="37"/>
      <c r="E8" s="37"/>
      <c r="F8" s="20"/>
    </row>
    <row r="9" spans="2:6" ht="18" x14ac:dyDescent="0.35">
      <c r="B9" s="18"/>
      <c r="C9" s="19"/>
      <c r="D9" s="37"/>
      <c r="E9" s="37"/>
      <c r="F9" s="20"/>
    </row>
    <row r="10" spans="2:6" ht="18" x14ac:dyDescent="0.35">
      <c r="B10" s="18"/>
      <c r="C10" s="19"/>
      <c r="D10" s="37"/>
      <c r="E10" s="37"/>
      <c r="F10" s="20"/>
    </row>
    <row r="11" spans="2:6" ht="18" x14ac:dyDescent="0.35">
      <c r="B11" s="18"/>
      <c r="C11" s="19"/>
      <c r="D11" s="37"/>
      <c r="E11" s="37"/>
      <c r="F11" s="20"/>
    </row>
    <row r="12" spans="2:6" ht="37.950000000000003" customHeight="1" x14ac:dyDescent="0.35">
      <c r="B12" s="29"/>
      <c r="C12" s="30"/>
      <c r="D12" s="37"/>
      <c r="E12" s="37"/>
      <c r="F12" s="20"/>
    </row>
    <row r="13" spans="2:6" ht="23.55" customHeight="1" x14ac:dyDescent="0.35">
      <c r="B13" s="18" t="s">
        <v>54</v>
      </c>
      <c r="C13" s="19">
        <v>2</v>
      </c>
      <c r="D13" s="19"/>
      <c r="E13" s="19"/>
      <c r="F13" s="39"/>
    </row>
    <row r="14" spans="2:6" ht="14.55" customHeight="1" x14ac:dyDescent="0.35">
      <c r="B14" s="31"/>
      <c r="C14" s="32"/>
      <c r="D14" s="37"/>
      <c r="E14" s="37"/>
      <c r="F14" s="20"/>
    </row>
    <row r="15" spans="2:6" ht="18" x14ac:dyDescent="0.35">
      <c r="B15" s="18"/>
      <c r="C15" s="19"/>
      <c r="D15" s="37"/>
      <c r="E15" s="37"/>
      <c r="F15" s="20"/>
    </row>
    <row r="16" spans="2:6" ht="18" x14ac:dyDescent="0.35">
      <c r="B16" s="18"/>
      <c r="C16" s="19"/>
      <c r="D16" s="37"/>
      <c r="E16" s="37"/>
      <c r="F16" s="20"/>
    </row>
    <row r="17" spans="2:6" ht="18" x14ac:dyDescent="0.35">
      <c r="B17" s="18"/>
      <c r="C17" s="19"/>
      <c r="D17" s="37"/>
      <c r="E17" s="37"/>
      <c r="F17" s="20"/>
    </row>
    <row r="18" spans="2:6" ht="18" x14ac:dyDescent="0.35">
      <c r="B18" s="18"/>
      <c r="C18" s="19"/>
      <c r="D18" s="37"/>
      <c r="E18" s="37"/>
      <c r="F18" s="20"/>
    </row>
    <row r="19" spans="2:6" ht="51" customHeight="1" x14ac:dyDescent="0.35">
      <c r="B19" s="18"/>
      <c r="C19" s="19"/>
      <c r="D19" s="37"/>
      <c r="E19" s="37"/>
      <c r="F19" s="20"/>
    </row>
    <row r="20" spans="2:6" ht="18" x14ac:dyDescent="0.35">
      <c r="B20" s="18"/>
      <c r="C20" s="19"/>
      <c r="D20" s="37"/>
      <c r="E20" s="37"/>
      <c r="F20" s="20"/>
    </row>
    <row r="21" spans="2:6" ht="39.450000000000003" customHeight="1" x14ac:dyDescent="0.35">
      <c r="B21" s="29"/>
      <c r="C21" s="30"/>
      <c r="D21" s="37"/>
      <c r="E21" s="37"/>
      <c r="F21" s="20"/>
    </row>
    <row r="22" spans="2:6" ht="18" x14ac:dyDescent="0.35">
      <c r="B22" s="18" t="s">
        <v>55</v>
      </c>
      <c r="C22" s="19">
        <v>3</v>
      </c>
      <c r="D22" s="19"/>
      <c r="E22" s="19"/>
      <c r="F22" s="39"/>
    </row>
    <row r="23" spans="2:6" ht="18" x14ac:dyDescent="0.35">
      <c r="B23" s="31"/>
      <c r="C23" s="32"/>
      <c r="D23" s="37"/>
      <c r="E23" s="37"/>
      <c r="F23" s="20"/>
    </row>
    <row r="24" spans="2:6" ht="18" x14ac:dyDescent="0.35">
      <c r="B24" s="18"/>
      <c r="C24" s="19"/>
      <c r="D24" s="37"/>
      <c r="E24" s="37"/>
      <c r="F24" s="20"/>
    </row>
    <row r="25" spans="2:6" ht="18" x14ac:dyDescent="0.35">
      <c r="B25" s="18"/>
      <c r="C25" s="19"/>
      <c r="D25" s="37"/>
      <c r="E25" s="37"/>
      <c r="F25" s="20"/>
    </row>
    <row r="26" spans="2:6" ht="18" x14ac:dyDescent="0.35">
      <c r="B26" s="18"/>
      <c r="C26" s="19"/>
      <c r="D26" s="37"/>
      <c r="E26" s="37"/>
      <c r="F26" s="20"/>
    </row>
    <row r="27" spans="2:6" ht="73.05" customHeight="1" x14ac:dyDescent="0.35">
      <c r="B27" s="18"/>
      <c r="C27" s="19"/>
      <c r="D27" s="37"/>
      <c r="E27" s="37"/>
      <c r="F27" s="20"/>
    </row>
    <row r="28" spans="2:6" ht="93" customHeight="1" x14ac:dyDescent="0.35">
      <c r="B28" s="29"/>
      <c r="C28" s="30"/>
      <c r="D28" s="37"/>
      <c r="E28" s="37"/>
      <c r="F28" s="20"/>
    </row>
    <row r="29" spans="2:6" ht="18" x14ac:dyDescent="0.35">
      <c r="B29" s="18" t="s">
        <v>56</v>
      </c>
      <c r="C29" s="19">
        <v>2</v>
      </c>
      <c r="D29" s="19"/>
      <c r="E29" s="19"/>
      <c r="F29" s="42"/>
    </row>
    <row r="30" spans="2:6" ht="18" x14ac:dyDescent="0.35">
      <c r="B30" s="31"/>
      <c r="C30" s="32"/>
      <c r="D30" s="37"/>
      <c r="E30" s="37"/>
      <c r="F30" s="20"/>
    </row>
    <row r="31" spans="2:6" ht="18" x14ac:dyDescent="0.35">
      <c r="B31" s="18"/>
      <c r="C31" s="19"/>
      <c r="D31" s="37"/>
      <c r="E31" s="37"/>
      <c r="F31" s="20"/>
    </row>
    <row r="32" spans="2:6" ht="18" x14ac:dyDescent="0.35">
      <c r="B32" s="18"/>
      <c r="C32" s="19"/>
      <c r="D32" s="37"/>
      <c r="E32" s="37"/>
      <c r="F32" s="20"/>
    </row>
    <row r="33" spans="2:6" ht="81" customHeight="1" x14ac:dyDescent="0.35">
      <c r="B33" s="18"/>
      <c r="C33" s="19"/>
      <c r="D33" s="37"/>
      <c r="E33" s="37"/>
      <c r="F33" s="20"/>
    </row>
    <row r="34" spans="2:6" ht="48" customHeight="1" x14ac:dyDescent="0.35">
      <c r="B34" s="18"/>
      <c r="C34" s="19"/>
      <c r="D34" s="37"/>
      <c r="E34" s="37"/>
      <c r="F34" s="20"/>
    </row>
    <row r="35" spans="2:6" ht="16.95" customHeight="1" x14ac:dyDescent="0.35">
      <c r="B35" s="29"/>
      <c r="C35" s="30"/>
      <c r="D35" s="37"/>
      <c r="E35" s="37"/>
      <c r="F35" s="20"/>
    </row>
    <row r="36" spans="2:6" ht="18" x14ac:dyDescent="0.35">
      <c r="B36" s="18" t="s">
        <v>57</v>
      </c>
      <c r="C36" s="19">
        <v>2</v>
      </c>
      <c r="D36" s="19"/>
      <c r="E36" s="19"/>
      <c r="F36" s="39"/>
    </row>
    <row r="37" spans="2:6" x14ac:dyDescent="0.3">
      <c r="B37" s="33"/>
      <c r="C37" s="34"/>
      <c r="F37" s="23"/>
    </row>
    <row r="38" spans="2:6" x14ac:dyDescent="0.3">
      <c r="B38" s="21"/>
      <c r="C38" s="22"/>
      <c r="F38" s="23"/>
    </row>
    <row r="39" spans="2:6" x14ac:dyDescent="0.3">
      <c r="B39" s="21"/>
      <c r="C39" s="22"/>
      <c r="F39" s="23"/>
    </row>
    <row r="40" spans="2:6" x14ac:dyDescent="0.3">
      <c r="B40" s="21"/>
      <c r="C40" s="22"/>
      <c r="F40" s="23"/>
    </row>
    <row r="41" spans="2:6" ht="66" customHeight="1" x14ac:dyDescent="0.3">
      <c r="B41" s="21"/>
      <c r="C41" s="22"/>
      <c r="F41" s="23"/>
    </row>
    <row r="42" spans="2:6" ht="95.55" customHeight="1" x14ac:dyDescent="0.3">
      <c r="B42" s="35"/>
      <c r="C42" s="36"/>
      <c r="F42" s="23"/>
    </row>
    <row r="43" spans="2:6" ht="18" x14ac:dyDescent="0.35">
      <c r="B43" s="18">
        <v>6</v>
      </c>
      <c r="C43" s="19">
        <v>5</v>
      </c>
      <c r="D43" s="22"/>
      <c r="E43" s="22"/>
      <c r="F43" s="38"/>
    </row>
    <row r="44" spans="2:6" ht="79.5" customHeight="1" x14ac:dyDescent="0.3">
      <c r="B44" s="33"/>
      <c r="C44" s="34"/>
      <c r="F44" s="23"/>
    </row>
    <row r="45" spans="2:6" x14ac:dyDescent="0.3">
      <c r="B45" s="21"/>
      <c r="C45" s="22"/>
      <c r="F45" s="23"/>
    </row>
    <row r="46" spans="2:6" x14ac:dyDescent="0.3">
      <c r="B46" s="21"/>
      <c r="C46" s="22"/>
      <c r="F46" s="23"/>
    </row>
    <row r="47" spans="2:6" x14ac:dyDescent="0.3">
      <c r="B47" s="21"/>
      <c r="C47" s="22"/>
      <c r="F47" s="23"/>
    </row>
    <row r="48" spans="2:6" x14ac:dyDescent="0.3">
      <c r="B48" s="21"/>
      <c r="C48" s="22"/>
      <c r="F48" s="23"/>
    </row>
    <row r="49" spans="2:6" ht="87" customHeight="1" x14ac:dyDescent="0.3">
      <c r="B49" s="35"/>
      <c r="C49" s="36"/>
      <c r="F49" s="23"/>
    </row>
    <row r="50" spans="2:6" ht="18" x14ac:dyDescent="0.35">
      <c r="B50" s="18" t="s">
        <v>58</v>
      </c>
      <c r="C50" s="19">
        <v>3</v>
      </c>
      <c r="D50" s="22"/>
      <c r="E50" s="22"/>
      <c r="F50" s="38"/>
    </row>
    <row r="51" spans="2:6" ht="81.45" customHeight="1" x14ac:dyDescent="0.3">
      <c r="B51" s="33"/>
      <c r="C51" s="34"/>
      <c r="F51" s="23"/>
    </row>
    <row r="52" spans="2:6" x14ac:dyDescent="0.3">
      <c r="B52" s="21"/>
      <c r="C52" s="22"/>
      <c r="F52" s="23"/>
    </row>
    <row r="53" spans="2:6" x14ac:dyDescent="0.3">
      <c r="B53" s="21"/>
      <c r="C53" s="22"/>
      <c r="F53" s="23"/>
    </row>
    <row r="54" spans="2:6" ht="58.5" customHeight="1" x14ac:dyDescent="0.3">
      <c r="B54" s="21"/>
      <c r="C54" s="22"/>
      <c r="F54" s="23"/>
    </row>
    <row r="55" spans="2:6" ht="61.05" customHeight="1" x14ac:dyDescent="0.3">
      <c r="B55" s="35"/>
      <c r="C55" s="36"/>
      <c r="F55" s="23"/>
    </row>
    <row r="56" spans="2:6" ht="16.5" customHeight="1" x14ac:dyDescent="0.35">
      <c r="B56" s="18" t="s">
        <v>59</v>
      </c>
      <c r="C56" s="19">
        <v>2</v>
      </c>
      <c r="D56" s="22"/>
      <c r="E56" s="22"/>
      <c r="F56" s="38"/>
    </row>
    <row r="57" spans="2:6" ht="185.55" customHeight="1" x14ac:dyDescent="0.3">
      <c r="B57" s="33"/>
      <c r="C57" s="34"/>
      <c r="F57" s="23"/>
    </row>
    <row r="58" spans="2:6" ht="59.55" customHeight="1" x14ac:dyDescent="0.3">
      <c r="B58" s="21"/>
      <c r="C58" s="22"/>
      <c r="F58" s="23"/>
    </row>
    <row r="59" spans="2:6" ht="13.05" customHeight="1" x14ac:dyDescent="0.3">
      <c r="B59" s="21"/>
      <c r="C59" s="22"/>
      <c r="F59" s="23"/>
    </row>
    <row r="60" spans="2:6" hidden="1" x14ac:dyDescent="0.3">
      <c r="B60" s="21"/>
      <c r="C60" s="22"/>
      <c r="F60" s="23"/>
    </row>
    <row r="61" spans="2:6" ht="22.05" customHeight="1" x14ac:dyDescent="0.3">
      <c r="B61" s="21"/>
      <c r="C61" s="22"/>
      <c r="F61" s="23"/>
    </row>
    <row r="62" spans="2:6" ht="40.049999999999997" customHeight="1" x14ac:dyDescent="0.3">
      <c r="B62" s="35"/>
      <c r="C62" s="36"/>
      <c r="F62" s="23"/>
    </row>
    <row r="63" spans="2:6" ht="18" x14ac:dyDescent="0.35">
      <c r="B63" s="18" t="s">
        <v>60</v>
      </c>
      <c r="C63" s="19">
        <v>5</v>
      </c>
      <c r="D63" s="22"/>
      <c r="E63" s="22"/>
      <c r="F63" s="38"/>
    </row>
    <row r="64" spans="2:6" ht="133.94999999999999" customHeight="1" x14ac:dyDescent="0.3">
      <c r="B64" s="33"/>
      <c r="C64" s="34"/>
      <c r="F64" s="23"/>
    </row>
    <row r="65" spans="2:6" ht="27.45" customHeight="1" x14ac:dyDescent="0.3">
      <c r="B65" s="21"/>
      <c r="C65" s="22"/>
      <c r="F65" s="23"/>
    </row>
    <row r="66" spans="2:6" ht="145.94999999999999" customHeight="1" thickBot="1" x14ac:dyDescent="0.35">
      <c r="B66" s="24"/>
      <c r="C66" s="25"/>
      <c r="D66" s="26"/>
      <c r="E66" s="26"/>
      <c r="F66" s="27"/>
    </row>
  </sheetData>
  <sheetProtection sheet="1" scenarios="1" formatCells="0" formatColumns="0" formatRows="0" selectLockedCell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E511-3370-497A-B1FE-D06D5848EB8F}">
  <dimension ref="A1:D121"/>
  <sheetViews>
    <sheetView workbookViewId="0">
      <selection activeCell="D20" sqref="D20"/>
    </sheetView>
  </sheetViews>
  <sheetFormatPr defaultRowHeight="14.4" x14ac:dyDescent="0.3"/>
  <cols>
    <col min="1" max="1" width="4.6640625" customWidth="1"/>
    <col min="2" max="2" width="9.109375" customWidth="1"/>
    <col min="3" max="3" width="9.88671875" customWidth="1"/>
  </cols>
  <sheetData>
    <row r="1" spans="1:4" x14ac:dyDescent="0.3">
      <c r="A1" s="5" t="s">
        <v>24</v>
      </c>
      <c r="B1" s="5" t="s">
        <v>23</v>
      </c>
      <c r="C1" s="5" t="s">
        <v>4</v>
      </c>
      <c r="D1" s="5" t="s">
        <v>25</v>
      </c>
    </row>
    <row r="2" spans="1:4" x14ac:dyDescent="0.3">
      <c r="A2">
        <v>1</v>
      </c>
      <c r="B2" s="6">
        <f>טבלה2[[#This Row],[Demand]]/טבלה2[[#This Row],[S]]*(טבלה2[[#This Row],[S]]-1)</f>
        <v>97.327433628318516</v>
      </c>
      <c r="C2">
        <f>Admin!M4</f>
        <v>846</v>
      </c>
      <c r="D2">
        <v>1.1299999999999999</v>
      </c>
    </row>
    <row r="3" spans="1:4" x14ac:dyDescent="0.3">
      <c r="A3">
        <v>2</v>
      </c>
      <c r="B3" s="6">
        <f>טבלה2[[#This Row],[Demand]]/טבלה2[[#This Row],[S]]*(טבלה2[[#This Row],[S]]-1)</f>
        <v>-127.95348837209303</v>
      </c>
      <c r="C3">
        <f>Admin!M5</f>
        <v>786</v>
      </c>
      <c r="D3">
        <v>0.86</v>
      </c>
    </row>
    <row r="4" spans="1:4" x14ac:dyDescent="0.3">
      <c r="A4">
        <v>3</v>
      </c>
      <c r="B4" s="6">
        <f>טבלה2[[#This Row],[Demand]]/טבלה2[[#This Row],[S]]*(טבלה2[[#This Row],[S]]-1)</f>
        <v>90.130434782608646</v>
      </c>
      <c r="C4">
        <f>Admin!M6</f>
        <v>691</v>
      </c>
      <c r="D4">
        <v>1.1499999999999999</v>
      </c>
    </row>
    <row r="5" spans="1:4" x14ac:dyDescent="0.3">
      <c r="A5">
        <v>4</v>
      </c>
      <c r="B5" s="6">
        <f>טבלה2[[#This Row],[Demand]]/טבלה2[[#This Row],[S]]*(טבלה2[[#This Row],[S]]-1)</f>
        <v>-133.32558139534885</v>
      </c>
      <c r="C5">
        <f>Admin!M7</f>
        <v>819</v>
      </c>
      <c r="D5">
        <v>0.86</v>
      </c>
    </row>
    <row r="6" spans="1:4" x14ac:dyDescent="0.3">
      <c r="A6">
        <v>5</v>
      </c>
      <c r="B6" s="6">
        <f>טבלה2[[#This Row],[Demand]]/טבלה2[[#This Row],[S]]*(טבלה2[[#This Row],[S]]-1)</f>
        <v>61.909090909090956</v>
      </c>
      <c r="C6">
        <f>Admin!M8</f>
        <v>681</v>
      </c>
      <c r="D6">
        <v>1.1000000000000001</v>
      </c>
    </row>
    <row r="7" spans="1:4" x14ac:dyDescent="0.3">
      <c r="A7">
        <v>6</v>
      </c>
      <c r="B7" s="6">
        <f>טבלה2[[#This Row],[Demand]]/טבלה2[[#This Row],[S]]*(טבלה2[[#This Row],[S]]-1)</f>
        <v>-76.999999999999986</v>
      </c>
      <c r="C7">
        <f>Admin!M9</f>
        <v>693</v>
      </c>
      <c r="D7">
        <v>0.9</v>
      </c>
    </row>
    <row r="8" spans="1:4" x14ac:dyDescent="0.3">
      <c r="A8">
        <v>7</v>
      </c>
      <c r="B8" s="6">
        <f>טבלה2[[#This Row],[Demand]]/טבלה2[[#This Row],[S]]*(טבלה2[[#This Row],[S]]-1)</f>
        <v>14.784313725490209</v>
      </c>
      <c r="C8">
        <f>Admin!M10</f>
        <v>754</v>
      </c>
      <c r="D8">
        <v>1.02</v>
      </c>
    </row>
    <row r="9" spans="1:4" x14ac:dyDescent="0.3">
      <c r="A9">
        <v>8</v>
      </c>
      <c r="B9" s="6">
        <f>טבלה2[[#This Row],[Demand]]/טבלה2[[#This Row],[S]]*(טבלה2[[#This Row],[S]]-1)</f>
        <v>109.95652173913038</v>
      </c>
      <c r="C9">
        <f>Admin!M11</f>
        <v>843</v>
      </c>
      <c r="D9">
        <v>1.1499999999999999</v>
      </c>
    </row>
    <row r="10" spans="1:4" x14ac:dyDescent="0.3">
      <c r="A10">
        <v>9</v>
      </c>
      <c r="B10" s="6">
        <f>טבלה2[[#This Row],[Demand]]/טבלה2[[#This Row],[S]]*(טבלה2[[#This Row],[S]]-1)</f>
        <v>-123.35294117647061</v>
      </c>
      <c r="C10">
        <f>Admin!M12</f>
        <v>699</v>
      </c>
      <c r="D10">
        <v>0.85</v>
      </c>
    </row>
    <row r="11" spans="1:4" x14ac:dyDescent="0.3">
      <c r="A11">
        <v>10</v>
      </c>
      <c r="B11" s="6">
        <f>טבלה2[[#This Row],[Demand]]/טבלה2[[#This Row],[S]]*(טבלה2[[#This Row],[S]]-1)</f>
        <v>33.238095238095262</v>
      </c>
      <c r="C11">
        <f>Admin!M13</f>
        <v>698</v>
      </c>
      <c r="D11">
        <v>1.05</v>
      </c>
    </row>
    <row r="12" spans="1:4" x14ac:dyDescent="0.3">
      <c r="A12">
        <v>11</v>
      </c>
      <c r="B12" s="6">
        <f>טבלה2[[#This Row],[Demand]]/טבלה2[[#This Row],[S]]*(טבלה2[[#This Row],[S]]-1)</f>
        <v>-101.47191011235954</v>
      </c>
      <c r="C12">
        <f>Admin!M14</f>
        <v>821</v>
      </c>
      <c r="D12">
        <v>0.89</v>
      </c>
    </row>
    <row r="13" spans="1:4" x14ac:dyDescent="0.3">
      <c r="A13">
        <v>12</v>
      </c>
      <c r="B13" s="6">
        <f>טבלה2[[#This Row],[Demand]]/טבלה2[[#This Row],[S]]*(טבלה2[[#This Row],[S]]-1)</f>
        <v>24.461538461538485</v>
      </c>
      <c r="C13">
        <f>Admin!M15</f>
        <v>636</v>
      </c>
      <c r="D13">
        <v>1.04</v>
      </c>
    </row>
    <row r="14" spans="1:4" x14ac:dyDescent="0.3">
      <c r="A14">
        <v>13</v>
      </c>
      <c r="B14" s="6">
        <f>טבלה2[[#This Row],[Demand]]/טבלה2[[#This Row],[S]]*(טבלה2[[#This Row],[S]]-1)</f>
        <v>94.796460176991076</v>
      </c>
      <c r="C14">
        <f>Admin!M16</f>
        <v>824</v>
      </c>
      <c r="D14">
        <v>1.1299999999999999</v>
      </c>
    </row>
    <row r="15" spans="1:4" x14ac:dyDescent="0.3">
      <c r="A15">
        <v>14</v>
      </c>
      <c r="B15" s="6">
        <f>טבלה2[[#This Row],[Demand]]/טבלה2[[#This Row],[S]]*(טבלה2[[#This Row],[S]]-1)</f>
        <v>-124.53488372093024</v>
      </c>
      <c r="C15">
        <f>Admin!M17</f>
        <v>765</v>
      </c>
      <c r="D15">
        <v>0.86</v>
      </c>
    </row>
    <row r="16" spans="1:4" x14ac:dyDescent="0.3">
      <c r="A16">
        <v>15</v>
      </c>
      <c r="B16" s="6">
        <f>טבלה2[[#This Row],[Demand]]/טבלה2[[#This Row],[S]]*(טבלה2[[#This Row],[S]]-1)</f>
        <v>87.913043478260818</v>
      </c>
      <c r="C16">
        <f>Admin!M18</f>
        <v>674</v>
      </c>
      <c r="D16">
        <v>1.1499999999999999</v>
      </c>
    </row>
    <row r="17" spans="1:4" x14ac:dyDescent="0.3">
      <c r="A17">
        <v>16</v>
      </c>
      <c r="B17" s="6">
        <f>טבלה2[[#This Row],[Demand]]/טבלה2[[#This Row],[S]]*(טבלה2[[#This Row],[S]]-1)</f>
        <v>-130.06976744186048</v>
      </c>
      <c r="C17">
        <f>Admin!M19</f>
        <v>799</v>
      </c>
      <c r="D17">
        <v>0.86</v>
      </c>
    </row>
    <row r="18" spans="1:4" x14ac:dyDescent="0.3">
      <c r="A18">
        <v>17</v>
      </c>
      <c r="B18" s="6">
        <f>טבלה2[[#This Row],[Demand]]/טבלה2[[#This Row],[S]]*(טבלה2[[#This Row],[S]]-1)</f>
        <v>60.454545454545503</v>
      </c>
      <c r="C18">
        <f>Admin!M20</f>
        <v>665</v>
      </c>
      <c r="D18">
        <v>1.1000000000000001</v>
      </c>
    </row>
    <row r="19" spans="1:4" x14ac:dyDescent="0.3">
      <c r="A19">
        <v>18</v>
      </c>
      <c r="B19" s="6">
        <f>טבלה2[[#This Row],[Demand]]/טבלה2[[#This Row],[S]]*(טבלה2[[#This Row],[S]]-1)</f>
        <v>-75.555555555555543</v>
      </c>
      <c r="C19">
        <f>Admin!M21</f>
        <v>680</v>
      </c>
      <c r="D19">
        <v>0.9</v>
      </c>
    </row>
    <row r="20" spans="1:4" x14ac:dyDescent="0.3">
      <c r="A20">
        <v>19</v>
      </c>
      <c r="B20" s="6">
        <f>טבלה2[[#This Row],[Demand]]/טבלה2[[#This Row],[S]]*(טבלה2[[#This Row],[S]]-1)</f>
        <v>14.411764705882366</v>
      </c>
      <c r="C20">
        <f>Admin!M22</f>
        <v>735</v>
      </c>
      <c r="D20">
        <v>1.02</v>
      </c>
    </row>
    <row r="21" spans="1:4" x14ac:dyDescent="0.3">
      <c r="A21">
        <v>20</v>
      </c>
      <c r="B21" s="6">
        <f>טבלה2[[#This Row],[Demand]]/טבלה2[[#This Row],[S]]*(טבלה2[[#This Row],[S]]-1)</f>
        <v>107.34782608695646</v>
      </c>
      <c r="C21">
        <f>Admin!M23</f>
        <v>823</v>
      </c>
      <c r="D21">
        <v>1.1499999999999999</v>
      </c>
    </row>
    <row r="22" spans="1:4" x14ac:dyDescent="0.3">
      <c r="A22">
        <v>21</v>
      </c>
      <c r="B22" s="6">
        <f>טבלה2[[#This Row],[Demand]]/טבלה2[[#This Row],[S]]*(טבלה2[[#This Row],[S]]-1)</f>
        <v>-120.17647058823532</v>
      </c>
      <c r="C22">
        <f>Admin!M24</f>
        <v>681</v>
      </c>
      <c r="D22">
        <v>0.85</v>
      </c>
    </row>
    <row r="23" spans="1:4" x14ac:dyDescent="0.3">
      <c r="A23">
        <v>22</v>
      </c>
      <c r="B23" s="6">
        <f>טבלה2[[#This Row],[Demand]]/טבלה2[[#This Row],[S]]*(טבלה2[[#This Row],[S]]-1)</f>
        <v>32.428571428571459</v>
      </c>
      <c r="C23">
        <f>Admin!M25</f>
        <v>681</v>
      </c>
      <c r="D23">
        <v>1.05</v>
      </c>
    </row>
    <row r="24" spans="1:4" x14ac:dyDescent="0.3">
      <c r="A24">
        <v>23</v>
      </c>
      <c r="B24" s="6">
        <f>טבלה2[[#This Row],[Demand]]/טבלה2[[#This Row],[S]]*(טבלה2[[#This Row],[S]]-1)</f>
        <v>-98.876404494382001</v>
      </c>
      <c r="C24">
        <f>Admin!M26</f>
        <v>800</v>
      </c>
      <c r="D24">
        <v>0.89</v>
      </c>
    </row>
    <row r="25" spans="1:4" x14ac:dyDescent="0.3">
      <c r="A25">
        <v>24</v>
      </c>
      <c r="B25" s="6">
        <f>טבלה2[[#This Row],[Demand]]/טבלה2[[#This Row],[S]]*(טבלה2[[#This Row],[S]]-1)</f>
        <v>23.923076923076945</v>
      </c>
      <c r="C25">
        <f>Admin!M27</f>
        <v>622</v>
      </c>
      <c r="D25">
        <v>1.04</v>
      </c>
    </row>
    <row r="26" spans="1:4" x14ac:dyDescent="0.3">
      <c r="A26">
        <v>25</v>
      </c>
      <c r="B26" s="6">
        <f>טבלה2[[#This Row],[Demand]]/טבלה2[[#This Row],[S]]*(טבלה2[[#This Row],[S]]-1)</f>
        <v>92.610619469026489</v>
      </c>
      <c r="C26">
        <f>Admin!M28</f>
        <v>805</v>
      </c>
      <c r="D26">
        <v>1.1299999999999999</v>
      </c>
    </row>
    <row r="27" spans="1:4" x14ac:dyDescent="0.3">
      <c r="A27">
        <v>26</v>
      </c>
      <c r="B27" s="6">
        <f>טבלה2[[#This Row],[Demand]]/טבלה2[[#This Row],[S]]*(טבלה2[[#This Row],[S]]-1)</f>
        <v>-121.44186046511629</v>
      </c>
      <c r="C27">
        <f>Admin!M29</f>
        <v>746</v>
      </c>
      <c r="D27">
        <v>0.86</v>
      </c>
    </row>
    <row r="28" spans="1:4" x14ac:dyDescent="0.3">
      <c r="A28">
        <v>27</v>
      </c>
      <c r="B28" s="6">
        <f>טבלה2[[#This Row],[Demand]]/טבלה2[[#This Row],[S]]*(טבלה2[[#This Row],[S]]-1)</f>
        <v>86.086956521739083</v>
      </c>
      <c r="C28">
        <f>Admin!M30</f>
        <v>660</v>
      </c>
      <c r="D28">
        <v>1.1499999999999999</v>
      </c>
    </row>
    <row r="29" spans="1:4" x14ac:dyDescent="0.3">
      <c r="A29">
        <v>28</v>
      </c>
      <c r="B29" s="6">
        <f>טבלה2[[#This Row],[Demand]]/טבלה2[[#This Row],[S]]*(טבלה2[[#This Row],[S]]-1)</f>
        <v>-126.81395348837211</v>
      </c>
      <c r="C29">
        <f>Admin!M31</f>
        <v>779</v>
      </c>
      <c r="D29">
        <v>0.86</v>
      </c>
    </row>
    <row r="30" spans="1:4" x14ac:dyDescent="0.3">
      <c r="A30">
        <v>29</v>
      </c>
      <c r="B30" s="6">
        <f>טבלה2[[#This Row],[Demand]]/טבלה2[[#This Row],[S]]*(טבלה2[[#This Row],[S]]-1)</f>
        <v>59.00000000000005</v>
      </c>
      <c r="C30">
        <f>Admin!M32</f>
        <v>649</v>
      </c>
      <c r="D30">
        <v>1.1000000000000001</v>
      </c>
    </row>
    <row r="31" spans="1:4" x14ac:dyDescent="0.3">
      <c r="A31">
        <v>30</v>
      </c>
      <c r="B31" s="6">
        <f>טבלה2[[#This Row],[Demand]]/טבלה2[[#This Row],[S]]*(טבלה2[[#This Row],[S]]-1)</f>
        <v>-73.666666666666643</v>
      </c>
      <c r="C31">
        <f>Admin!M33</f>
        <v>663</v>
      </c>
      <c r="D31">
        <v>0.9</v>
      </c>
    </row>
    <row r="32" spans="1:4" x14ac:dyDescent="0.3">
      <c r="A32">
        <v>31</v>
      </c>
      <c r="B32" s="6">
        <f>טבלה2[[#This Row],[Demand]]/טבלה2[[#This Row],[S]]*(טבלה2[[#This Row],[S]]-1)</f>
        <v>14.098039215686287</v>
      </c>
      <c r="C32">
        <f>Admin!M34</f>
        <v>719</v>
      </c>
      <c r="D32">
        <v>1.02</v>
      </c>
    </row>
    <row r="33" spans="1:4" x14ac:dyDescent="0.3">
      <c r="A33">
        <v>32</v>
      </c>
      <c r="B33" s="6">
        <f>טבלה2[[#This Row],[Demand]]/טבלה2[[#This Row],[S]]*(טבלה2[[#This Row],[S]]-1)</f>
        <v>104.08695652173907</v>
      </c>
      <c r="C33">
        <f>Admin!M35</f>
        <v>798</v>
      </c>
      <c r="D33">
        <v>1.1499999999999999</v>
      </c>
    </row>
    <row r="34" spans="1:4" x14ac:dyDescent="0.3">
      <c r="A34">
        <v>33</v>
      </c>
      <c r="B34" s="6">
        <f>טבלה2[[#This Row],[Demand]]/טבלה2[[#This Row],[S]]*(טבלה2[[#This Row],[S]]-1)</f>
        <v>-117.17647058823532</v>
      </c>
      <c r="C34">
        <f>Admin!M36</f>
        <v>664</v>
      </c>
      <c r="D34">
        <v>0.85</v>
      </c>
    </row>
    <row r="35" spans="1:4" x14ac:dyDescent="0.3">
      <c r="A35">
        <v>34</v>
      </c>
      <c r="B35" s="6">
        <f>טבלה2[[#This Row],[Demand]]/טבלה2[[#This Row],[S]]*(טבלה2[[#This Row],[S]]-1)</f>
        <v>31.71428571428574</v>
      </c>
      <c r="C35">
        <f>Admin!M37</f>
        <v>666</v>
      </c>
      <c r="D35">
        <v>1.05</v>
      </c>
    </row>
    <row r="36" spans="1:4" x14ac:dyDescent="0.3">
      <c r="A36">
        <v>35</v>
      </c>
      <c r="B36" s="6">
        <f>טבלה2[[#This Row],[Demand]]/טבלה2[[#This Row],[S]]*(טבלה2[[#This Row],[S]]-1)</f>
        <v>-96.651685393258404</v>
      </c>
      <c r="C36">
        <f>Admin!M38</f>
        <v>782</v>
      </c>
      <c r="D36">
        <v>0.89</v>
      </c>
    </row>
    <row r="37" spans="1:4" x14ac:dyDescent="0.3">
      <c r="A37">
        <v>36</v>
      </c>
      <c r="B37" s="6">
        <f>טבלה2[[#This Row],[Demand]]/טבלה2[[#This Row],[S]]*(טבלה2[[#This Row],[S]]-1)</f>
        <v>23.192307692307711</v>
      </c>
      <c r="C37">
        <f>Admin!M39</f>
        <v>603</v>
      </c>
      <c r="D37">
        <v>1.04</v>
      </c>
    </row>
    <row r="38" spans="1:4" x14ac:dyDescent="0.3">
      <c r="A38">
        <v>37</v>
      </c>
      <c r="B38" s="6">
        <f>טבלה2[[#This Row],[Demand]]/טבלה2[[#This Row],[S]]*(טבלה2[[#This Row],[S]]-1)</f>
        <v>90.424778761061873</v>
      </c>
      <c r="C38">
        <f>Admin!M40</f>
        <v>786</v>
      </c>
      <c r="D38">
        <v>1.1299999999999999</v>
      </c>
    </row>
    <row r="39" spans="1:4" x14ac:dyDescent="0.3">
      <c r="A39">
        <v>38</v>
      </c>
      <c r="B39" s="6">
        <f>טבלה2[[#This Row],[Demand]]/טבלה2[[#This Row],[S]]*(טבלה2[[#This Row],[S]]-1)</f>
        <v>-118.51162790697676</v>
      </c>
      <c r="C39">
        <f>Admin!M41</f>
        <v>728</v>
      </c>
      <c r="D39">
        <v>0.86</v>
      </c>
    </row>
    <row r="40" spans="1:4" x14ac:dyDescent="0.3">
      <c r="A40">
        <v>39</v>
      </c>
      <c r="B40" s="6">
        <f>טבלה2[[#This Row],[Demand]]/טבלה2[[#This Row],[S]]*(טבלה2[[#This Row],[S]]-1)</f>
        <v>83.999999999999943</v>
      </c>
      <c r="C40">
        <f>Admin!M42</f>
        <v>644</v>
      </c>
      <c r="D40">
        <v>1.1499999999999999</v>
      </c>
    </row>
    <row r="41" spans="1:4" x14ac:dyDescent="0.3">
      <c r="A41">
        <v>40</v>
      </c>
      <c r="B41" s="6">
        <f>טבלה2[[#This Row],[Demand]]/טבלה2[[#This Row],[S]]*(טבלה2[[#This Row],[S]]-1)</f>
        <v>-123.88372093023257</v>
      </c>
      <c r="C41">
        <f>Admin!M43</f>
        <v>761</v>
      </c>
      <c r="D41">
        <v>0.86</v>
      </c>
    </row>
    <row r="42" spans="1:4" x14ac:dyDescent="0.3">
      <c r="A42">
        <v>41</v>
      </c>
      <c r="B42" s="6">
        <f>טבלה2[[#This Row],[Demand]]/טבלה2[[#This Row],[S]]*(טבלה2[[#This Row],[S]]-1)</f>
        <v>57.363636363636417</v>
      </c>
      <c r="C42">
        <f>Admin!M44</f>
        <v>631</v>
      </c>
      <c r="D42">
        <v>1.1000000000000001</v>
      </c>
    </row>
    <row r="43" spans="1:4" x14ac:dyDescent="0.3">
      <c r="A43">
        <v>42</v>
      </c>
      <c r="B43" s="6">
        <f>טבלה2[[#This Row],[Demand]]/טבלה2[[#This Row],[S]]*(טבלה2[[#This Row],[S]]-1)</f>
        <v>-71.666666666666643</v>
      </c>
      <c r="C43">
        <f>Admin!M45</f>
        <v>645</v>
      </c>
      <c r="D43">
        <v>0.9</v>
      </c>
    </row>
    <row r="44" spans="1:4" x14ac:dyDescent="0.3">
      <c r="A44">
        <v>43</v>
      </c>
      <c r="B44" s="6">
        <f>טבלה2[[#This Row],[Demand]]/טבלה2[[#This Row],[S]]*(טבלה2[[#This Row],[S]]-1)</f>
        <v>13.725490196078443</v>
      </c>
      <c r="C44">
        <f>Admin!M46</f>
        <v>700</v>
      </c>
      <c r="D44">
        <v>1.02</v>
      </c>
    </row>
    <row r="45" spans="1:4" x14ac:dyDescent="0.3">
      <c r="A45">
        <v>44</v>
      </c>
      <c r="B45" s="6">
        <f>טבלה2[[#This Row],[Demand]]/טבלה2[[#This Row],[S]]*(טבלה2[[#This Row],[S]]-1)</f>
        <v>101.86956521739125</v>
      </c>
      <c r="C45">
        <f>Admin!M47</f>
        <v>781</v>
      </c>
      <c r="D45">
        <v>1.1499999999999999</v>
      </c>
    </row>
    <row r="46" spans="1:4" x14ac:dyDescent="0.3">
      <c r="A46">
        <v>45</v>
      </c>
      <c r="B46" s="6">
        <f>טבלה2[[#This Row],[Demand]]/טבלה2[[#This Row],[S]]*(טבלה2[[#This Row],[S]]-1)</f>
        <v>-114.17647058823532</v>
      </c>
      <c r="C46">
        <f>Admin!M48</f>
        <v>647</v>
      </c>
      <c r="D46">
        <v>0.85</v>
      </c>
    </row>
    <row r="47" spans="1:4" x14ac:dyDescent="0.3">
      <c r="A47">
        <v>46</v>
      </c>
      <c r="B47" s="6">
        <f>טבלה2[[#This Row],[Demand]]/טבלה2[[#This Row],[S]]*(טבלה2[[#This Row],[S]]-1)</f>
        <v>30.857142857142883</v>
      </c>
      <c r="C47">
        <f>Admin!M49</f>
        <v>648</v>
      </c>
      <c r="D47">
        <v>1.05</v>
      </c>
    </row>
    <row r="48" spans="1:4" x14ac:dyDescent="0.3">
      <c r="A48">
        <v>47</v>
      </c>
      <c r="B48" s="6">
        <f>טבלה2[[#This Row],[Demand]]/טבלה2[[#This Row],[S]]*(טבלה2[[#This Row],[S]]-1)</f>
        <v>-93.932584269662911</v>
      </c>
      <c r="C48">
        <f>Admin!M50</f>
        <v>760</v>
      </c>
      <c r="D48">
        <v>0.89</v>
      </c>
    </row>
    <row r="49" spans="1:4" x14ac:dyDescent="0.3">
      <c r="A49">
        <v>48</v>
      </c>
      <c r="B49" s="6">
        <f>טבלה2[[#This Row],[Demand]]/טבלה2[[#This Row],[S]]*(טבלה2[[#This Row],[S]]-1)</f>
        <v>22.653846153846171</v>
      </c>
      <c r="C49">
        <f>Admin!M51</f>
        <v>589</v>
      </c>
      <c r="D49">
        <v>1.04</v>
      </c>
    </row>
    <row r="50" spans="1:4" x14ac:dyDescent="0.3">
      <c r="A50">
        <v>49</v>
      </c>
      <c r="B50" s="6">
        <f>טבלה2[[#This Row],[Demand]]/טבלה2[[#This Row],[S]]*(טבלה2[[#This Row],[S]]-1)</f>
        <v>87.778761061946838</v>
      </c>
      <c r="C50">
        <f>Admin!M52</f>
        <v>763</v>
      </c>
      <c r="D50">
        <v>1.1299999999999999</v>
      </c>
    </row>
    <row r="51" spans="1:4" x14ac:dyDescent="0.3">
      <c r="A51">
        <v>50</v>
      </c>
      <c r="B51" s="6">
        <f>טבלה2[[#This Row],[Demand]]/טבלה2[[#This Row],[S]]*(טבלה2[[#This Row],[S]]-1)</f>
        <v>-115.41860465116281</v>
      </c>
      <c r="C51">
        <f>Admin!M53</f>
        <v>709</v>
      </c>
      <c r="D51">
        <v>0.86</v>
      </c>
    </row>
    <row r="52" spans="1:4" x14ac:dyDescent="0.3">
      <c r="A52">
        <v>51</v>
      </c>
      <c r="B52" s="6">
        <f>טבלה2[[#This Row],[Demand]]/טבלה2[[#This Row],[S]]*(טבלה2[[#This Row],[S]]-1)</f>
        <v>81.391304347826051</v>
      </c>
      <c r="C52">
        <f>Admin!M54</f>
        <v>624</v>
      </c>
      <c r="D52">
        <v>1.1499999999999999</v>
      </c>
    </row>
    <row r="53" spans="1:4" x14ac:dyDescent="0.3">
      <c r="A53">
        <v>52</v>
      </c>
      <c r="B53" s="6">
        <f>טבלה2[[#This Row],[Demand]]/טבלה2[[#This Row],[S]]*(טבלה2[[#This Row],[S]]-1)</f>
        <v>-120.13953488372094</v>
      </c>
      <c r="C53">
        <f>Admin!M55</f>
        <v>738</v>
      </c>
      <c r="D53">
        <v>0.86</v>
      </c>
    </row>
    <row r="54" spans="1:4" x14ac:dyDescent="0.3">
      <c r="A54">
        <v>53</v>
      </c>
      <c r="B54" s="6">
        <f>טבלה2[[#This Row],[Demand]]/טבלה2[[#This Row],[S]]*(טבלה2[[#This Row],[S]]-1)</f>
        <v>55.818181818181863</v>
      </c>
      <c r="C54">
        <f>Admin!M56</f>
        <v>614</v>
      </c>
      <c r="D54">
        <v>1.1000000000000001</v>
      </c>
    </row>
    <row r="55" spans="1:4" x14ac:dyDescent="0.3">
      <c r="A55">
        <v>54</v>
      </c>
      <c r="B55" s="6">
        <f>טבלה2[[#This Row],[Demand]]/טבלה2[[#This Row],[S]]*(טבלה2[[#This Row],[S]]-1)</f>
        <v>-69.555555555555543</v>
      </c>
      <c r="C55">
        <f>Admin!M57</f>
        <v>626</v>
      </c>
      <c r="D55">
        <v>0.9</v>
      </c>
    </row>
    <row r="56" spans="1:4" x14ac:dyDescent="0.3">
      <c r="A56">
        <v>55</v>
      </c>
      <c r="B56" s="6">
        <f>טבלה2[[#This Row],[Demand]]/טבלה2[[#This Row],[S]]*(טבלה2[[#This Row],[S]]-1)</f>
        <v>13.31372549019609</v>
      </c>
      <c r="C56">
        <f>Admin!M58</f>
        <v>679</v>
      </c>
      <c r="D56">
        <v>1.02</v>
      </c>
    </row>
    <row r="57" spans="1:4" x14ac:dyDescent="0.3">
      <c r="A57">
        <v>56</v>
      </c>
      <c r="B57" s="6">
        <f>טבלה2[[#This Row],[Demand]]/טבלה2[[#This Row],[S]]*(טבלה2[[#This Row],[S]]-1)</f>
        <v>98.869565217391255</v>
      </c>
      <c r="C57">
        <f>Admin!M59</f>
        <v>758</v>
      </c>
      <c r="D57">
        <v>1.1499999999999999</v>
      </c>
    </row>
    <row r="58" spans="1:4" x14ac:dyDescent="0.3">
      <c r="A58">
        <v>57</v>
      </c>
      <c r="B58" s="6">
        <f>טבלה2[[#This Row],[Demand]]/טבלה2[[#This Row],[S]]*(טבלה2[[#This Row],[S]]-1)</f>
        <v>-111.17647058823532</v>
      </c>
      <c r="C58">
        <f>Admin!M60</f>
        <v>630</v>
      </c>
      <c r="D58">
        <v>0.85</v>
      </c>
    </row>
    <row r="59" spans="1:4" x14ac:dyDescent="0.3">
      <c r="A59">
        <v>58</v>
      </c>
      <c r="B59" s="6">
        <f>טבלה2[[#This Row],[Demand]]/טבלה2[[#This Row],[S]]*(טבלה2[[#This Row],[S]]-1)</f>
        <v>29.90476190476193</v>
      </c>
      <c r="C59">
        <f>Admin!M61</f>
        <v>628</v>
      </c>
      <c r="D59">
        <v>1.05</v>
      </c>
    </row>
    <row r="60" spans="1:4" x14ac:dyDescent="0.3">
      <c r="A60">
        <v>59</v>
      </c>
      <c r="B60" s="6">
        <f>טבלה2[[#This Row],[Demand]]/טבלה2[[#This Row],[S]]*(טבלה2[[#This Row],[S]]-1)</f>
        <v>-91.707865168539314</v>
      </c>
      <c r="C60">
        <f>Admin!M62</f>
        <v>742</v>
      </c>
      <c r="D60">
        <v>0.89</v>
      </c>
    </row>
    <row r="61" spans="1:4" x14ac:dyDescent="0.3">
      <c r="A61">
        <v>60</v>
      </c>
      <c r="B61" s="6">
        <f>טבלה2[[#This Row],[Demand]]/טבלה2[[#This Row],[S]]*(טבלה2[[#This Row],[S]]-1)</f>
        <v>22.038461538461558</v>
      </c>
      <c r="C61">
        <f>Admin!M63</f>
        <v>573</v>
      </c>
      <c r="D61">
        <v>1.04</v>
      </c>
    </row>
    <row r="62" spans="1:4" x14ac:dyDescent="0.3">
      <c r="A62">
        <v>61</v>
      </c>
      <c r="B62" s="6">
        <f>טבלה2[[#This Row],[Demand]]/טבלה2[[#This Row],[S]]*(טבלה2[[#This Row],[S]]-1)</f>
        <v>85.477876106194643</v>
      </c>
      <c r="C62">
        <f>Admin!M64</f>
        <v>743</v>
      </c>
      <c r="D62">
        <v>1.1299999999999999</v>
      </c>
    </row>
    <row r="63" spans="1:4" x14ac:dyDescent="0.3">
      <c r="A63">
        <v>62</v>
      </c>
      <c r="B63" s="6">
        <f>טבלה2[[#This Row],[Demand]]/טבלה2[[#This Row],[S]]*(טבלה2[[#This Row],[S]]-1)</f>
        <v>-112.00000000000001</v>
      </c>
      <c r="C63">
        <f>Admin!M65</f>
        <v>688</v>
      </c>
      <c r="D63">
        <v>0.86</v>
      </c>
    </row>
    <row r="64" spans="1:4" x14ac:dyDescent="0.3">
      <c r="A64">
        <v>63</v>
      </c>
      <c r="B64" s="6">
        <f>טבלה2[[#This Row],[Demand]]/טבלה2[[#This Row],[S]]*(טבלה2[[#This Row],[S]]-1)</f>
        <v>79.304347826086925</v>
      </c>
      <c r="C64">
        <f>Admin!M66</f>
        <v>608</v>
      </c>
      <c r="D64">
        <v>1.1499999999999999</v>
      </c>
    </row>
    <row r="65" spans="1:4" x14ac:dyDescent="0.3">
      <c r="A65">
        <v>64</v>
      </c>
      <c r="B65" s="6">
        <f>טבלה2[[#This Row],[Demand]]/טבלה2[[#This Row],[S]]*(טבלה2[[#This Row],[S]]-1)</f>
        <v>-117.04651162790698</v>
      </c>
      <c r="C65">
        <f>Admin!M67</f>
        <v>719</v>
      </c>
      <c r="D65">
        <v>0.86</v>
      </c>
    </row>
    <row r="66" spans="1:4" x14ac:dyDescent="0.3">
      <c r="A66">
        <v>65</v>
      </c>
      <c r="B66" s="6">
        <f>טבלה2[[#This Row],[Demand]]/טבלה2[[#This Row],[S]]*(טבלה2[[#This Row],[S]]-1)</f>
        <v>54.454545454545496</v>
      </c>
      <c r="C66">
        <f>Admin!M68</f>
        <v>599</v>
      </c>
      <c r="D66">
        <v>1.1000000000000001</v>
      </c>
    </row>
    <row r="67" spans="1:4" x14ac:dyDescent="0.3">
      <c r="A67">
        <v>66</v>
      </c>
      <c r="B67" s="6">
        <f>טבלה2[[#This Row],[Demand]]/טבלה2[[#This Row],[S]]*(טבלה2[[#This Row],[S]]-1)</f>
        <v>-67.888888888888872</v>
      </c>
      <c r="C67">
        <f>Admin!M69</f>
        <v>611</v>
      </c>
      <c r="D67">
        <v>0.9</v>
      </c>
    </row>
    <row r="68" spans="1:4" x14ac:dyDescent="0.3">
      <c r="A68">
        <v>67</v>
      </c>
      <c r="B68" s="6">
        <f>טבלה2[[#This Row],[Demand]]/טבלה2[[#This Row],[S]]*(טבלה2[[#This Row],[S]]-1)</f>
        <v>12.941176470588246</v>
      </c>
      <c r="C68">
        <f>Admin!M70</f>
        <v>660</v>
      </c>
      <c r="D68">
        <v>1.02</v>
      </c>
    </row>
    <row r="69" spans="1:4" x14ac:dyDescent="0.3">
      <c r="A69">
        <v>68</v>
      </c>
      <c r="B69" s="6">
        <f>טבלה2[[#This Row],[Demand]]/טבלה2[[#This Row],[S]]*(טבלה2[[#This Row],[S]]-1)</f>
        <v>96.260869565217334</v>
      </c>
      <c r="C69">
        <f>Admin!M71</f>
        <v>738</v>
      </c>
      <c r="D69">
        <v>1.1499999999999999</v>
      </c>
    </row>
    <row r="70" spans="1:4" x14ac:dyDescent="0.3">
      <c r="A70">
        <v>69</v>
      </c>
      <c r="B70" s="6">
        <f>טבלה2[[#This Row],[Demand]]/טבלה2[[#This Row],[S]]*(טבלה2[[#This Row],[S]]-1)</f>
        <v>-108.35294117647061</v>
      </c>
      <c r="C70">
        <f>Admin!M72</f>
        <v>614</v>
      </c>
      <c r="D70">
        <v>0.85</v>
      </c>
    </row>
    <row r="71" spans="1:4" x14ac:dyDescent="0.3">
      <c r="A71">
        <v>70</v>
      </c>
      <c r="B71" s="6">
        <f>טבלה2[[#This Row],[Demand]]/טבלה2[[#This Row],[S]]*(טבלה2[[#This Row],[S]]-1)</f>
        <v>29.190476190476211</v>
      </c>
      <c r="C71">
        <f>Admin!M73</f>
        <v>613</v>
      </c>
      <c r="D71">
        <v>1.05</v>
      </c>
    </row>
    <row r="72" spans="1:4" x14ac:dyDescent="0.3">
      <c r="A72">
        <v>71</v>
      </c>
      <c r="B72" s="6">
        <f>טבלה2[[#This Row],[Demand]]/טבלה2[[#This Row],[S]]*(טבלה2[[#This Row],[S]]-1)</f>
        <v>-89.483146067415717</v>
      </c>
      <c r="C72">
        <f>Admin!M74</f>
        <v>724</v>
      </c>
      <c r="D72">
        <v>0.89</v>
      </c>
    </row>
    <row r="73" spans="1:4" x14ac:dyDescent="0.3">
      <c r="A73">
        <v>72</v>
      </c>
      <c r="B73" s="6">
        <f>טבלה2[[#This Row],[Demand]]/טבלה2[[#This Row],[S]]*(טבלה2[[#This Row],[S]]-1)</f>
        <v>21.423076923076941</v>
      </c>
      <c r="C73">
        <f>Admin!M75</f>
        <v>557</v>
      </c>
      <c r="D73">
        <v>1.04</v>
      </c>
    </row>
    <row r="74" spans="1:4" x14ac:dyDescent="0.3">
      <c r="A74">
        <v>73</v>
      </c>
      <c r="B74" s="6">
        <f>טבלה2[[#This Row],[Demand]]/טבלה2[[#This Row],[S]]*(טבלה2[[#This Row],[S]]-1)</f>
        <v>83.176991150442419</v>
      </c>
      <c r="C74">
        <f>Admin!M76</f>
        <v>723</v>
      </c>
      <c r="D74">
        <v>1.1299999999999999</v>
      </c>
    </row>
    <row r="75" spans="1:4" x14ac:dyDescent="0.3">
      <c r="A75">
        <v>74</v>
      </c>
      <c r="B75" s="6">
        <f>טבלה2[[#This Row],[Demand]]/טבלה2[[#This Row],[S]]*(טבלה2[[#This Row],[S]]-1)</f>
        <v>-109.39534883720931</v>
      </c>
      <c r="C75">
        <f>Admin!M77</f>
        <v>672</v>
      </c>
      <c r="D75">
        <v>0.86</v>
      </c>
    </row>
    <row r="76" spans="1:4" x14ac:dyDescent="0.3">
      <c r="A76">
        <v>75</v>
      </c>
      <c r="B76" s="6">
        <f>טבלה2[[#This Row],[Demand]]/טבלה2[[#This Row],[S]]*(טבלה2[[#This Row],[S]]-1)</f>
        <v>77.217391304347785</v>
      </c>
      <c r="C76">
        <f>Admin!M78</f>
        <v>592</v>
      </c>
      <c r="D76">
        <v>1.1499999999999999</v>
      </c>
    </row>
    <row r="77" spans="1:4" x14ac:dyDescent="0.3">
      <c r="A77">
        <v>76</v>
      </c>
      <c r="B77" s="6">
        <f>טבלה2[[#This Row],[Demand]]/טבלה2[[#This Row],[S]]*(טבלה2[[#This Row],[S]]-1)</f>
        <v>-114.44186046511629</v>
      </c>
      <c r="C77">
        <f>Admin!M79</f>
        <v>703</v>
      </c>
      <c r="D77">
        <v>0.86</v>
      </c>
    </row>
    <row r="78" spans="1:4" x14ac:dyDescent="0.3">
      <c r="A78">
        <v>77</v>
      </c>
      <c r="B78" s="6">
        <f>טבלה2[[#This Row],[Demand]]/טבלה2[[#This Row],[S]]*(טבלה2[[#This Row],[S]]-1)</f>
        <v>52.818181818181863</v>
      </c>
      <c r="C78">
        <f>Admin!M80</f>
        <v>581</v>
      </c>
      <c r="D78">
        <v>1.1000000000000001</v>
      </c>
    </row>
    <row r="79" spans="1:4" x14ac:dyDescent="0.3">
      <c r="A79">
        <v>78</v>
      </c>
      <c r="B79" s="6">
        <f>טבלה2[[#This Row],[Demand]]/טבלה2[[#This Row],[S]]*(טבלה2[[#This Row],[S]]-1)</f>
        <v>-65.888888888888872</v>
      </c>
      <c r="C79">
        <f>Admin!M81</f>
        <v>593</v>
      </c>
      <c r="D79">
        <v>0.9</v>
      </c>
    </row>
    <row r="80" spans="1:4" x14ac:dyDescent="0.3">
      <c r="A80">
        <v>79</v>
      </c>
      <c r="B80" s="6">
        <f>טבלה2[[#This Row],[Demand]]/טבלה2[[#This Row],[S]]*(טבלה2[[#This Row],[S]]-1)</f>
        <v>12.627450980392169</v>
      </c>
      <c r="C80">
        <f>Admin!M82</f>
        <v>644</v>
      </c>
      <c r="D80">
        <v>1.02</v>
      </c>
    </row>
    <row r="81" spans="1:4" x14ac:dyDescent="0.3">
      <c r="A81">
        <v>80</v>
      </c>
      <c r="B81" s="6">
        <f>טבלה2[[#This Row],[Demand]]/טבלה2[[#This Row],[S]]*(טבלה2[[#This Row],[S]]-1)</f>
        <v>93.652173913043441</v>
      </c>
      <c r="C81">
        <f>Admin!M83</f>
        <v>718</v>
      </c>
      <c r="D81">
        <v>1.1499999999999999</v>
      </c>
    </row>
    <row r="82" spans="1:4" x14ac:dyDescent="0.3">
      <c r="A82">
        <v>81</v>
      </c>
      <c r="B82" s="6">
        <f>טבלה2[[#This Row],[Demand]]/טבלה2[[#This Row],[S]]*(טבלה2[[#This Row],[S]]-1)</f>
        <v>-105.35294117647061</v>
      </c>
      <c r="C82">
        <f>Admin!M84</f>
        <v>597</v>
      </c>
      <c r="D82">
        <v>0.85</v>
      </c>
    </row>
    <row r="83" spans="1:4" x14ac:dyDescent="0.3">
      <c r="A83">
        <v>82</v>
      </c>
      <c r="B83" s="6">
        <f>טבלה2[[#This Row],[Demand]]/טבלה2[[#This Row],[S]]*(טבלה2[[#This Row],[S]]-1)</f>
        <v>28.28571428571431</v>
      </c>
      <c r="C83">
        <f>Admin!M85</f>
        <v>594</v>
      </c>
      <c r="D83">
        <v>1.05</v>
      </c>
    </row>
    <row r="84" spans="1:4" x14ac:dyDescent="0.3">
      <c r="A84">
        <v>83</v>
      </c>
      <c r="B84" s="6">
        <f>טבלה2[[#This Row],[Demand]]/טבלה2[[#This Row],[S]]*(טבלה2[[#This Row],[S]]-1)</f>
        <v>-86.393258426966284</v>
      </c>
      <c r="C84">
        <f>Admin!M86</f>
        <v>699</v>
      </c>
      <c r="D84">
        <v>0.89</v>
      </c>
    </row>
    <row r="85" spans="1:4" x14ac:dyDescent="0.3">
      <c r="A85">
        <v>84</v>
      </c>
      <c r="B85" s="6">
        <f>טבלה2[[#This Row],[Demand]]/טבלה2[[#This Row],[S]]*(טבלה2[[#This Row],[S]]-1)</f>
        <v>20.692307692307708</v>
      </c>
      <c r="C85">
        <f>Admin!M87</f>
        <v>538</v>
      </c>
      <c r="D85">
        <v>1.04</v>
      </c>
    </row>
    <row r="86" spans="1:4" x14ac:dyDescent="0.3">
      <c r="A86">
        <v>85</v>
      </c>
      <c r="B86" s="6">
        <f>טבלה2[[#This Row],[Demand]]/טבלה2[[#This Row],[S]]*(טבלה2[[#This Row],[S]]-1)</f>
        <v>80.876106194690209</v>
      </c>
      <c r="C86">
        <f>Admin!M88</f>
        <v>703</v>
      </c>
      <c r="D86">
        <v>1.1299999999999999</v>
      </c>
    </row>
    <row r="87" spans="1:4" x14ac:dyDescent="0.3">
      <c r="A87">
        <v>86</v>
      </c>
      <c r="B87" s="6">
        <f>טבלה2[[#This Row],[Demand]]/טבלה2[[#This Row],[S]]*(טבלה2[[#This Row],[S]]-1)</f>
        <v>-106.13953488372094</v>
      </c>
      <c r="C87">
        <f>Admin!M89</f>
        <v>652</v>
      </c>
      <c r="D87">
        <v>0.86</v>
      </c>
    </row>
    <row r="88" spans="1:4" x14ac:dyDescent="0.3">
      <c r="A88">
        <v>87</v>
      </c>
      <c r="B88" s="6">
        <f>טבלה2[[#This Row],[Demand]]/טבלה2[[#This Row],[S]]*(טבלה2[[#This Row],[S]]-1)</f>
        <v>74.999999999999957</v>
      </c>
      <c r="C88">
        <f>Admin!M90</f>
        <v>575</v>
      </c>
      <c r="D88">
        <v>1.1499999999999999</v>
      </c>
    </row>
    <row r="89" spans="1:4" x14ac:dyDescent="0.3">
      <c r="A89">
        <v>88</v>
      </c>
      <c r="B89" s="6">
        <f>טבלה2[[#This Row],[Demand]]/טבלה2[[#This Row],[S]]*(טבלה2[[#This Row],[S]]-1)</f>
        <v>-110.86046511627909</v>
      </c>
      <c r="C89">
        <f>Admin!M91</f>
        <v>681</v>
      </c>
      <c r="D89">
        <v>0.86</v>
      </c>
    </row>
    <row r="90" spans="1:4" x14ac:dyDescent="0.3">
      <c r="A90">
        <v>89</v>
      </c>
      <c r="B90" s="6">
        <f>טבלה2[[#This Row],[Demand]]/טבלה2[[#This Row],[S]]*(טבלה2[[#This Row],[S]]-1)</f>
        <v>51.636363636363683</v>
      </c>
      <c r="C90">
        <f>Admin!M92</f>
        <v>568</v>
      </c>
      <c r="D90">
        <v>1.1000000000000001</v>
      </c>
    </row>
    <row r="91" spans="1:4" x14ac:dyDescent="0.3">
      <c r="A91">
        <v>90</v>
      </c>
      <c r="B91" s="6">
        <f>טבלה2[[#This Row],[Demand]]/טבלה2[[#This Row],[S]]*(טבלה2[[#This Row],[S]]-1)</f>
        <v>-64.2222222222222</v>
      </c>
      <c r="C91">
        <f>Admin!M93</f>
        <v>578</v>
      </c>
      <c r="D91">
        <v>0.9</v>
      </c>
    </row>
    <row r="92" spans="1:4" x14ac:dyDescent="0.3">
      <c r="A92">
        <v>91</v>
      </c>
      <c r="B92" s="6">
        <f>טבלה2[[#This Row],[Demand]]/טבלה2[[#This Row],[S]]*(טבלה2[[#This Row],[S]]-1)</f>
        <v>12.294117647058835</v>
      </c>
      <c r="C92">
        <f>Admin!M94</f>
        <v>627</v>
      </c>
      <c r="D92">
        <v>1.02</v>
      </c>
    </row>
    <row r="93" spans="1:4" x14ac:dyDescent="0.3">
      <c r="A93">
        <v>92</v>
      </c>
      <c r="B93" s="6">
        <f>טבלה2[[#This Row],[Demand]]/טבלה2[[#This Row],[S]]*(טבלה2[[#This Row],[S]]-1)</f>
        <v>91.304347826086911</v>
      </c>
      <c r="C93">
        <f>Admin!M95</f>
        <v>700</v>
      </c>
      <c r="D93">
        <v>1.1499999999999999</v>
      </c>
    </row>
    <row r="94" spans="1:4" x14ac:dyDescent="0.3">
      <c r="A94">
        <v>93</v>
      </c>
      <c r="B94" s="6">
        <f>טבלה2[[#This Row],[Demand]]/טבלה2[[#This Row],[S]]*(טבלה2[[#This Row],[S]]-1)</f>
        <v>-101.82352941176472</v>
      </c>
      <c r="C94">
        <f>Admin!M96</f>
        <v>577</v>
      </c>
      <c r="D94">
        <v>0.85</v>
      </c>
    </row>
    <row r="95" spans="1:4" x14ac:dyDescent="0.3">
      <c r="A95">
        <v>94</v>
      </c>
      <c r="B95" s="6">
        <f>טבלה2[[#This Row],[Demand]]/טבלה2[[#This Row],[S]]*(טבלה2[[#This Row],[S]]-1)</f>
        <v>27.523809523809547</v>
      </c>
      <c r="C95">
        <f>Admin!M97</f>
        <v>578</v>
      </c>
      <c r="D95">
        <v>1.05</v>
      </c>
    </row>
    <row r="96" spans="1:4" x14ac:dyDescent="0.3">
      <c r="A96">
        <v>95</v>
      </c>
      <c r="B96" s="6">
        <f>טבלה2[[#This Row],[Demand]]/טבלה2[[#This Row],[S]]*(טבלה2[[#This Row],[S]]-1)</f>
        <v>-84.415730337078642</v>
      </c>
      <c r="C96">
        <f>Admin!M98</f>
        <v>683</v>
      </c>
      <c r="D96">
        <v>0.89</v>
      </c>
    </row>
    <row r="97" spans="1:4" x14ac:dyDescent="0.3">
      <c r="A97">
        <v>96</v>
      </c>
      <c r="B97" s="6">
        <f>טבלה2[[#This Row],[Demand]]/טבלה2[[#This Row],[S]]*(טבלה2[[#This Row],[S]]-1)</f>
        <v>20.153846153846171</v>
      </c>
      <c r="C97">
        <f>Admin!M99</f>
        <v>524</v>
      </c>
      <c r="D97">
        <v>1.04</v>
      </c>
    </row>
    <row r="98" spans="1:4" x14ac:dyDescent="0.3">
      <c r="A98">
        <v>97</v>
      </c>
      <c r="B98" s="6">
        <f>טבלה2[[#This Row],[Demand]]/טבלה2[[#This Row],[S]]*(טבלה2[[#This Row],[S]]-1)</f>
        <v>78.690265486725608</v>
      </c>
      <c r="C98">
        <f>Admin!M100</f>
        <v>684</v>
      </c>
      <c r="D98">
        <v>1.1299999999999999</v>
      </c>
    </row>
    <row r="99" spans="1:4" x14ac:dyDescent="0.3">
      <c r="A99">
        <v>98</v>
      </c>
      <c r="B99" s="6">
        <f>טבלה2[[#This Row],[Demand]]/טבלה2[[#This Row],[S]]*(טבלה2[[#This Row],[S]]-1)</f>
        <v>-102.72093023255816</v>
      </c>
      <c r="C99">
        <f>Admin!M101</f>
        <v>631</v>
      </c>
      <c r="D99">
        <v>0.86</v>
      </c>
    </row>
    <row r="100" spans="1:4" x14ac:dyDescent="0.3">
      <c r="A100">
        <v>99</v>
      </c>
      <c r="B100" s="6">
        <f>טבלה2[[#This Row],[Demand]]/טבלה2[[#This Row],[S]]*(טבלה2[[#This Row],[S]]-1)</f>
        <v>72.913043478260832</v>
      </c>
      <c r="C100">
        <f>Admin!M102</f>
        <v>559</v>
      </c>
      <c r="D100">
        <v>1.1499999999999999</v>
      </c>
    </row>
    <row r="101" spans="1:4" x14ac:dyDescent="0.3">
      <c r="A101">
        <v>100</v>
      </c>
      <c r="B101" s="6">
        <f>טבלה2[[#This Row],[Demand]]/טבלה2[[#This Row],[S]]*(טבלה2[[#This Row],[S]]-1)</f>
        <v>-107.27906976744188</v>
      </c>
      <c r="C101">
        <f>Admin!M103</f>
        <v>659</v>
      </c>
      <c r="D101">
        <v>0.86</v>
      </c>
    </row>
    <row r="102" spans="1:4" x14ac:dyDescent="0.3">
      <c r="A102">
        <v>101</v>
      </c>
      <c r="B102" s="6">
        <f>טבלה2[[#This Row],[Demand]]/טבלה2[[#This Row],[S]]*(טבלה2[[#This Row],[S]]-1)</f>
        <v>50.000000000000036</v>
      </c>
      <c r="C102">
        <f>Admin!M104</f>
        <v>550</v>
      </c>
      <c r="D102">
        <v>1.1000000000000001</v>
      </c>
    </row>
    <row r="103" spans="1:4" x14ac:dyDescent="0.3">
      <c r="A103">
        <v>102</v>
      </c>
      <c r="B103" s="6">
        <f>טבלה2[[#This Row],[Demand]]/טבלה2[[#This Row],[S]]*(טבלה2[[#This Row],[S]]-1)</f>
        <v>-62.2222222222222</v>
      </c>
      <c r="C103">
        <f>Admin!M105</f>
        <v>560</v>
      </c>
      <c r="D103">
        <v>0.9</v>
      </c>
    </row>
    <row r="104" spans="1:4" x14ac:dyDescent="0.3">
      <c r="A104">
        <v>103</v>
      </c>
      <c r="B104" s="6">
        <f>טבלה2[[#This Row],[Demand]]/טבלה2[[#This Row],[S]]*(טבלה2[[#This Row],[S]]-1)</f>
        <v>11.921568627450991</v>
      </c>
      <c r="C104">
        <f>Admin!M106</f>
        <v>608</v>
      </c>
      <c r="D104">
        <v>1.02</v>
      </c>
    </row>
    <row r="105" spans="1:4" x14ac:dyDescent="0.3">
      <c r="A105">
        <v>104</v>
      </c>
      <c r="B105" s="6">
        <f>טבלה2[[#This Row],[Demand]]/טבלה2[[#This Row],[S]]*(טבלה2[[#This Row],[S]]-1)</f>
        <v>88.956521739130395</v>
      </c>
      <c r="C105">
        <f>Admin!M107</f>
        <v>682</v>
      </c>
      <c r="D105">
        <v>1.1499999999999999</v>
      </c>
    </row>
    <row r="106" spans="1:4" x14ac:dyDescent="0.3">
      <c r="A106">
        <v>105</v>
      </c>
      <c r="B106" s="6">
        <f>טבלה2[[#This Row],[Demand]]/טבלה2[[#This Row],[S]]*(טבלה2[[#This Row],[S]]-1)</f>
        <v>-99.176470588235318</v>
      </c>
      <c r="C106">
        <f>Admin!M108</f>
        <v>562</v>
      </c>
      <c r="D106">
        <v>0.85</v>
      </c>
    </row>
    <row r="107" spans="1:4" x14ac:dyDescent="0.3">
      <c r="A107">
        <v>106</v>
      </c>
      <c r="B107" s="6">
        <f>טבלה2[[#This Row],[Demand]]/טבלה2[[#This Row],[S]]*(טבלה2[[#This Row],[S]]-1)</f>
        <v>26.714285714285733</v>
      </c>
      <c r="C107">
        <f>Admin!M109</f>
        <v>561</v>
      </c>
      <c r="D107">
        <v>1.05</v>
      </c>
    </row>
    <row r="108" spans="1:4" x14ac:dyDescent="0.3">
      <c r="A108">
        <v>107</v>
      </c>
      <c r="B108" s="6">
        <f>טבלה2[[#This Row],[Demand]]/טבלה2[[#This Row],[S]]*(טבלה2[[#This Row],[S]]-1)</f>
        <v>-81.82022471910112</v>
      </c>
      <c r="C108">
        <f>Admin!M110</f>
        <v>662</v>
      </c>
      <c r="D108">
        <v>0.89</v>
      </c>
    </row>
    <row r="109" spans="1:4" x14ac:dyDescent="0.3">
      <c r="A109">
        <v>108</v>
      </c>
      <c r="B109" s="6">
        <f>טבלה2[[#This Row],[Demand]]/טבלה2[[#This Row],[S]]*(טבלה2[[#This Row],[S]]-1)</f>
        <v>19.653846153846171</v>
      </c>
      <c r="C109">
        <f>Admin!M111</f>
        <v>511</v>
      </c>
      <c r="D109">
        <v>1.04</v>
      </c>
    </row>
    <row r="110" spans="1:4" x14ac:dyDescent="0.3">
      <c r="A110">
        <v>109</v>
      </c>
      <c r="B110" s="6">
        <f>טבלה2[[#This Row],[Demand]]/טבלה2[[#This Row],[S]]*(טבלה2[[#This Row],[S]]-1)</f>
        <v>76.274336283185789</v>
      </c>
      <c r="C110">
        <f>Admin!M112</f>
        <v>663</v>
      </c>
      <c r="D110">
        <v>1.1299999999999999</v>
      </c>
    </row>
    <row r="111" spans="1:4" x14ac:dyDescent="0.3">
      <c r="A111">
        <v>110</v>
      </c>
      <c r="B111" s="6">
        <f>טבלה2[[#This Row],[Demand]]/טבלה2[[#This Row],[S]]*(טבלה2[[#This Row],[S]]-1)</f>
        <v>-100.44186046511629</v>
      </c>
      <c r="C111">
        <f>Admin!M113</f>
        <v>617</v>
      </c>
      <c r="D111">
        <v>0.86</v>
      </c>
    </row>
    <row r="112" spans="1:4" x14ac:dyDescent="0.3">
      <c r="A112">
        <v>111</v>
      </c>
      <c r="B112" s="6">
        <f>טבלה2[[#This Row],[Demand]]/טבלה2[[#This Row],[S]]*(טבלה2[[#This Row],[S]]-1)</f>
        <v>70.826086956521706</v>
      </c>
      <c r="C112">
        <f>Admin!M114</f>
        <v>543</v>
      </c>
      <c r="D112">
        <v>1.1499999999999999</v>
      </c>
    </row>
    <row r="113" spans="1:4" x14ac:dyDescent="0.3">
      <c r="A113">
        <v>112</v>
      </c>
      <c r="B113" s="6">
        <f>טבלה2[[#This Row],[Demand]]/טבלה2[[#This Row],[S]]*(טבלה2[[#This Row],[S]]-1)</f>
        <v>-104.18604651162791</v>
      </c>
      <c r="C113">
        <f>Admin!M115</f>
        <v>640</v>
      </c>
      <c r="D113">
        <v>0.86</v>
      </c>
    </row>
    <row r="114" spans="1:4" x14ac:dyDescent="0.3">
      <c r="A114">
        <v>113</v>
      </c>
      <c r="B114" s="6">
        <f>טבלה2[[#This Row],[Demand]]/טבלה2[[#This Row],[S]]*(טבלה2[[#This Row],[S]]-1)</f>
        <v>48.727272727272769</v>
      </c>
      <c r="C114">
        <f>Admin!M116</f>
        <v>536</v>
      </c>
      <c r="D114">
        <v>1.1000000000000001</v>
      </c>
    </row>
    <row r="115" spans="1:4" x14ac:dyDescent="0.3">
      <c r="A115">
        <v>114</v>
      </c>
      <c r="B115" s="6">
        <f>טבלה2[[#This Row],[Demand]]/טבלה2[[#This Row],[S]]*(טבלה2[[#This Row],[S]]-1)</f>
        <v>-60.222222222222207</v>
      </c>
      <c r="C115">
        <f>Admin!M117</f>
        <v>542</v>
      </c>
      <c r="D115">
        <v>0.9</v>
      </c>
    </row>
    <row r="116" spans="1:4" x14ac:dyDescent="0.3">
      <c r="A116">
        <v>115</v>
      </c>
      <c r="B116" s="6">
        <f>טבלה2[[#This Row],[Demand]]/טבלה2[[#This Row],[S]]*(טבלה2[[#This Row],[S]]-1)</f>
        <v>11.568627450980401</v>
      </c>
      <c r="C116">
        <f>Admin!M118</f>
        <v>590</v>
      </c>
      <c r="D116">
        <v>1.02</v>
      </c>
    </row>
    <row r="117" spans="1:4" x14ac:dyDescent="0.3">
      <c r="A117">
        <v>116</v>
      </c>
      <c r="B117" s="6">
        <f>טבלה2[[#This Row],[Demand]]/טבלה2[[#This Row],[S]]*(טבלה2[[#This Row],[S]]-1)</f>
        <v>85.565217391304316</v>
      </c>
      <c r="C117">
        <f>Admin!M119</f>
        <v>656</v>
      </c>
      <c r="D117">
        <v>1.1499999999999999</v>
      </c>
    </row>
    <row r="118" spans="1:4" x14ac:dyDescent="0.3">
      <c r="A118">
        <v>117</v>
      </c>
      <c r="B118" s="6">
        <f>טבלה2[[#This Row],[Demand]]/טבלה2[[#This Row],[S]]*(טבלה2[[#This Row],[S]]-1)</f>
        <v>-96.529411764705898</v>
      </c>
      <c r="C118">
        <f>Admin!M120</f>
        <v>547</v>
      </c>
      <c r="D118">
        <v>0.85</v>
      </c>
    </row>
    <row r="119" spans="1:4" x14ac:dyDescent="0.3">
      <c r="A119">
        <v>118</v>
      </c>
      <c r="B119" s="6">
        <f>טבלה2[[#This Row],[Demand]]/טבלה2[[#This Row],[S]]*(טבלה2[[#This Row],[S]]-1)</f>
        <v>25.952380952380974</v>
      </c>
      <c r="C119">
        <f>Admin!M121</f>
        <v>545</v>
      </c>
      <c r="D119">
        <v>1.05</v>
      </c>
    </row>
    <row r="120" spans="1:4" x14ac:dyDescent="0.3">
      <c r="A120">
        <v>119</v>
      </c>
      <c r="B120" s="6">
        <f>טבלה2[[#This Row],[Demand]]/טבלה2[[#This Row],[S]]*(טבלה2[[#This Row],[S]]-1)</f>
        <v>-79.101123595505598</v>
      </c>
      <c r="C120">
        <f>Admin!M122</f>
        <v>640</v>
      </c>
      <c r="D120">
        <v>0.89</v>
      </c>
    </row>
    <row r="121" spans="1:4" x14ac:dyDescent="0.3">
      <c r="A121">
        <v>120</v>
      </c>
      <c r="B121" s="6">
        <f>טבלה2[[#This Row],[Demand]]/טבלה2[[#This Row],[S]]*(טבלה2[[#This Row],[S]]-1)</f>
        <v>19.076923076923094</v>
      </c>
      <c r="C121">
        <f>Admin!M123</f>
        <v>496</v>
      </c>
      <c r="D121">
        <v>1.04</v>
      </c>
    </row>
  </sheetData>
  <sheetProtection select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ID</vt:lpstr>
      <vt:lpstr>Admin</vt:lpstr>
      <vt:lpstr>תשובות</vt:lpstr>
      <vt:lpstr>גרפים</vt:lpstr>
      <vt:lpstr>Data (2)</vt:lpstr>
      <vt:lpstr>תרשים1</vt:lpstr>
      <vt:lpstr>A0</vt:lpstr>
      <vt:lpstr>avg</vt:lpstr>
      <vt:lpstr>ID</vt:lpstr>
      <vt:lpstr>Months</vt:lpstr>
      <vt:lpstr>RefNum</vt:lpstr>
      <vt:lpstr>Seasonality</vt:lpstr>
      <vt:lpstr>SeasonalityTable</vt:lpstr>
      <vt:lpstr>Std</vt:lpstr>
      <vt:lpstr>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Ilay Shuel</cp:lastModifiedBy>
  <cp:lastPrinted>2022-04-13T14:39:59Z</cp:lastPrinted>
  <dcterms:created xsi:type="dcterms:W3CDTF">2018-04-21T19:50:28Z</dcterms:created>
  <dcterms:modified xsi:type="dcterms:W3CDTF">2024-02-22T09:14:33Z</dcterms:modified>
</cp:coreProperties>
</file>