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hris\public\"/>
    </mc:Choice>
  </mc:AlternateContent>
  <xr:revisionPtr revIDLastSave="0" documentId="13_ncr:1_{B2D11F99-1F93-4C6D-9619-9C42DA480B08}" xr6:coauthVersionLast="47" xr6:coauthVersionMax="47" xr10:uidLastSave="{00000000-0000-0000-0000-000000000000}"/>
  <bookViews>
    <workbookView xWindow="1116" yWindow="1116" windowWidth="17280" windowHeight="8880" firstSheet="1" activeTab="1" xr2:uid="{00000000-000D-0000-FFFF-FFFF00000000}"/>
  </bookViews>
  <sheets>
    <sheet name="Hitungan" sheetId="12" state="hidden" r:id="rId1"/>
    <sheet name="PRINT" sheetId="10" r:id="rId2"/>
    <sheet name="RAW ALL" sheetId="11" r:id="rId3"/>
    <sheet name="REF" sheetId="1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11" l="1"/>
  <c r="C58" i="11"/>
  <c r="C59" i="11"/>
  <c r="I57" i="11"/>
  <c r="I58" i="11"/>
  <c r="I59" i="11"/>
  <c r="G57" i="11"/>
  <c r="G58" i="11"/>
  <c r="G59" i="11"/>
  <c r="F57" i="11"/>
  <c r="F58" i="11"/>
  <c r="F59" i="11"/>
  <c r="I53" i="11"/>
  <c r="I54" i="11"/>
  <c r="I55" i="11"/>
  <c r="G53" i="11"/>
  <c r="G54" i="11"/>
  <c r="G55" i="11"/>
  <c r="G56" i="11"/>
  <c r="F53" i="11"/>
  <c r="F54" i="11"/>
  <c r="F55" i="11"/>
  <c r="F56" i="11"/>
  <c r="C53" i="11"/>
  <c r="C54" i="11"/>
  <c r="C55" i="11"/>
  <c r="C56" i="11"/>
  <c r="I49" i="11"/>
  <c r="I50" i="11"/>
  <c r="I51" i="11"/>
  <c r="G49" i="11"/>
  <c r="G50" i="11"/>
  <c r="G51" i="11"/>
  <c r="G52" i="11"/>
  <c r="F49" i="11"/>
  <c r="F50" i="11"/>
  <c r="F51" i="11"/>
  <c r="C49" i="11"/>
  <c r="C50" i="11"/>
  <c r="C51" i="11"/>
  <c r="C52" i="11"/>
  <c r="C46" i="11"/>
  <c r="C47" i="11"/>
  <c r="C48" i="11"/>
  <c r="I46" i="11"/>
  <c r="I47" i="11"/>
  <c r="I48" i="11"/>
  <c r="G45" i="11"/>
  <c r="G46" i="11"/>
  <c r="G47" i="11"/>
  <c r="G48" i="11"/>
  <c r="F46" i="11"/>
  <c r="F47" i="11"/>
  <c r="F48" i="11"/>
  <c r="P44" i="11"/>
  <c r="Q44" i="11" s="1"/>
  <c r="G43" i="11"/>
  <c r="G44" i="11"/>
  <c r="I44" i="11"/>
  <c r="I43" i="11"/>
  <c r="F44" i="11"/>
  <c r="F43" i="11"/>
  <c r="C43" i="11"/>
  <c r="C44" i="11"/>
  <c r="C45" i="11"/>
  <c r="I38" i="11"/>
  <c r="I39" i="11"/>
  <c r="I40" i="11"/>
  <c r="I41" i="11"/>
  <c r="G38" i="11"/>
  <c r="G39" i="11"/>
  <c r="G40" i="11"/>
  <c r="G41" i="11"/>
  <c r="F38" i="11"/>
  <c r="F39" i="11"/>
  <c r="F40" i="11"/>
  <c r="F41" i="11"/>
  <c r="C39" i="11"/>
  <c r="C40" i="11"/>
  <c r="C41" i="11"/>
  <c r="C38" i="11"/>
  <c r="F34" i="11" l="1"/>
  <c r="F35" i="11"/>
  <c r="F36" i="11"/>
  <c r="F37" i="11"/>
  <c r="P27" i="11" l="1"/>
  <c r="I33" i="11"/>
  <c r="I34" i="11"/>
  <c r="I35" i="11"/>
  <c r="I36" i="11"/>
  <c r="I37" i="11"/>
  <c r="I42" i="11"/>
  <c r="I45" i="11"/>
  <c r="I52" i="11"/>
  <c r="I56" i="11"/>
  <c r="G42" i="11"/>
  <c r="G34" i="11"/>
  <c r="G35" i="11"/>
  <c r="G36" i="11"/>
  <c r="G37" i="11"/>
  <c r="C34" i="11"/>
  <c r="C35" i="11"/>
  <c r="C36" i="11"/>
  <c r="C37" i="11"/>
  <c r="C42" i="11"/>
  <c r="G33" i="11" l="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13" i="11"/>
  <c r="I19" i="11" l="1"/>
  <c r="C23" i="11" l="1"/>
  <c r="C24" i="11"/>
  <c r="C25" i="11"/>
  <c r="C26" i="11"/>
  <c r="C27" i="11"/>
  <c r="C28" i="11"/>
  <c r="C29" i="11"/>
  <c r="C30" i="11"/>
  <c r="C31" i="11"/>
  <c r="C32" i="11"/>
  <c r="C33" i="11"/>
  <c r="I22" i="11"/>
  <c r="I23" i="11"/>
  <c r="I24" i="11"/>
  <c r="I25" i="11"/>
  <c r="I26" i="11"/>
  <c r="I27" i="11"/>
  <c r="I28" i="11"/>
  <c r="I29" i="11"/>
  <c r="I30" i="11"/>
  <c r="I31" i="11"/>
  <c r="I32" i="11"/>
  <c r="F29" i="11"/>
  <c r="F30" i="11"/>
  <c r="F28" i="11"/>
  <c r="N13" i="11" l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l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C14" i="11"/>
  <c r="C15" i="11"/>
  <c r="C16" i="11"/>
  <c r="C17" i="11"/>
  <c r="C18" i="11"/>
  <c r="C19" i="11"/>
  <c r="C20" i="11"/>
  <c r="C21" i="11"/>
  <c r="C22" i="11"/>
  <c r="C13" i="11"/>
  <c r="Q27" i="11"/>
  <c r="F25" i="11"/>
  <c r="F24" i="11"/>
  <c r="N46" i="11" l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F26" i="11"/>
  <c r="G153" i="11" l="1"/>
  <c r="G146" i="11"/>
  <c r="G139" i="11"/>
  <c r="G132" i="11"/>
  <c r="G125" i="11"/>
  <c r="G118" i="11"/>
  <c r="G111" i="11"/>
  <c r="G104" i="11"/>
  <c r="G97" i="11"/>
  <c r="G90" i="11"/>
  <c r="G83" i="11"/>
  <c r="G76" i="11"/>
  <c r="G69" i="11"/>
  <c r="G160" i="11" l="1"/>
  <c r="I20" i="11"/>
  <c r="F20" i="11"/>
  <c r="F19" i="11"/>
  <c r="I21" i="11"/>
  <c r="F21" i="11"/>
  <c r="F22" i="11"/>
  <c r="G152" i="11"/>
  <c r="G131" i="11"/>
  <c r="G124" i="11"/>
  <c r="G103" i="11"/>
  <c r="G96" i="11"/>
  <c r="G75" i="11"/>
  <c r="G68" i="11"/>
  <c r="F14" i="11"/>
  <c r="F15" i="11"/>
  <c r="G121" i="11" s="1"/>
  <c r="F16" i="11"/>
  <c r="F17" i="11"/>
  <c r="F18" i="11"/>
  <c r="F23" i="11"/>
  <c r="F27" i="11"/>
  <c r="G145" i="11" s="1"/>
  <c r="F31" i="11"/>
  <c r="F32" i="11"/>
  <c r="F33" i="11"/>
  <c r="F42" i="11"/>
  <c r="F45" i="11"/>
  <c r="F52" i="11"/>
  <c r="I18" i="11"/>
  <c r="I17" i="11"/>
  <c r="I16" i="11"/>
  <c r="I15" i="11"/>
  <c r="I14" i="11"/>
  <c r="G3" i="12"/>
  <c r="G2" i="12"/>
  <c r="U5" i="12"/>
  <c r="U6" i="12"/>
  <c r="U7" i="12"/>
  <c r="U8" i="12"/>
  <c r="G8" i="12"/>
  <c r="G5" i="12"/>
  <c r="G6" i="12"/>
  <c r="G7" i="12"/>
  <c r="U3" i="12"/>
  <c r="U4" i="12"/>
  <c r="U2" i="12"/>
  <c r="G4" i="12"/>
  <c r="I13" i="11"/>
  <c r="G107" i="11" l="1"/>
  <c r="G82" i="11"/>
  <c r="G110" i="11"/>
  <c r="G166" i="11" s="1"/>
  <c r="G138" i="11"/>
  <c r="G180" i="11" s="1"/>
  <c r="G89" i="11"/>
  <c r="G117" i="11"/>
  <c r="G173" i="11" s="1"/>
  <c r="G154" i="11"/>
  <c r="G147" i="11"/>
  <c r="G140" i="11"/>
  <c r="G133" i="11"/>
  <c r="G126" i="11"/>
  <c r="G112" i="11"/>
  <c r="G119" i="11"/>
  <c r="G98" i="11"/>
  <c r="G105" i="11"/>
  <c r="G84" i="11"/>
  <c r="G91" i="11"/>
  <c r="G144" i="11"/>
  <c r="G128" i="11"/>
  <c r="G85" i="11"/>
  <c r="G77" i="11"/>
  <c r="G122" i="11"/>
  <c r="G88" i="11"/>
  <c r="G115" i="11"/>
  <c r="G137" i="11"/>
  <c r="G113" i="11"/>
  <c r="G70" i="11"/>
  <c r="G100" i="11"/>
  <c r="G108" i="11"/>
  <c r="G129" i="11"/>
  <c r="G73" i="11"/>
  <c r="G81" i="11"/>
  <c r="G93" i="11"/>
  <c r="G101" i="11"/>
  <c r="G109" i="11"/>
  <c r="G130" i="11"/>
  <c r="G150" i="11"/>
  <c r="G72" i="11"/>
  <c r="G80" i="11"/>
  <c r="G149" i="11"/>
  <c r="G148" i="11"/>
  <c r="G65" i="11"/>
  <c r="G142" i="11"/>
  <c r="G66" i="11"/>
  <c r="G74" i="11"/>
  <c r="G86" i="11"/>
  <c r="G94" i="11"/>
  <c r="G102" i="11"/>
  <c r="G114" i="11"/>
  <c r="G123" i="11"/>
  <c r="G135" i="11"/>
  <c r="G143" i="11"/>
  <c r="G151" i="11"/>
  <c r="G67" i="11"/>
  <c r="G79" i="11"/>
  <c r="G87" i="11"/>
  <c r="G95" i="11"/>
  <c r="G116" i="11"/>
  <c r="G136" i="11"/>
  <c r="G71" i="11"/>
  <c r="G78" i="11"/>
  <c r="G92" i="11"/>
  <c r="G99" i="11"/>
  <c r="G106" i="11"/>
  <c r="G64" i="11"/>
  <c r="G120" i="11"/>
  <c r="G127" i="11"/>
  <c r="G134" i="11"/>
  <c r="G141" i="11"/>
  <c r="P59" i="11"/>
  <c r="Q59" i="11" s="1"/>
  <c r="G159" i="11" l="1"/>
  <c r="G187" i="11" s="1"/>
  <c r="G161" i="11"/>
  <c r="G182" i="11"/>
  <c r="G156" i="11"/>
  <c r="G168" i="11"/>
  <c r="G171" i="11"/>
  <c r="G175" i="11"/>
  <c r="G172" i="11"/>
  <c r="G164" i="11"/>
  <c r="G165" i="11"/>
  <c r="G163" i="11"/>
  <c r="G179" i="11"/>
  <c r="G174" i="11"/>
  <c r="G158" i="11"/>
  <c r="G181" i="11"/>
  <c r="G157" i="11"/>
  <c r="G178" i="11"/>
  <c r="G167" i="11"/>
  <c r="G169" i="11"/>
  <c r="G170" i="11"/>
  <c r="G176" i="11"/>
  <c r="G155" i="11"/>
  <c r="G162" i="11"/>
  <c r="G177" i="11"/>
  <c r="G184" i="11" l="1"/>
  <c r="G188" i="11"/>
  <c r="G189" i="11"/>
  <c r="G186" i="11"/>
  <c r="G185" i="11"/>
  <c r="G183" i="11"/>
</calcChain>
</file>

<file path=xl/sharedStrings.xml><?xml version="1.0" encoding="utf-8"?>
<sst xmlns="http://schemas.openxmlformats.org/spreadsheetml/2006/main" count="263" uniqueCount="114">
  <si>
    <t>No</t>
  </si>
  <si>
    <t>Kode Limbah</t>
  </si>
  <si>
    <t>Jenis Limbah</t>
  </si>
  <si>
    <t>Sumber limbah</t>
  </si>
  <si>
    <t>Kategori</t>
  </si>
  <si>
    <t>All</t>
  </si>
  <si>
    <t>rata2</t>
  </si>
  <si>
    <t>jan</t>
  </si>
  <si>
    <t>feb</t>
  </si>
  <si>
    <t>tot</t>
  </si>
  <si>
    <t>A337 - 1</t>
  </si>
  <si>
    <t>limbah klinis infeksius + pembalut</t>
  </si>
  <si>
    <t>Poliklinik</t>
  </si>
  <si>
    <t>Infecsius</t>
  </si>
  <si>
    <t>B104 d</t>
  </si>
  <si>
    <t>Kemasan Bekas B3 (Pembersih+baygon+pengharum ruangan)</t>
  </si>
  <si>
    <t>Office</t>
  </si>
  <si>
    <t>Irritation</t>
  </si>
  <si>
    <t>B110 d</t>
  </si>
  <si>
    <t>kain majun bekas</t>
  </si>
  <si>
    <t>B105 d</t>
  </si>
  <si>
    <t>oli bekas</t>
  </si>
  <si>
    <t>Kendaraan</t>
  </si>
  <si>
    <t>Flameable</t>
  </si>
  <si>
    <t>B321 - 4</t>
  </si>
  <si>
    <t>tinta bekas</t>
  </si>
  <si>
    <t>B107 d</t>
  </si>
  <si>
    <t>lampu bekas</t>
  </si>
  <si>
    <t>Werehouse</t>
  </si>
  <si>
    <t>Explosive</t>
  </si>
  <si>
    <t>A102 d</t>
  </si>
  <si>
    <t>baterai bekas</t>
  </si>
  <si>
    <t>PENCATATAN PENGELOLAAN LIMBAH B3</t>
  </si>
  <si>
    <t>( LOG BOOK )</t>
  </si>
  <si>
    <t>LEMBAR KEGIATAN LIMBAH BAHAN BERBAHAYA DAN BERACUN</t>
  </si>
  <si>
    <t>MPS BRONDONG</t>
  </si>
  <si>
    <t>PERIODE   :</t>
  </si>
  <si>
    <t>MASUKNYA LIMBAH KE TPS</t>
  </si>
  <si>
    <t>KELUARNYA LIMBAH DARI TPS</t>
  </si>
  <si>
    <t>SISA</t>
  </si>
  <si>
    <t>PARAF PETUGAS</t>
  </si>
  <si>
    <t>LAPORAN FESTRONIK (KG)</t>
  </si>
  <si>
    <t>LAPORAN FESTRONIK (TON)</t>
  </si>
  <si>
    <t>NO</t>
  </si>
  <si>
    <t>JENIS LIMBAH MASUK</t>
  </si>
  <si>
    <t>KODE JENIS LIMBAH</t>
  </si>
  <si>
    <t>TGL MASUK LIMBAH B3</t>
  </si>
  <si>
    <t>BULAN</t>
  </si>
  <si>
    <t>SUMBER LIMBAH B3</t>
  </si>
  <si>
    <t>JUMLAH LIMBAH B3</t>
  </si>
  <si>
    <t>MAKS PENYIMPANAN s/d TGL</t>
  </si>
  <si>
    <t>TGL LIMBAH KELUAR</t>
  </si>
  <si>
    <t>TUJUAN PENYERAHAN</t>
  </si>
  <si>
    <t>BUKTI NOMER DOKUMEN</t>
  </si>
  <si>
    <t>SISA LIMBAH B3 YANG ADA DI TPS</t>
  </si>
  <si>
    <t>(t=0 + 90 hr , 180 hr)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</si>
  <si>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</si>
  <si>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</si>
  <si>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</si>
  <si>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</si>
  <si>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</si>
  <si>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</si>
  <si>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</si>
  <si>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</si>
  <si>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</si>
  <si>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</si>
  <si>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</si>
  <si>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</si>
  <si>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</si>
  <si>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Dimusnahkan</t>
  </si>
  <si>
    <t>Total Per Jenis Limbah Per Bulan</t>
  </si>
  <si>
    <t>Desember tahun lalu</t>
  </si>
  <si>
    <t>1. A337 - 1 (limbah infeksius)</t>
  </si>
  <si>
    <t>2. B104 d (Kemasan Bekas B3)</t>
  </si>
  <si>
    <t>3. B110 d (kain majun bekas)</t>
  </si>
  <si>
    <t>4. B105 d (oli bekas)</t>
  </si>
  <si>
    <t>5. B107 d (lampu bekas)</t>
  </si>
  <si>
    <t>6. A102 d (baterai bekas)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</si>
  <si>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</si>
  <si>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</si>
  <si>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</si>
  <si>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</si>
  <si>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</si>
  <si>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</si>
  <si>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</si>
  <si>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</si>
  <si>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</si>
  <si>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</si>
  <si>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</si>
  <si>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</si>
  <si>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Triwulan I (Jan-Mar)</t>
  </si>
  <si>
    <t>6. B107 d (lampu bekas)</t>
  </si>
  <si>
    <t>7. A102 d (baterai bekas)</t>
  </si>
  <si>
    <t>Triwulan II (Apr-Jun)</t>
  </si>
  <si>
    <t>Triwulan III (Jul-Sep)</t>
  </si>
  <si>
    <t>Triwulan IV (Okt-Des)</t>
  </si>
  <si>
    <t>Setahun</t>
  </si>
  <si>
    <t>List Jenis limbah (+ Sumber Limbah)</t>
  </si>
  <si>
    <t>1. limbah infeksius (Poliklinik)</t>
  </si>
  <si>
    <t>|| 3. Kain Majun Bekas (Office)</t>
  </si>
  <si>
    <t>|| 5. Lampu Bekas (Office)</t>
  </si>
  <si>
    <t>2. Kemasan Bekas B3 (Office)</t>
  </si>
  <si>
    <t>|| 4. Oli Bekas (Kendaraan)</t>
  </si>
  <si>
    <t>|| 6. Baterai Bekas (Werehouse)</t>
  </si>
  <si>
    <t>NO KODE</t>
  </si>
  <si>
    <t>NAMA JENIS B3</t>
  </si>
  <si>
    <t>SUMBER</t>
  </si>
  <si>
    <t>A337 - 1 (limbah infeksius)</t>
  </si>
  <si>
    <t>B104 d (Kemasan Bekas B3)</t>
  </si>
  <si>
    <t>B110 d (kain majun bekas)</t>
  </si>
  <si>
    <t>B105 d (oli bekas)</t>
  </si>
  <si>
    <t>A102 d (baterai bekas)</t>
  </si>
  <si>
    <t>5. B107 d (limbah elektronik)</t>
  </si>
  <si>
    <t>B107 d (limbah elektronik)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</si>
</sst>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21]dd\ mmmm\ yyyy;@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22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3" borderId="26" xfId="0" applyFont="1" applyFill="1" applyBorder="1" applyAlignment="1">
      <alignment horizontal="center" vertical="center"/>
    </xf>
    <xf numFmtId="15" fontId="0" fillId="0" borderId="10" xfId="0" applyNumberFormat="1" applyBorder="1" applyAlignment="1">
      <alignment horizontal="left" vertical="center"/>
    </xf>
    <xf numFmtId="15" fontId="0" fillId="0" borderId="10" xfId="0" quotePrefix="1" applyNumberFormat="1" applyBorder="1" applyAlignment="1">
      <alignment horizontal="left" vertical="center"/>
    </xf>
    <xf numFmtId="0" fontId="1" fillId="6" borderId="0" xfId="0" quotePrefix="1" applyFont="1" applyFill="1" applyAlignment="1">
      <alignment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15" fontId="3" fillId="0" borderId="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2" fontId="3" fillId="0" borderId="27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5" fontId="3" fillId="0" borderId="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0" fillId="7" borderId="29" xfId="0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2" fontId="0" fillId="0" borderId="33" xfId="0" applyNumberFormat="1" applyBorder="1" applyAlignment="1">
      <alignment vertical="center"/>
    </xf>
    <xf numFmtId="0" fontId="0" fillId="0" borderId="34" xfId="0" applyBorder="1" applyAlignment="1">
      <alignment vertical="center"/>
    </xf>
    <xf numFmtId="164" fontId="0" fillId="0" borderId="33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165" fontId="0" fillId="0" borderId="10" xfId="0" applyNumberFormat="1" applyBorder="1" applyAlignment="1">
      <alignment horizontal="left" vertical="center"/>
    </xf>
    <xf numFmtId="165" fontId="3" fillId="0" borderId="22" xfId="0" applyNumberFormat="1" applyFont="1" applyBorder="1" applyAlignment="1">
      <alignment vertical="center"/>
    </xf>
    <xf numFmtId="166" fontId="0" fillId="0" borderId="0" xfId="0" applyNumberFormat="1"/>
    <xf numFmtId="1" fontId="0" fillId="0" borderId="10" xfId="0" applyNumberFormat="1" applyBorder="1" applyAlignment="1">
      <alignment horizontal="left" vertical="center"/>
    </xf>
    <xf numFmtId="0" fontId="0" fillId="7" borderId="0" xfId="0" applyFill="1" applyAlignment="1">
      <alignment vertical="center"/>
    </xf>
    <xf numFmtId="164" fontId="0" fillId="0" borderId="34" xfId="0" applyNumberFormat="1" applyBorder="1" applyAlignment="1">
      <alignment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workbookViewId="0">
      <selection activeCell="D2" sqref="D2:D8"/>
    </sheetView>
  </sheetViews>
  <sheetFormatPr defaultRowHeight="14.4" x14ac:dyDescent="0.3"/>
  <cols>
    <col min="2" max="2" width="12.44140625" bestFit="1" customWidth="1"/>
    <col min="3" max="3" width="56.33203125" bestFit="1" customWidth="1"/>
    <col min="4" max="5" width="14.5546875" customWidth="1"/>
    <col min="7" max="7" width="12" bestFit="1" customWidth="1"/>
    <col min="11" max="20" width="0" hidden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U1" t="s">
        <v>9</v>
      </c>
    </row>
    <row r="2" spans="1:21" x14ac:dyDescent="0.3">
      <c r="A2">
        <v>1</v>
      </c>
      <c r="B2" t="s">
        <v>10</v>
      </c>
      <c r="C2" t="s">
        <v>11</v>
      </c>
      <c r="D2" t="s">
        <v>12</v>
      </c>
      <c r="E2" t="s">
        <v>13</v>
      </c>
      <c r="G2" s="58">
        <f t="shared" ref="G2:G8" si="0">F2/COUNTA($H$1:$T$1)</f>
        <v>0</v>
      </c>
      <c r="U2">
        <f>SUM(H2:T2)</f>
        <v>0</v>
      </c>
    </row>
    <row r="3" spans="1:21" x14ac:dyDescent="0.3">
      <c r="A3">
        <v>2</v>
      </c>
      <c r="B3" t="s">
        <v>14</v>
      </c>
      <c r="C3" t="s">
        <v>15</v>
      </c>
      <c r="D3" t="s">
        <v>16</v>
      </c>
      <c r="E3" t="s">
        <v>17</v>
      </c>
      <c r="G3" s="58">
        <f t="shared" si="0"/>
        <v>0</v>
      </c>
      <c r="U3">
        <f t="shared" ref="U3:U8" si="1">SUM(H3:T3)</f>
        <v>0</v>
      </c>
    </row>
    <row r="4" spans="1:21" x14ac:dyDescent="0.3">
      <c r="A4">
        <v>3</v>
      </c>
      <c r="B4" t="s">
        <v>18</v>
      </c>
      <c r="C4" t="s">
        <v>19</v>
      </c>
      <c r="D4" t="s">
        <v>16</v>
      </c>
      <c r="E4" t="s">
        <v>17</v>
      </c>
      <c r="G4" s="58">
        <f t="shared" si="0"/>
        <v>0</v>
      </c>
      <c r="U4">
        <f t="shared" si="1"/>
        <v>0</v>
      </c>
    </row>
    <row r="5" spans="1:21" x14ac:dyDescent="0.3">
      <c r="A5">
        <v>4</v>
      </c>
      <c r="B5" t="s">
        <v>20</v>
      </c>
      <c r="C5" t="s">
        <v>21</v>
      </c>
      <c r="D5" t="s">
        <v>22</v>
      </c>
      <c r="E5" t="s">
        <v>23</v>
      </c>
      <c r="G5" s="58">
        <f t="shared" si="0"/>
        <v>0</v>
      </c>
      <c r="U5">
        <f t="shared" si="1"/>
        <v>0</v>
      </c>
    </row>
    <row r="6" spans="1:21" x14ac:dyDescent="0.3">
      <c r="A6">
        <v>5</v>
      </c>
      <c r="B6" t="s">
        <v>24</v>
      </c>
      <c r="C6" t="s">
        <v>25</v>
      </c>
      <c r="D6" t="s">
        <v>16</v>
      </c>
      <c r="E6" t="s">
        <v>17</v>
      </c>
      <c r="G6" s="58">
        <f t="shared" si="0"/>
        <v>0</v>
      </c>
      <c r="U6">
        <f t="shared" si="1"/>
        <v>0</v>
      </c>
    </row>
    <row r="7" spans="1:21" x14ac:dyDescent="0.3">
      <c r="A7">
        <v>6</v>
      </c>
      <c r="B7" t="s">
        <v>26</v>
      </c>
      <c r="C7" t="s">
        <v>27</v>
      </c>
      <c r="D7" t="s">
        <v>28</v>
      </c>
      <c r="E7" t="s">
        <v>29</v>
      </c>
      <c r="G7" s="58">
        <f t="shared" si="0"/>
        <v>0</v>
      </c>
      <c r="U7">
        <f t="shared" si="1"/>
        <v>0</v>
      </c>
    </row>
    <row r="8" spans="1:21" x14ac:dyDescent="0.3">
      <c r="A8">
        <v>7</v>
      </c>
      <c r="B8" t="s">
        <v>30</v>
      </c>
      <c r="C8" t="s">
        <v>31</v>
      </c>
      <c r="D8" t="s">
        <v>16</v>
      </c>
      <c r="E8" t="s">
        <v>29</v>
      </c>
      <c r="G8" s="58">
        <f t="shared" si="0"/>
        <v>0</v>
      </c>
      <c r="U8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M48"/>
  <sheetViews>
    <sheetView tabSelected="1" zoomScale="90" zoomScaleNormal="90" workbookViewId="0">
      <selection activeCell="D7" sqref="D7"/>
    </sheetView>
  </sheetViews>
  <sheetFormatPr defaultColWidth="9.109375" defaultRowHeight="14.4" x14ac:dyDescent="0.3"/>
  <cols>
    <col min="1" max="1" width="1.88671875" style="3" customWidth="1"/>
    <col min="2" max="2" width="4.109375" style="3" customWidth="1"/>
    <col min="3" max="3" width="27.5546875" style="3" bestFit="1" customWidth="1"/>
    <col min="4" max="4" width="18" style="3" bestFit="1" customWidth="1"/>
    <col min="5" max="5" width="12.33203125" style="3" bestFit="1" customWidth="1"/>
    <col min="6" max="6" width="13.88671875" style="3" customWidth="1"/>
    <col min="7" max="7" width="20.33203125" style="3" customWidth="1"/>
    <col min="8" max="8" width="18" style="3" customWidth="1"/>
    <col min="9" max="9" width="14.6640625" style="3" customWidth="1"/>
    <col min="10" max="10" width="15.6640625" style="3" customWidth="1"/>
    <col min="11" max="11" width="14.33203125" style="3" customWidth="1"/>
    <col min="12" max="12" width="14.88671875" style="3" customWidth="1"/>
    <col min="13" max="16384" width="9.109375" style="3"/>
  </cols>
  <sheetData>
    <row r="2" spans="2:13" ht="18" x14ac:dyDescent="0.3">
      <c r="B2" s="87" t="s">
        <v>32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2:13" ht="18" x14ac:dyDescent="0.3">
      <c r="B3" s="87" t="s">
        <v>33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2:13" ht="18" x14ac:dyDescent="0.3">
      <c r="B4" s="88" t="s">
        <v>34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90"/>
    </row>
    <row r="5" spans="2:13" ht="18" x14ac:dyDescent="0.3">
      <c r="B5" s="87" t="s">
        <v>35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</row>
    <row r="7" spans="2:13" ht="15" thickBot="1" x14ac:dyDescent="0.35">
      <c r="B7" s="91" t="s">
        <v>36</v>
      </c>
      <c r="C7" s="91"/>
      <c r="D7" s="22">
        <v>2022</v>
      </c>
    </row>
    <row r="8" spans="2:13" x14ac:dyDescent="0.3">
      <c r="B8" s="73" t="s">
        <v>37</v>
      </c>
      <c r="C8" s="74"/>
      <c r="D8" s="74"/>
      <c r="E8" s="74"/>
      <c r="F8" s="74"/>
      <c r="G8" s="75"/>
      <c r="H8" s="76" t="s">
        <v>38</v>
      </c>
      <c r="I8" s="77"/>
      <c r="J8" s="77"/>
      <c r="K8" s="78"/>
      <c r="L8" s="19" t="s">
        <v>39</v>
      </c>
      <c r="M8" s="79" t="s">
        <v>40</v>
      </c>
    </row>
    <row r="9" spans="2:13" ht="41.25" customHeight="1" x14ac:dyDescent="0.3">
      <c r="B9" s="65" t="s">
        <v>43</v>
      </c>
      <c r="C9" s="67" t="s">
        <v>44</v>
      </c>
      <c r="D9" s="67" t="s">
        <v>46</v>
      </c>
      <c r="E9" s="67" t="s">
        <v>48</v>
      </c>
      <c r="F9" s="67" t="s">
        <v>49</v>
      </c>
      <c r="G9" s="4" t="s">
        <v>50</v>
      </c>
      <c r="H9" s="69" t="s">
        <v>51</v>
      </c>
      <c r="I9" s="71" t="s">
        <v>49</v>
      </c>
      <c r="J9" s="71" t="s">
        <v>52</v>
      </c>
      <c r="K9" s="82" t="s">
        <v>53</v>
      </c>
      <c r="L9" s="84" t="s">
        <v>54</v>
      </c>
      <c r="M9" s="80"/>
    </row>
    <row r="10" spans="2:13" ht="28.5" customHeight="1" thickBot="1" x14ac:dyDescent="0.35">
      <c r="B10" s="66"/>
      <c r="C10" s="68"/>
      <c r="D10" s="68"/>
      <c r="E10" s="68"/>
      <c r="F10" s="68"/>
      <c r="G10" s="2" t="s">
        <v>55</v>
      </c>
      <c r="H10" s="70"/>
      <c r="I10" s="72"/>
      <c r="J10" s="72"/>
      <c r="K10" s="83"/>
      <c r="L10" s="85"/>
      <c r="M10" s="81"/>
    </row>
    <row r="11" spans="2:13" ht="15" thickBot="1" x14ac:dyDescent="0.35">
      <c r="B11" s="5" t="s">
        <v>56</v>
      </c>
      <c r="C11" s="6" t="s">
        <v>57</v>
      </c>
      <c r="D11" s="6" t="s">
        <v>58</v>
      </c>
      <c r="E11" s="6" t="s">
        <v>59</v>
      </c>
      <c r="F11" s="6" t="s">
        <v>60</v>
      </c>
      <c r="G11" s="7" t="s">
        <v>61</v>
      </c>
      <c r="H11" s="8" t="s">
        <v>62</v>
      </c>
      <c r="I11" s="9" t="s">
        <v>63</v>
      </c>
      <c r="J11" s="9" t="s">
        <v>64</v>
      </c>
      <c r="K11" s="10" t="s">
        <v>65</v>
      </c>
      <c r="L11" s="11" t="s">
        <v>66</v>
      </c>
      <c r="M11" s="12" t="s">
        <v>67</v>
      </c>
    </row>
    <row r="12" spans="2:13" x14ac:dyDescent="0.3">
      <c r="B12" s="13"/>
      <c r="C12" s="14"/>
      <c r="D12" s="14"/>
      <c r="E12" s="14"/>
      <c r="F12" s="39"/>
      <c r="G12" s="40"/>
      <c r="H12" s="41"/>
      <c r="I12" s="42"/>
      <c r="J12" s="39"/>
      <c r="K12" s="43"/>
      <c r="L12" s="44"/>
      <c r="M12" s="45"/>
    </row>
    <row r="13" spans="2:13" ht="15" customHeight="1" x14ac:dyDescent="0.3">
      <c r="B13" s="15"/>
      <c r="C13" s="56"/>
      <c r="D13" s="56"/>
      <c r="E13" s="16"/>
      <c r="F13" s="23"/>
      <c r="G13" s="24"/>
      <c r="H13" s="25"/>
      <c r="I13" s="26"/>
      <c r="J13" s="27"/>
      <c r="K13" s="28"/>
      <c r="L13" s="29"/>
      <c r="M13" s="37"/>
    </row>
    <row r="14" spans="2:13" x14ac:dyDescent="0.3">
      <c r="B14" s="15"/>
      <c r="C14" s="56"/>
      <c r="D14" s="21"/>
      <c r="E14" s="16"/>
      <c r="F14" s="23"/>
      <c r="G14" s="24"/>
      <c r="H14" s="25"/>
      <c r="I14" s="26"/>
      <c r="J14" s="27"/>
      <c r="K14" s="28"/>
      <c r="L14" s="29"/>
      <c r="M14" s="37"/>
    </row>
    <row r="15" spans="2:13" x14ac:dyDescent="0.3">
      <c r="B15" s="15"/>
      <c r="C15" s="56"/>
      <c r="D15" s="21"/>
      <c r="E15" s="16"/>
      <c r="F15" s="23"/>
      <c r="G15" s="24"/>
      <c r="H15" s="25"/>
      <c r="I15" s="26"/>
      <c r="J15" s="27"/>
      <c r="K15" s="28"/>
      <c r="L15" s="29"/>
      <c r="M15" s="37"/>
    </row>
    <row r="16" spans="2:13" x14ac:dyDescent="0.3">
      <c r="B16" s="15"/>
      <c r="C16" s="56"/>
      <c r="D16" s="21"/>
      <c r="E16" s="16"/>
      <c r="F16" s="23"/>
      <c r="G16" s="24"/>
      <c r="H16" s="25"/>
      <c r="I16" s="26"/>
      <c r="J16" s="26"/>
      <c r="K16" s="30"/>
      <c r="L16" s="29"/>
      <c r="M16" s="37"/>
    </row>
    <row r="17" spans="2:13" x14ac:dyDescent="0.3">
      <c r="B17" s="15"/>
      <c r="C17" s="56"/>
      <c r="D17" s="21"/>
      <c r="E17" s="16"/>
      <c r="F17" s="23"/>
      <c r="G17" s="24"/>
      <c r="H17" s="25"/>
      <c r="I17" s="26"/>
      <c r="J17" s="27"/>
      <c r="K17" s="28"/>
      <c r="L17" s="29"/>
      <c r="M17" s="37"/>
    </row>
    <row r="18" spans="2:13" x14ac:dyDescent="0.3">
      <c r="B18" s="15"/>
      <c r="C18" s="56"/>
      <c r="D18" s="21"/>
      <c r="E18" s="16"/>
      <c r="F18" s="23"/>
      <c r="G18" s="24"/>
      <c r="H18" s="25"/>
      <c r="I18" s="26"/>
      <c r="J18" s="27"/>
      <c r="K18" s="28"/>
      <c r="L18" s="29"/>
      <c r="M18" s="37"/>
    </row>
    <row r="19" spans="2:13" x14ac:dyDescent="0.3">
      <c r="B19" s="15"/>
      <c r="C19" s="56"/>
      <c r="D19" s="21"/>
      <c r="E19" s="16"/>
      <c r="F19" s="23"/>
      <c r="G19" s="24"/>
      <c r="H19" s="25"/>
      <c r="I19" s="26"/>
      <c r="J19" s="26"/>
      <c r="K19" s="30"/>
      <c r="L19" s="29"/>
      <c r="M19" s="37"/>
    </row>
    <row r="20" spans="2:13" x14ac:dyDescent="0.3">
      <c r="B20" s="15"/>
      <c r="C20" s="56"/>
      <c r="D20" s="21"/>
      <c r="E20" s="16"/>
      <c r="F20" s="23"/>
      <c r="G20" s="24"/>
      <c r="H20" s="25"/>
      <c r="I20" s="26"/>
      <c r="J20" s="26"/>
      <c r="K20" s="30"/>
      <c r="L20" s="29"/>
      <c r="M20" s="37"/>
    </row>
    <row r="21" spans="2:13" x14ac:dyDescent="0.3">
      <c r="B21" s="15"/>
      <c r="C21" s="56"/>
      <c r="D21" s="21"/>
      <c r="E21" s="16"/>
      <c r="F21" s="23"/>
      <c r="G21" s="24"/>
      <c r="H21" s="25"/>
      <c r="I21" s="26"/>
      <c r="J21" s="26"/>
      <c r="K21" s="28"/>
      <c r="L21" s="29"/>
      <c r="M21" s="37"/>
    </row>
    <row r="22" spans="2:13" x14ac:dyDescent="0.3">
      <c r="B22" s="15"/>
      <c r="C22" s="56"/>
      <c r="D22" s="21"/>
      <c r="E22" s="16"/>
      <c r="F22" s="23"/>
      <c r="G22" s="24"/>
      <c r="H22" s="25"/>
      <c r="I22" s="26"/>
      <c r="J22" s="26"/>
      <c r="K22" s="30"/>
      <c r="L22" s="29"/>
      <c r="M22" s="37"/>
    </row>
    <row r="23" spans="2:13" x14ac:dyDescent="0.3">
      <c r="B23" s="15"/>
      <c r="C23" s="56"/>
      <c r="D23" s="21"/>
      <c r="E23" s="16"/>
      <c r="F23" s="23"/>
      <c r="G23" s="24"/>
      <c r="H23" s="25"/>
      <c r="I23" s="26"/>
      <c r="J23" s="27"/>
      <c r="K23" s="28"/>
      <c r="L23" s="29"/>
      <c r="M23" s="37"/>
    </row>
    <row r="24" spans="2:13" x14ac:dyDescent="0.3">
      <c r="B24" s="15"/>
      <c r="C24" s="56"/>
      <c r="D24" s="20"/>
      <c r="E24" s="16"/>
      <c r="F24" s="23"/>
      <c r="G24" s="24"/>
      <c r="H24" s="25"/>
      <c r="I24" s="26"/>
      <c r="J24" s="27"/>
      <c r="K24" s="28"/>
      <c r="L24" s="29"/>
      <c r="M24" s="37"/>
    </row>
    <row r="25" spans="2:13" x14ac:dyDescent="0.3">
      <c r="B25" s="15"/>
      <c r="C25" s="56"/>
      <c r="D25" s="21"/>
      <c r="E25" s="16"/>
      <c r="F25" s="23"/>
      <c r="G25" s="24"/>
      <c r="H25" s="25"/>
      <c r="I25" s="26"/>
      <c r="J25" s="27"/>
      <c r="K25" s="28"/>
      <c r="L25" s="29"/>
      <c r="M25" s="37"/>
    </row>
    <row r="26" spans="2:13" x14ac:dyDescent="0.3">
      <c r="B26" s="15"/>
      <c r="C26" s="56"/>
      <c r="D26" s="21"/>
      <c r="E26" s="16"/>
      <c r="F26" s="23"/>
      <c r="G26" s="24"/>
      <c r="H26" s="25"/>
      <c r="I26" s="26"/>
      <c r="J26" s="27"/>
      <c r="K26" s="28"/>
      <c r="L26" s="29"/>
      <c r="M26" s="37"/>
    </row>
    <row r="27" spans="2:13" x14ac:dyDescent="0.3">
      <c r="B27" s="15"/>
      <c r="C27" s="56"/>
      <c r="D27" s="21"/>
      <c r="E27" s="16"/>
      <c r="F27" s="23"/>
      <c r="G27" s="24"/>
      <c r="H27" s="25"/>
      <c r="I27" s="26"/>
      <c r="J27" s="27"/>
      <c r="K27" s="28"/>
      <c r="L27" s="29"/>
      <c r="M27" s="37"/>
    </row>
    <row r="28" spans="2:13" x14ac:dyDescent="0.3">
      <c r="B28" s="15"/>
      <c r="C28" s="56"/>
      <c r="D28" s="21"/>
      <c r="E28" s="16"/>
      <c r="F28" s="23"/>
      <c r="G28" s="24"/>
      <c r="H28" s="25"/>
      <c r="I28" s="26"/>
      <c r="J28" s="26"/>
      <c r="K28" s="30"/>
      <c r="L28" s="29"/>
      <c r="M28" s="37"/>
    </row>
    <row r="29" spans="2:13" x14ac:dyDescent="0.3">
      <c r="B29" s="15"/>
      <c r="C29" s="56"/>
      <c r="D29" s="21"/>
      <c r="E29" s="16"/>
      <c r="F29" s="23"/>
      <c r="G29" s="24"/>
      <c r="H29" s="25"/>
      <c r="I29" s="26"/>
      <c r="J29" s="26"/>
      <c r="K29" s="30"/>
      <c r="L29" s="29"/>
      <c r="M29" s="37"/>
    </row>
    <row r="30" spans="2:13" x14ac:dyDescent="0.3">
      <c r="B30" s="15"/>
      <c r="C30" s="56"/>
      <c r="D30" s="21"/>
      <c r="E30" s="16"/>
      <c r="F30" s="23"/>
      <c r="G30" s="24"/>
      <c r="H30" s="25"/>
      <c r="I30" s="26"/>
      <c r="J30" s="26"/>
      <c r="K30" s="28"/>
      <c r="L30" s="29"/>
      <c r="M30" s="37"/>
    </row>
    <row r="31" spans="2:13" x14ac:dyDescent="0.3">
      <c r="B31" s="15"/>
      <c r="C31" s="56"/>
      <c r="D31" s="21"/>
      <c r="E31" s="16"/>
      <c r="F31" s="23"/>
      <c r="G31" s="24"/>
      <c r="H31" s="25"/>
      <c r="I31" s="26"/>
      <c r="J31" s="26"/>
      <c r="K31" s="30"/>
      <c r="L31" s="29"/>
      <c r="M31" s="37"/>
    </row>
    <row r="32" spans="2:13" x14ac:dyDescent="0.3">
      <c r="B32" s="15"/>
      <c r="C32" s="56"/>
      <c r="D32" s="21"/>
      <c r="E32" s="16"/>
      <c r="F32" s="23"/>
      <c r="G32" s="24"/>
      <c r="H32" s="25"/>
      <c r="I32" s="26"/>
      <c r="J32" s="27"/>
      <c r="K32" s="28"/>
      <c r="L32" s="29"/>
      <c r="M32" s="37"/>
    </row>
    <row r="33" spans="2:13" x14ac:dyDescent="0.3">
      <c r="B33" s="15"/>
      <c r="C33" s="56"/>
      <c r="D33" s="20"/>
      <c r="E33" s="16"/>
      <c r="F33" s="23"/>
      <c r="G33" s="24"/>
      <c r="H33" s="25"/>
      <c r="I33" s="26"/>
      <c r="J33" s="27"/>
      <c r="K33" s="28"/>
      <c r="L33" s="29"/>
      <c r="M33" s="37"/>
    </row>
    <row r="34" spans="2:13" x14ac:dyDescent="0.3">
      <c r="B34" s="15"/>
      <c r="C34" s="56"/>
      <c r="D34" s="21"/>
      <c r="E34" s="16"/>
      <c r="F34" s="23"/>
      <c r="G34" s="24"/>
      <c r="H34" s="25"/>
      <c r="I34" s="26"/>
      <c r="J34" s="27"/>
      <c r="K34" s="28"/>
      <c r="L34" s="29"/>
      <c r="M34" s="37"/>
    </row>
    <row r="35" spans="2:13" x14ac:dyDescent="0.3">
      <c r="B35" s="15"/>
      <c r="C35" s="56"/>
      <c r="D35" s="21"/>
      <c r="E35" s="16"/>
      <c r="F35" s="23"/>
      <c r="G35" s="24"/>
      <c r="H35" s="25"/>
      <c r="I35" s="26"/>
      <c r="J35" s="27"/>
      <c r="K35" s="28"/>
      <c r="L35" s="29"/>
      <c r="M35" s="37"/>
    </row>
    <row r="36" spans="2:13" x14ac:dyDescent="0.3">
      <c r="B36" s="15"/>
      <c r="C36" s="56"/>
      <c r="D36" s="21"/>
      <c r="E36" s="16"/>
      <c r="F36" s="23"/>
      <c r="G36" s="24"/>
      <c r="H36" s="25"/>
      <c r="I36" s="26"/>
      <c r="J36" s="27"/>
      <c r="K36" s="28"/>
      <c r="L36" s="29"/>
      <c r="M36" s="37"/>
    </row>
    <row r="37" spans="2:13" x14ac:dyDescent="0.3">
      <c r="B37" s="15"/>
      <c r="C37" s="56"/>
      <c r="D37" s="21"/>
      <c r="E37" s="16"/>
      <c r="F37" s="23"/>
      <c r="G37" s="24"/>
      <c r="H37" s="25"/>
      <c r="I37" s="26"/>
      <c r="J37" s="26"/>
      <c r="K37" s="30"/>
      <c r="L37" s="29"/>
      <c r="M37" s="37"/>
    </row>
    <row r="38" spans="2:13" x14ac:dyDescent="0.3">
      <c r="B38" s="15"/>
      <c r="C38" s="56"/>
      <c r="D38" s="21"/>
      <c r="E38" s="16"/>
      <c r="F38" s="23"/>
      <c r="G38" s="24"/>
      <c r="H38" s="25"/>
      <c r="I38" s="26"/>
      <c r="J38" s="26"/>
      <c r="K38" s="30"/>
      <c r="L38" s="29"/>
      <c r="M38" s="37"/>
    </row>
    <row r="39" spans="2:13" x14ac:dyDescent="0.3">
      <c r="B39" s="15"/>
      <c r="C39" s="56"/>
      <c r="D39" s="21"/>
      <c r="E39" s="16"/>
      <c r="F39" s="23"/>
      <c r="G39" s="24"/>
      <c r="H39" s="25"/>
      <c r="I39" s="26"/>
      <c r="J39" s="26"/>
      <c r="K39" s="28"/>
      <c r="L39" s="29"/>
      <c r="M39" s="37"/>
    </row>
    <row r="40" spans="2:13" x14ac:dyDescent="0.3">
      <c r="B40" s="15"/>
      <c r="C40" s="56"/>
      <c r="D40" s="21"/>
      <c r="E40" s="16"/>
      <c r="F40" s="23"/>
      <c r="G40" s="24"/>
      <c r="H40" s="25"/>
      <c r="I40" s="26"/>
      <c r="J40" s="26"/>
      <c r="K40" s="30"/>
      <c r="L40" s="29"/>
      <c r="M40" s="37"/>
    </row>
    <row r="41" spans="2:13" x14ac:dyDescent="0.3">
      <c r="B41" s="15"/>
      <c r="C41" s="56"/>
      <c r="D41" s="21"/>
      <c r="E41" s="16"/>
      <c r="F41" s="23"/>
      <c r="G41" s="24"/>
      <c r="H41" s="25"/>
      <c r="I41" s="26"/>
      <c r="J41" s="27"/>
      <c r="K41" s="28"/>
      <c r="L41" s="29"/>
      <c r="M41" s="37"/>
    </row>
    <row r="42" spans="2:13" x14ac:dyDescent="0.3">
      <c r="B42" s="15"/>
      <c r="C42" s="56"/>
      <c r="D42" s="21"/>
      <c r="E42" s="16"/>
      <c r="F42" s="23"/>
      <c r="G42" s="24"/>
      <c r="H42" s="25"/>
      <c r="I42" s="26"/>
      <c r="J42" s="26"/>
      <c r="K42" s="30"/>
      <c r="L42" s="29"/>
      <c r="M42" s="37"/>
    </row>
    <row r="43" spans="2:13" x14ac:dyDescent="0.3">
      <c r="B43" s="15"/>
      <c r="C43" s="56"/>
      <c r="D43" s="21"/>
      <c r="E43" s="16"/>
      <c r="F43" s="23"/>
      <c r="G43" s="24"/>
      <c r="H43" s="25"/>
      <c r="I43" s="26"/>
      <c r="J43" s="27"/>
      <c r="K43" s="28"/>
      <c r="L43" s="29"/>
      <c r="M43" s="37"/>
    </row>
    <row r="44" spans="2:13" x14ac:dyDescent="0.3">
      <c r="B44" s="15"/>
      <c r="C44" s="56"/>
      <c r="D44" s="20"/>
      <c r="E44" s="16"/>
      <c r="F44" s="23"/>
      <c r="G44" s="24"/>
      <c r="H44" s="25"/>
      <c r="I44" s="26"/>
      <c r="J44" s="27"/>
      <c r="K44" s="28"/>
      <c r="L44" s="29"/>
      <c r="M44" s="37"/>
    </row>
    <row r="45" spans="2:13" x14ac:dyDescent="0.3">
      <c r="L45" s="1"/>
    </row>
    <row r="46" spans="2:13" x14ac:dyDescent="0.3">
      <c r="B46" s="92" t="s">
        <v>97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</row>
    <row r="47" spans="2:13" x14ac:dyDescent="0.3">
      <c r="B47" s="92" t="s">
        <v>98</v>
      </c>
      <c r="C47" s="92"/>
      <c r="D47" s="92" t="s">
        <v>99</v>
      </c>
      <c r="E47" s="92"/>
      <c r="F47" s="3" t="s">
        <v>100</v>
      </c>
    </row>
    <row r="48" spans="2:13" x14ac:dyDescent="0.3">
      <c r="B48" s="92" t="s">
        <v>101</v>
      </c>
      <c r="C48" s="92"/>
      <c r="D48" s="92" t="s">
        <v>102</v>
      </c>
      <c r="E48" s="92"/>
      <c r="F48" s="3" t="s">
        <v>103</v>
      </c>
    </row>
  </sheetData>
  <mergeCells count="23">
    <mergeCell ref="B46:M46"/>
    <mergeCell ref="B47:C47"/>
    <mergeCell ref="B48:C48"/>
    <mergeCell ref="D47:E47"/>
    <mergeCell ref="D48:E48"/>
    <mergeCell ref="B2:M2"/>
    <mergeCell ref="B3:M3"/>
    <mergeCell ref="B4:M4"/>
    <mergeCell ref="B5:M5"/>
    <mergeCell ref="B7:C7"/>
    <mergeCell ref="B8:G8"/>
    <mergeCell ref="H8:K8"/>
    <mergeCell ref="M8:M10"/>
    <mergeCell ref="B9:B10"/>
    <mergeCell ref="C9:C10"/>
    <mergeCell ref="K9:K10"/>
    <mergeCell ref="L9:L10"/>
    <mergeCell ref="H9:H10"/>
    <mergeCell ref="I9:I10"/>
    <mergeCell ref="J9:J10"/>
    <mergeCell ref="D9:D10"/>
    <mergeCell ref="E9:E10"/>
    <mergeCell ref="F9:F10"/>
  </mergeCells>
  <pageMargins left="0.34" right="0.19685039370078741" top="0.28999999999999998" bottom="0.12" header="0.18" footer="0.12"/>
  <pageSetup paperSize="9" scale="75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Q189"/>
  <sheetViews>
    <sheetView topLeftCell="C47" zoomScale="80" zoomScaleNormal="80" workbookViewId="0">
      <selection activeCell="L67" sqref="L67"/>
    </sheetView>
  </sheetViews>
  <sheetFormatPr defaultColWidth="9.109375" defaultRowHeight="14.4" x14ac:dyDescent="0.3"/>
  <cols>
    <col min="1" max="1" width="1.88671875" style="3" customWidth="1"/>
    <col min="2" max="2" width="4.109375" style="3" customWidth="1"/>
    <col min="3" max="3" width="28.44140625" style="3" bestFit="1" customWidth="1"/>
    <col min="4" max="4" width="18.5546875" style="3" customWidth="1"/>
    <col min="5" max="5" width="30.109375" style="3" bestFit="1" customWidth="1"/>
    <col min="6" max="6" width="7" style="3" customWidth="1"/>
    <col min="7" max="7" width="11.33203125" style="3" customWidth="1"/>
    <col min="8" max="8" width="13.88671875" style="3" customWidth="1"/>
    <col min="9" max="9" width="20.33203125" style="3" customWidth="1"/>
    <col min="10" max="10" width="13.5546875" style="3" customWidth="1"/>
    <col min="11" max="11" width="14.6640625" style="3" customWidth="1"/>
    <col min="12" max="12" width="15.6640625" style="3" customWidth="1"/>
    <col min="13" max="13" width="14.33203125" style="3" customWidth="1"/>
    <col min="14" max="14" width="14.88671875" style="3" customWidth="1"/>
    <col min="15" max="15" width="9.109375" style="3"/>
    <col min="16" max="17" width="10.44140625" style="3" customWidth="1"/>
    <col min="18" max="16384" width="9.109375" style="3"/>
  </cols>
  <sheetData>
    <row r="2" spans="2:17" ht="18" x14ac:dyDescent="0.3">
      <c r="B2" s="87" t="s">
        <v>32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2:17" ht="18" x14ac:dyDescent="0.3">
      <c r="B3" s="87" t="s">
        <v>33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2:17" ht="18" x14ac:dyDescent="0.3">
      <c r="B4" s="88" t="s">
        <v>34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0"/>
    </row>
    <row r="5" spans="2:17" ht="18" x14ac:dyDescent="0.3">
      <c r="B5" s="87" t="s">
        <v>35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</row>
    <row r="7" spans="2:17" ht="15" thickBot="1" x14ac:dyDescent="0.35">
      <c r="B7" s="91" t="s">
        <v>36</v>
      </c>
      <c r="C7" s="91"/>
      <c r="D7" s="1"/>
      <c r="E7" s="22">
        <v>2022</v>
      </c>
    </row>
    <row r="8" spans="2:17" ht="15" customHeight="1" x14ac:dyDescent="0.3">
      <c r="B8" s="73" t="s">
        <v>37</v>
      </c>
      <c r="C8" s="74"/>
      <c r="D8" s="74"/>
      <c r="E8" s="74"/>
      <c r="F8" s="74"/>
      <c r="G8" s="74"/>
      <c r="H8" s="74"/>
      <c r="I8" s="75"/>
      <c r="J8" s="76" t="s">
        <v>38</v>
      </c>
      <c r="K8" s="77"/>
      <c r="L8" s="77"/>
      <c r="M8" s="78"/>
      <c r="N8" s="19" t="s">
        <v>39</v>
      </c>
      <c r="O8" s="79" t="s">
        <v>40</v>
      </c>
      <c r="P8" s="62" t="s">
        <v>41</v>
      </c>
      <c r="Q8" s="62" t="s">
        <v>42</v>
      </c>
    </row>
    <row r="9" spans="2:17" ht="41.25" customHeight="1" x14ac:dyDescent="0.3">
      <c r="B9" s="65" t="s">
        <v>43</v>
      </c>
      <c r="C9" s="67" t="s">
        <v>44</v>
      </c>
      <c r="D9" s="68" t="s">
        <v>45</v>
      </c>
      <c r="E9" s="67" t="s">
        <v>46</v>
      </c>
      <c r="F9" s="68" t="s">
        <v>47</v>
      </c>
      <c r="G9" s="67" t="s">
        <v>48</v>
      </c>
      <c r="H9" s="67" t="s">
        <v>49</v>
      </c>
      <c r="I9" s="4" t="s">
        <v>50</v>
      </c>
      <c r="J9" s="69" t="s">
        <v>51</v>
      </c>
      <c r="K9" s="71" t="s">
        <v>49</v>
      </c>
      <c r="L9" s="71" t="s">
        <v>52</v>
      </c>
      <c r="M9" s="82" t="s">
        <v>53</v>
      </c>
      <c r="N9" s="84" t="s">
        <v>54</v>
      </c>
      <c r="O9" s="80"/>
      <c r="P9" s="63"/>
      <c r="Q9" s="63"/>
    </row>
    <row r="10" spans="2:17" ht="28.5" customHeight="1" thickBot="1" x14ac:dyDescent="0.35">
      <c r="B10" s="66"/>
      <c r="C10" s="68"/>
      <c r="D10" s="86"/>
      <c r="E10" s="68"/>
      <c r="F10" s="86"/>
      <c r="G10" s="68"/>
      <c r="H10" s="68"/>
      <c r="I10" s="2" t="s">
        <v>55</v>
      </c>
      <c r="J10" s="70"/>
      <c r="K10" s="72"/>
      <c r="L10" s="72"/>
      <c r="M10" s="83"/>
      <c r="N10" s="85"/>
      <c r="O10" s="81"/>
      <c r="P10" s="64"/>
      <c r="Q10" s="64"/>
    </row>
    <row r="11" spans="2:17" ht="15" thickBot="1" x14ac:dyDescent="0.35">
      <c r="B11" s="5" t="s">
        <v>56</v>
      </c>
      <c r="C11" s="6" t="s">
        <v>57</v>
      </c>
      <c r="D11" s="6"/>
      <c r="E11" s="6" t="s">
        <v>58</v>
      </c>
      <c r="F11" s="6"/>
      <c r="G11" s="6" t="s">
        <v>59</v>
      </c>
      <c r="H11" s="6" t="s">
        <v>60</v>
      </c>
      <c r="I11" s="7" t="s">
        <v>61</v>
      </c>
      <c r="J11" s="8" t="s">
        <v>62</v>
      </c>
      <c r="K11" s="9" t="s">
        <v>63</v>
      </c>
      <c r="L11" s="9" t="s">
        <v>64</v>
      </c>
      <c r="M11" s="10" t="s">
        <v>65</v>
      </c>
      <c r="N11" s="11" t="s">
        <v>66</v>
      </c>
      <c r="O11" s="12" t="s">
        <v>67</v>
      </c>
      <c r="P11" s="46" t="s">
        <v>68</v>
      </c>
      <c r="Q11" s="46" t="s">
        <v>68</v>
      </c>
    </row>
    <row r="12" spans="2:17" x14ac:dyDescent="0.3">
      <c r="B12" s="13"/>
      <c r="C12" s="14"/>
      <c r="D12" s="14"/>
      <c r="E12" s="14"/>
      <c r="F12" s="14"/>
      <c r="G12" s="14"/>
      <c r="H12" s="39"/>
      <c r="I12" s="40"/>
      <c r="J12" s="41"/>
      <c r="K12" s="42"/>
      <c r="L12" s="39"/>
      <c r="M12" s="43"/>
      <c r="N12" s="47"/>
      <c r="O12" s="45"/>
      <c r="P12" s="50"/>
      <c r="Q12" s="50"/>
    </row>
    <row r="13" spans="2:17" ht="15" customHeight="1" x14ac:dyDescent="0.3">
      <c r="B13" s="15">
        <v>1</v>
      </c>
      <c r="C13" s="16" t="str">
        <f>IFERROR(VLOOKUP(D13,REF!$B$2:$C$8,2,0),"")</f>
        <v>A337 - 1 (limbah infeksius)</v>
      </c>
      <c r="D13" s="55">
        <v>1</v>
      </c>
      <c r="E13" s="56">
        <v>44561</v>
      </c>
      <c r="F13" s="59">
        <v>0</v>
      </c>
      <c r="G13" s="16" t="str">
        <f>IFERROR(VLOOKUP(D13,REF!$B$2:$D$8,3,0),"")</f>
        <v>Poliklinik</v>
      </c>
      <c r="H13" s="23">
        <v>5</v>
      </c>
      <c r="I13" s="57">
        <f>E13+90</f>
        <v>44651</v>
      </c>
      <c r="J13" s="25"/>
      <c r="K13" s="26"/>
      <c r="L13" s="27"/>
      <c r="M13" s="28"/>
      <c r="N13" s="48">
        <f>H13-K13</f>
        <v>5</v>
      </c>
      <c r="O13" s="37"/>
      <c r="P13" s="51"/>
      <c r="Q13" s="51"/>
    </row>
    <row r="14" spans="2:17" x14ac:dyDescent="0.3">
      <c r="B14" s="15">
        <v>2</v>
      </c>
      <c r="C14" s="16" t="str">
        <f>IFERROR(VLOOKUP(D14,REF!$B$2:$C$8,2,0),"")</f>
        <v>A337 - 1 (limbah infeksius)</v>
      </c>
      <c r="D14" s="55">
        <v>1</v>
      </c>
      <c r="E14" s="56">
        <v>44592</v>
      </c>
      <c r="F14" s="59">
        <f t="shared" ref="F14:F59" si="0">MONTH(E14)</f>
        <v>1</v>
      </c>
      <c r="G14" s="16" t="str">
        <f>IFERROR(VLOOKUP(D14,REF!$B$2:$D$8,3,0),"")</f>
        <v>Poliklinik</v>
      </c>
      <c r="H14" s="23">
        <v>28.5</v>
      </c>
      <c r="I14" s="57">
        <f t="shared" ref="I14" si="1">E14+90</f>
        <v>44682</v>
      </c>
      <c r="J14" s="25"/>
      <c r="K14" s="26"/>
      <c r="L14" s="27"/>
      <c r="M14" s="28"/>
      <c r="N14" s="48">
        <f>N13+H14-K14</f>
        <v>33.5</v>
      </c>
      <c r="O14" s="37"/>
      <c r="P14" s="51"/>
      <c r="Q14" s="51"/>
    </row>
    <row r="15" spans="2:17" x14ac:dyDescent="0.3">
      <c r="B15" s="15">
        <v>3</v>
      </c>
      <c r="C15" s="16" t="str">
        <f>IFERROR(VLOOKUP(D15,REF!$B$2:$C$8,2,0),"")</f>
        <v>B104 d (Kemasan Bekas B3)</v>
      </c>
      <c r="D15" s="55">
        <v>2</v>
      </c>
      <c r="E15" s="56">
        <v>44592</v>
      </c>
      <c r="F15" s="59">
        <f t="shared" si="0"/>
        <v>1</v>
      </c>
      <c r="G15" s="16" t="str">
        <f>IFERROR(VLOOKUP(D15,REF!$B$2:$D$8,3,0),"")</f>
        <v>Office</v>
      </c>
      <c r="H15" s="23">
        <v>10.5</v>
      </c>
      <c r="I15" s="57">
        <f t="shared" ref="I15:I16" si="2">E15+90</f>
        <v>44682</v>
      </c>
      <c r="J15" s="25"/>
      <c r="K15" s="26"/>
      <c r="L15" s="27"/>
      <c r="M15" s="28"/>
      <c r="N15" s="48">
        <f t="shared" ref="N15:N59" si="3">N14+H15-K15</f>
        <v>44</v>
      </c>
      <c r="O15" s="37"/>
      <c r="P15" s="51"/>
      <c r="Q15" s="51"/>
    </row>
    <row r="16" spans="2:17" x14ac:dyDescent="0.3">
      <c r="B16" s="15">
        <v>4</v>
      </c>
      <c r="C16" s="16" t="str">
        <f>IFERROR(VLOOKUP(D16,REF!$B$2:$C$8,2,0),"")</f>
        <v>B110 d (kain majun bekas)</v>
      </c>
      <c r="D16" s="55">
        <v>3</v>
      </c>
      <c r="E16" s="56">
        <v>44592</v>
      </c>
      <c r="F16" s="59">
        <f t="shared" si="0"/>
        <v>1</v>
      </c>
      <c r="G16" s="16" t="str">
        <f>IFERROR(VLOOKUP(D16,REF!$B$2:$D$8,3,0),"")</f>
        <v>Office</v>
      </c>
      <c r="H16" s="23">
        <v>12.5</v>
      </c>
      <c r="I16" s="57">
        <f t="shared" si="2"/>
        <v>44682</v>
      </c>
      <c r="J16" s="25"/>
      <c r="K16" s="26"/>
      <c r="L16" s="27"/>
      <c r="M16" s="28"/>
      <c r="N16" s="48">
        <f t="shared" si="3"/>
        <v>56.5</v>
      </c>
      <c r="O16" s="37"/>
      <c r="P16" s="51"/>
      <c r="Q16" s="51"/>
    </row>
    <row r="17" spans="2:17" x14ac:dyDescent="0.3">
      <c r="B17" s="15">
        <v>5</v>
      </c>
      <c r="C17" s="16" t="str">
        <f>IFERROR(VLOOKUP(D17,REF!$B$2:$C$8,2,0),"")</f>
        <v>B104 d (Kemasan Bekas B3)</v>
      </c>
      <c r="D17" s="55">
        <v>2</v>
      </c>
      <c r="E17" s="56">
        <v>44592</v>
      </c>
      <c r="F17" s="59">
        <f t="shared" si="0"/>
        <v>1</v>
      </c>
      <c r="G17" s="16" t="str">
        <f>IFERROR(VLOOKUP(D17,REF!$B$2:$D$8,3,0),"")</f>
        <v>Office</v>
      </c>
      <c r="H17" s="23">
        <v>0.5</v>
      </c>
      <c r="I17" s="57">
        <f t="shared" ref="I17" si="4">E17+90</f>
        <v>44682</v>
      </c>
      <c r="J17" s="25"/>
      <c r="K17" s="26"/>
      <c r="L17" s="27"/>
      <c r="M17" s="28"/>
      <c r="N17" s="48">
        <f t="shared" si="3"/>
        <v>57</v>
      </c>
      <c r="O17" s="37"/>
      <c r="P17" s="51"/>
      <c r="Q17" s="51"/>
    </row>
    <row r="18" spans="2:17" x14ac:dyDescent="0.3">
      <c r="B18" s="15">
        <v>6</v>
      </c>
      <c r="C18" s="16" t="str">
        <f>IFERROR(VLOOKUP(D18,REF!$B$2:$C$8,2,0),"")</f>
        <v>A102 d (baterai bekas)</v>
      </c>
      <c r="D18" s="55">
        <v>6</v>
      </c>
      <c r="E18" s="56">
        <v>44592</v>
      </c>
      <c r="F18" s="59">
        <f t="shared" si="0"/>
        <v>1</v>
      </c>
      <c r="G18" s="16" t="str">
        <f>IFERROR(VLOOKUP(D18,REF!$B$2:$D$8,3,0),"")</f>
        <v>Werehouse</v>
      </c>
      <c r="H18" s="23">
        <v>0.5</v>
      </c>
      <c r="I18" s="57">
        <f t="shared" ref="I18" si="5">E18+90</f>
        <v>44682</v>
      </c>
      <c r="J18" s="25"/>
      <c r="K18" s="26"/>
      <c r="L18" s="27"/>
      <c r="M18" s="28"/>
      <c r="N18" s="48">
        <f t="shared" si="3"/>
        <v>57.5</v>
      </c>
      <c r="O18" s="37"/>
      <c r="P18" s="51"/>
      <c r="Q18" s="51"/>
    </row>
    <row r="19" spans="2:17" x14ac:dyDescent="0.3">
      <c r="B19" s="15">
        <v>7</v>
      </c>
      <c r="C19" s="16" t="str">
        <f>IFERROR(VLOOKUP(D19,REF!$B$2:$C$8,2,0),"")</f>
        <v>A337 - 1 (limbah infeksius)</v>
      </c>
      <c r="D19" s="55">
        <v>1</v>
      </c>
      <c r="E19" s="56">
        <v>44620</v>
      </c>
      <c r="F19" s="59">
        <f t="shared" si="0"/>
        <v>2</v>
      </c>
      <c r="G19" s="16" t="str">
        <f>IFERROR(VLOOKUP(D19,REF!$B$2:$D$8,3,0),"")</f>
        <v>Poliklinik</v>
      </c>
      <c r="H19" s="23">
        <v>29</v>
      </c>
      <c r="I19" s="57">
        <f>E19+90</f>
        <v>44710</v>
      </c>
      <c r="J19" s="25"/>
      <c r="K19" s="26"/>
      <c r="L19" s="27"/>
      <c r="M19" s="28"/>
      <c r="N19" s="48">
        <f t="shared" si="3"/>
        <v>86.5</v>
      </c>
      <c r="O19" s="37"/>
      <c r="P19" s="51"/>
      <c r="Q19" s="51"/>
    </row>
    <row r="20" spans="2:17" x14ac:dyDescent="0.3">
      <c r="B20" s="15">
        <v>8</v>
      </c>
      <c r="C20" s="16" t="str">
        <f>IFERROR(VLOOKUP(D20,REF!$B$2:$C$8,2,0),"")</f>
        <v>B104 d (Kemasan Bekas B3)</v>
      </c>
      <c r="D20" s="55">
        <v>2</v>
      </c>
      <c r="E20" s="56">
        <v>44620</v>
      </c>
      <c r="F20" s="59">
        <f t="shared" si="0"/>
        <v>2</v>
      </c>
      <c r="G20" s="16" t="str">
        <f>IFERROR(VLOOKUP(D20,REF!$B$2:$D$8,3,0),"")</f>
        <v>Office</v>
      </c>
      <c r="H20" s="23">
        <v>10</v>
      </c>
      <c r="I20" s="57">
        <f t="shared" ref="I20" si="6">E20+90</f>
        <v>44710</v>
      </c>
      <c r="J20" s="25"/>
      <c r="K20" s="26"/>
      <c r="L20" s="27"/>
      <c r="M20" s="28"/>
      <c r="N20" s="48">
        <f t="shared" si="3"/>
        <v>96.5</v>
      </c>
      <c r="O20" s="37"/>
      <c r="P20" s="51"/>
      <c r="Q20" s="51"/>
    </row>
    <row r="21" spans="2:17" x14ac:dyDescent="0.3">
      <c r="B21" s="15">
        <v>9</v>
      </c>
      <c r="C21" s="16" t="str">
        <f>IFERROR(VLOOKUP(D21,REF!$B$2:$C$8,2,0),"")</f>
        <v>B110 d (kain majun bekas)</v>
      </c>
      <c r="D21" s="55">
        <v>3</v>
      </c>
      <c r="E21" s="56">
        <v>44620</v>
      </c>
      <c r="F21" s="59">
        <f t="shared" si="0"/>
        <v>2</v>
      </c>
      <c r="G21" s="16" t="str">
        <f>IFERROR(VLOOKUP(D21,REF!$B$2:$D$8,3,0),"")</f>
        <v>Office</v>
      </c>
      <c r="H21" s="23">
        <v>11.5</v>
      </c>
      <c r="I21" s="57">
        <f t="shared" ref="I21:I59" si="7">E21+90</f>
        <v>44710</v>
      </c>
      <c r="J21" s="25"/>
      <c r="K21" s="26"/>
      <c r="L21" s="27"/>
      <c r="M21" s="28"/>
      <c r="N21" s="48">
        <f t="shared" si="3"/>
        <v>108</v>
      </c>
      <c r="O21" s="37"/>
      <c r="P21" s="51"/>
      <c r="Q21" s="51"/>
    </row>
    <row r="22" spans="2:17" x14ac:dyDescent="0.3">
      <c r="B22" s="15">
        <v>10</v>
      </c>
      <c r="C22" s="16" t="str">
        <f>IFERROR(VLOOKUP(D22,REF!$B$2:$C$8,2,0),"")</f>
        <v>B104 d (Kemasan Bekas B3)</v>
      </c>
      <c r="D22" s="55">
        <v>2</v>
      </c>
      <c r="E22" s="56">
        <v>44620</v>
      </c>
      <c r="F22" s="59">
        <f t="shared" si="0"/>
        <v>2</v>
      </c>
      <c r="G22" s="16" t="str">
        <f>IFERROR(VLOOKUP(D22,REF!$B$2:$D$8,3,0),"")</f>
        <v>Office</v>
      </c>
      <c r="H22" s="23">
        <v>0.5</v>
      </c>
      <c r="I22" s="57">
        <f t="shared" si="7"/>
        <v>44710</v>
      </c>
      <c r="J22" s="25"/>
      <c r="K22" s="26"/>
      <c r="L22" s="27"/>
      <c r="M22" s="28"/>
      <c r="N22" s="48">
        <f t="shared" si="3"/>
        <v>108.5</v>
      </c>
      <c r="O22" s="37"/>
      <c r="P22" s="51"/>
      <c r="Q22" s="51"/>
    </row>
    <row r="23" spans="2:17" x14ac:dyDescent="0.3">
      <c r="B23" s="15">
        <v>11</v>
      </c>
      <c r="C23" s="16" t="str">
        <f>IFERROR(VLOOKUP(D23,REF!$B$2:$C$8,2,0),"")</f>
        <v>A102 d (baterai bekas)</v>
      </c>
      <c r="D23" s="55">
        <v>6</v>
      </c>
      <c r="E23" s="56">
        <v>44620</v>
      </c>
      <c r="F23" s="59">
        <f t="shared" si="0"/>
        <v>2</v>
      </c>
      <c r="G23" s="16" t="str">
        <f>IFERROR(VLOOKUP(D23,REF!$B$2:$D$8,3,0),"")</f>
        <v>Werehouse</v>
      </c>
      <c r="H23" s="23">
        <v>0.5</v>
      </c>
      <c r="I23" s="57">
        <f t="shared" si="7"/>
        <v>44710</v>
      </c>
      <c r="J23" s="25"/>
      <c r="K23" s="26"/>
      <c r="L23" s="27"/>
      <c r="M23" s="28"/>
      <c r="N23" s="48">
        <f t="shared" si="3"/>
        <v>109</v>
      </c>
      <c r="O23" s="37"/>
      <c r="P23" s="51"/>
      <c r="Q23" s="51"/>
    </row>
    <row r="24" spans="2:17" x14ac:dyDescent="0.3">
      <c r="B24" s="15">
        <v>12</v>
      </c>
      <c r="C24" s="16" t="str">
        <f>IFERROR(VLOOKUP(D24,REF!$B$2:$C$8,2,0),"")</f>
        <v>A337 - 1 (limbah infeksius)</v>
      </c>
      <c r="D24" s="55">
        <v>1</v>
      </c>
      <c r="E24" s="56">
        <v>44651</v>
      </c>
      <c r="F24" s="59">
        <f t="shared" si="0"/>
        <v>3</v>
      </c>
      <c r="G24" s="16" t="str">
        <f>IFERROR(VLOOKUP(D24,REF!$B$2:$D$8,3,0),"")</f>
        <v>Poliklinik</v>
      </c>
      <c r="H24" s="23">
        <v>17</v>
      </c>
      <c r="I24" s="57">
        <f t="shared" si="7"/>
        <v>44741</v>
      </c>
      <c r="J24" s="25"/>
      <c r="K24" s="26"/>
      <c r="L24" s="26"/>
      <c r="M24" s="30"/>
      <c r="N24" s="48">
        <f t="shared" si="3"/>
        <v>126</v>
      </c>
      <c r="O24" s="37"/>
      <c r="P24" s="52"/>
      <c r="Q24" s="54"/>
    </row>
    <row r="25" spans="2:17" x14ac:dyDescent="0.3">
      <c r="B25" s="15">
        <v>13</v>
      </c>
      <c r="C25" s="16" t="str">
        <f>IFERROR(VLOOKUP(D25,REF!$B$2:$C$8,2,0),"")</f>
        <v>B104 d (Kemasan Bekas B3)</v>
      </c>
      <c r="D25" s="55">
        <v>2</v>
      </c>
      <c r="E25" s="56">
        <v>44651</v>
      </c>
      <c r="F25" s="59">
        <f t="shared" si="0"/>
        <v>3</v>
      </c>
      <c r="G25" s="16" t="str">
        <f>IFERROR(VLOOKUP(D25,REF!$B$2:$D$8,3,0),"")</f>
        <v>Office</v>
      </c>
      <c r="H25" s="23">
        <v>22.5</v>
      </c>
      <c r="I25" s="57">
        <f t="shared" si="7"/>
        <v>44741</v>
      </c>
      <c r="J25" s="25"/>
      <c r="K25" s="26"/>
      <c r="L25" s="26"/>
      <c r="M25" s="30"/>
      <c r="N25" s="48">
        <f t="shared" si="3"/>
        <v>148.5</v>
      </c>
      <c r="O25" s="37"/>
      <c r="P25" s="52"/>
      <c r="Q25" s="54"/>
    </row>
    <row r="26" spans="2:17" x14ac:dyDescent="0.3">
      <c r="B26" s="15">
        <v>14</v>
      </c>
      <c r="C26" s="16" t="str">
        <f>IFERROR(VLOOKUP(D26,REF!$B$2:$C$8,2,0),"")</f>
        <v>B107 d (limbah elektronik)</v>
      </c>
      <c r="D26" s="55">
        <v>5</v>
      </c>
      <c r="E26" s="56">
        <v>44651</v>
      </c>
      <c r="F26" s="59">
        <f t="shared" ref="F26" si="8">MONTH(E26)</f>
        <v>3</v>
      </c>
      <c r="G26" s="16" t="str">
        <f>IFERROR(VLOOKUP(D26,REF!$B$2:$D$8,3,0),"")</f>
        <v>Office</v>
      </c>
      <c r="H26" s="23">
        <v>28.5</v>
      </c>
      <c r="I26" s="57">
        <f t="shared" si="7"/>
        <v>44741</v>
      </c>
      <c r="J26" s="25"/>
      <c r="K26" s="26"/>
      <c r="L26" s="26"/>
      <c r="M26" s="30"/>
      <c r="N26" s="48">
        <f t="shared" si="3"/>
        <v>177</v>
      </c>
      <c r="O26" s="37"/>
      <c r="P26" s="52"/>
      <c r="Q26" s="54"/>
    </row>
    <row r="27" spans="2:17" x14ac:dyDescent="0.3">
      <c r="B27" s="15">
        <v>15</v>
      </c>
      <c r="C27" s="16" t="str">
        <f>IFERROR(VLOOKUP(D27,REF!$B$2:$C$8,2,0),"")</f>
        <v>A102 d (baterai bekas)</v>
      </c>
      <c r="D27" s="55">
        <v>6</v>
      </c>
      <c r="E27" s="56">
        <v>44651</v>
      </c>
      <c r="F27" s="59">
        <f t="shared" si="0"/>
        <v>3</v>
      </c>
      <c r="G27" s="16" t="str">
        <f>IFERROR(VLOOKUP(D27,REF!$B$2:$D$8,3,0),"")</f>
        <v>Werehouse</v>
      </c>
      <c r="H27" s="23">
        <v>3</v>
      </c>
      <c r="I27" s="57">
        <f t="shared" si="7"/>
        <v>44741</v>
      </c>
      <c r="J27" s="25"/>
      <c r="K27" s="26">
        <v>180</v>
      </c>
      <c r="L27" s="26" t="s">
        <v>69</v>
      </c>
      <c r="M27" s="30"/>
      <c r="N27" s="48">
        <f>N26+H27-K27</f>
        <v>0</v>
      </c>
      <c r="O27" s="37"/>
      <c r="P27" s="52">
        <f>SUM(H14:H27)</f>
        <v>175</v>
      </c>
      <c r="Q27" s="54">
        <f>P27/1000</f>
        <v>0.17499999999999999</v>
      </c>
    </row>
    <row r="28" spans="2:17" x14ac:dyDescent="0.3">
      <c r="B28" s="15">
        <v>16</v>
      </c>
      <c r="C28" s="16" t="str">
        <f>IFERROR(VLOOKUP(D28,REF!$B$2:$C$8,2,0),"")</f>
        <v>A337 - 1 (limbah infeksius)</v>
      </c>
      <c r="D28" s="55">
        <v>1</v>
      </c>
      <c r="E28" s="56">
        <v>44681</v>
      </c>
      <c r="F28" s="59">
        <f t="shared" ref="F28:F30" si="9">MONTH(E28)</f>
        <v>4</v>
      </c>
      <c r="G28" s="16" t="str">
        <f>IFERROR(VLOOKUP(D28,REF!$B$2:$D$8,3,0),"")</f>
        <v>Poliklinik</v>
      </c>
      <c r="H28" s="23">
        <v>31.5</v>
      </c>
      <c r="I28" s="57">
        <f t="shared" si="7"/>
        <v>44771</v>
      </c>
      <c r="J28" s="25"/>
      <c r="K28" s="26"/>
      <c r="L28" s="27"/>
      <c r="M28" s="28"/>
      <c r="N28" s="48">
        <f t="shared" si="3"/>
        <v>31.5</v>
      </c>
      <c r="O28" s="37"/>
      <c r="P28" s="51"/>
      <c r="Q28" s="54"/>
    </row>
    <row r="29" spans="2:17" x14ac:dyDescent="0.3">
      <c r="B29" s="15">
        <v>17</v>
      </c>
      <c r="C29" s="16" t="str">
        <f>IFERROR(VLOOKUP(D29,REF!$B$2:$C$8,2,0),"")</f>
        <v>B104 d (Kemasan Bekas B3)</v>
      </c>
      <c r="D29" s="55">
        <v>2</v>
      </c>
      <c r="E29" s="56">
        <v>44681</v>
      </c>
      <c r="F29" s="59">
        <f t="shared" ref="F29" si="10">MONTH(E29)</f>
        <v>4</v>
      </c>
      <c r="G29" s="16" t="str">
        <f>IFERROR(VLOOKUP(D29,REF!$B$2:$D$8,3,0),"")</f>
        <v>Office</v>
      </c>
      <c r="H29" s="23">
        <v>8.5</v>
      </c>
      <c r="I29" s="57">
        <f t="shared" si="7"/>
        <v>44771</v>
      </c>
      <c r="J29" s="25"/>
      <c r="K29" s="26"/>
      <c r="L29" s="27"/>
      <c r="M29" s="28"/>
      <c r="N29" s="48">
        <f t="shared" si="3"/>
        <v>40</v>
      </c>
      <c r="O29" s="37"/>
      <c r="P29" s="51"/>
      <c r="Q29" s="54"/>
    </row>
    <row r="30" spans="2:17" x14ac:dyDescent="0.3">
      <c r="B30" s="15">
        <v>18</v>
      </c>
      <c r="C30" s="16" t="str">
        <f>IFERROR(VLOOKUP(D30,REF!$B$2:$C$8,2,0),"")</f>
        <v>B105 d (oli bekas)</v>
      </c>
      <c r="D30" s="55">
        <v>4</v>
      </c>
      <c r="E30" s="56">
        <v>44681</v>
      </c>
      <c r="F30" s="59">
        <f t="shared" si="9"/>
        <v>4</v>
      </c>
      <c r="G30" s="16" t="str">
        <f>IFERROR(VLOOKUP(D30,REF!$B$2:$D$8,3,0),"")</f>
        <v>Kendaraan</v>
      </c>
      <c r="H30" s="23">
        <v>42</v>
      </c>
      <c r="I30" s="57">
        <f t="shared" si="7"/>
        <v>44771</v>
      </c>
      <c r="J30" s="25"/>
      <c r="K30" s="26"/>
      <c r="L30" s="27"/>
      <c r="M30" s="28"/>
      <c r="N30" s="48">
        <f t="shared" si="3"/>
        <v>82</v>
      </c>
      <c r="O30" s="37"/>
      <c r="P30" s="51"/>
      <c r="Q30" s="54"/>
    </row>
    <row r="31" spans="2:17" x14ac:dyDescent="0.3">
      <c r="B31" s="15">
        <v>19</v>
      </c>
      <c r="C31" s="16" t="str">
        <f>IFERROR(VLOOKUP(D31,REF!$B$2:$C$8,2,0),"")</f>
        <v>A102 d (baterai bekas)</v>
      </c>
      <c r="D31" s="55">
        <v>6</v>
      </c>
      <c r="E31" s="56">
        <v>44681</v>
      </c>
      <c r="F31" s="59">
        <f t="shared" si="0"/>
        <v>4</v>
      </c>
      <c r="G31" s="16" t="str">
        <f>IFERROR(VLOOKUP(D31,REF!$B$2:$D$8,3,0),"")</f>
        <v>Werehouse</v>
      </c>
      <c r="H31" s="23">
        <v>1</v>
      </c>
      <c r="I31" s="57">
        <f t="shared" si="7"/>
        <v>44771</v>
      </c>
      <c r="J31" s="25"/>
      <c r="K31" s="26"/>
      <c r="L31" s="26"/>
      <c r="M31" s="28"/>
      <c r="N31" s="48">
        <f t="shared" si="3"/>
        <v>83</v>
      </c>
      <c r="O31" s="37"/>
      <c r="P31" s="51"/>
      <c r="Q31" s="54"/>
    </row>
    <row r="32" spans="2:17" x14ac:dyDescent="0.3">
      <c r="B32" s="15">
        <v>20</v>
      </c>
      <c r="C32" s="16" t="str">
        <f>IFERROR(VLOOKUP(D32,REF!$B$2:$C$8,2,0),"")</f>
        <v>A337 - 1 (limbah infeksius)</v>
      </c>
      <c r="D32" s="55">
        <v>1</v>
      </c>
      <c r="E32" s="56">
        <v>44712</v>
      </c>
      <c r="F32" s="59">
        <f t="shared" si="0"/>
        <v>5</v>
      </c>
      <c r="G32" s="16" t="str">
        <f>IFERROR(VLOOKUP(D32,REF!$B$2:$D$8,3,0),"")</f>
        <v>Poliklinik</v>
      </c>
      <c r="H32" s="23">
        <v>12</v>
      </c>
      <c r="I32" s="57">
        <f t="shared" si="7"/>
        <v>44802</v>
      </c>
      <c r="J32" s="25"/>
      <c r="K32" s="26"/>
      <c r="L32" s="27"/>
      <c r="M32" s="28"/>
      <c r="N32" s="48">
        <f t="shared" si="3"/>
        <v>95</v>
      </c>
      <c r="O32" s="37"/>
      <c r="P32" s="51"/>
      <c r="Q32" s="54"/>
    </row>
    <row r="33" spans="2:17" x14ac:dyDescent="0.3">
      <c r="B33" s="15">
        <v>21</v>
      </c>
      <c r="C33" s="16" t="str">
        <f>IFERROR(VLOOKUP(D33,REF!$B$2:$C$8,2,0),"")</f>
        <v>A337 - 1 (limbah infeksius)</v>
      </c>
      <c r="D33" s="55">
        <v>1</v>
      </c>
      <c r="E33" s="56">
        <v>44742</v>
      </c>
      <c r="F33" s="59">
        <f t="shared" si="0"/>
        <v>6</v>
      </c>
      <c r="G33" s="16" t="str">
        <f>IFERROR(VLOOKUP(D33,REF!$B$2:$D$8,3,0),"")</f>
        <v>Poliklinik</v>
      </c>
      <c r="H33" s="23">
        <v>21</v>
      </c>
      <c r="I33" s="57">
        <f t="shared" si="7"/>
        <v>44832</v>
      </c>
      <c r="J33" s="25"/>
      <c r="K33" s="26"/>
      <c r="L33" s="26"/>
      <c r="M33" s="30"/>
      <c r="N33" s="48">
        <f t="shared" si="3"/>
        <v>116</v>
      </c>
      <c r="O33" s="37"/>
      <c r="P33" s="52"/>
      <c r="Q33" s="54"/>
    </row>
    <row r="34" spans="2:17" x14ac:dyDescent="0.3">
      <c r="B34" s="15">
        <v>22</v>
      </c>
      <c r="C34" s="16" t="str">
        <f>IFERROR(VLOOKUP(D34,REF!$B$2:$C$8,2,0),"")</f>
        <v>B104 d (Kemasan Bekas B3)</v>
      </c>
      <c r="D34" s="55">
        <v>2</v>
      </c>
      <c r="E34" s="56">
        <v>44742</v>
      </c>
      <c r="F34" s="59">
        <f t="shared" si="0"/>
        <v>6</v>
      </c>
      <c r="G34" s="16" t="str">
        <f>IFERROR(VLOOKUP(D34,REF!$B$2:$D$8,3,0),"")</f>
        <v>Office</v>
      </c>
      <c r="H34" s="23">
        <v>4.5999999999999996</v>
      </c>
      <c r="I34" s="57">
        <f t="shared" si="7"/>
        <v>44832</v>
      </c>
      <c r="J34" s="25"/>
      <c r="K34" s="26"/>
      <c r="L34" s="26"/>
      <c r="M34" s="30"/>
      <c r="N34" s="48">
        <f t="shared" si="3"/>
        <v>120.6</v>
      </c>
      <c r="O34" s="37"/>
      <c r="P34" s="52"/>
      <c r="Q34" s="54"/>
    </row>
    <row r="35" spans="2:17" x14ac:dyDescent="0.3">
      <c r="B35" s="15">
        <v>23</v>
      </c>
      <c r="C35" s="16" t="str">
        <f>IFERROR(VLOOKUP(D35,REF!$B$2:$C$8,2,0),"")</f>
        <v>B105 d (oli bekas)</v>
      </c>
      <c r="D35" s="55">
        <v>4</v>
      </c>
      <c r="E35" s="56">
        <v>44742</v>
      </c>
      <c r="F35" s="59">
        <f t="shared" si="0"/>
        <v>6</v>
      </c>
      <c r="G35" s="16" t="str">
        <f>IFERROR(VLOOKUP(D35,REF!$B$2:$D$8,3,0),"")</f>
        <v>Kendaraan</v>
      </c>
      <c r="H35" s="23">
        <v>7</v>
      </c>
      <c r="I35" s="57">
        <f t="shared" si="7"/>
        <v>44832</v>
      </c>
      <c r="J35" s="25"/>
      <c r="K35" s="26"/>
      <c r="L35" s="26"/>
      <c r="M35" s="30"/>
      <c r="N35" s="48">
        <f t="shared" si="3"/>
        <v>127.6</v>
      </c>
      <c r="O35" s="37"/>
      <c r="P35" s="52"/>
      <c r="Q35" s="54"/>
    </row>
    <row r="36" spans="2:17" x14ac:dyDescent="0.3">
      <c r="B36" s="15">
        <v>24</v>
      </c>
      <c r="C36" s="16" t="str">
        <f>IFERROR(VLOOKUP(D36,REF!$B$2:$C$8,2,0),"")</f>
        <v>B107 d (limbah elektronik)</v>
      </c>
      <c r="D36" s="55">
        <v>5</v>
      </c>
      <c r="E36" s="56">
        <v>44742</v>
      </c>
      <c r="F36" s="59">
        <f t="shared" si="0"/>
        <v>6</v>
      </c>
      <c r="G36" s="16" t="str">
        <f>IFERROR(VLOOKUP(D36,REF!$B$2:$D$8,3,0),"")</f>
        <v>Office</v>
      </c>
      <c r="H36" s="23">
        <v>1.5</v>
      </c>
      <c r="I36" s="57">
        <f t="shared" si="7"/>
        <v>44832</v>
      </c>
      <c r="J36" s="25"/>
      <c r="K36" s="26"/>
      <c r="L36" s="26"/>
      <c r="M36" s="30"/>
      <c r="N36" s="48">
        <f t="shared" si="3"/>
        <v>129.1</v>
      </c>
      <c r="O36" s="37"/>
      <c r="P36" s="52"/>
      <c r="Q36" s="54"/>
    </row>
    <row r="37" spans="2:17" x14ac:dyDescent="0.3">
      <c r="B37" s="15">
        <v>25</v>
      </c>
      <c r="C37" s="16" t="str">
        <f>IFERROR(VLOOKUP(D37,REF!$B$2:$C$8,2,0),"")</f>
        <v>A102 d (baterai bekas)</v>
      </c>
      <c r="D37" s="55">
        <v>6</v>
      </c>
      <c r="E37" s="56">
        <v>44742</v>
      </c>
      <c r="F37" s="59">
        <f t="shared" si="0"/>
        <v>6</v>
      </c>
      <c r="G37" s="16" t="str">
        <f>IFERROR(VLOOKUP(D37,REF!$B$2:$D$8,3,0),"")</f>
        <v>Werehouse</v>
      </c>
      <c r="H37" s="23">
        <v>2</v>
      </c>
      <c r="I37" s="57">
        <f t="shared" si="7"/>
        <v>44832</v>
      </c>
      <c r="J37" s="25"/>
      <c r="K37" s="26"/>
      <c r="L37" s="26"/>
      <c r="M37" s="30"/>
      <c r="N37" s="48">
        <f t="shared" si="3"/>
        <v>131.1</v>
      </c>
      <c r="O37" s="37"/>
      <c r="P37" s="52"/>
      <c r="Q37" s="54"/>
    </row>
    <row r="38" spans="2:17" x14ac:dyDescent="0.3">
      <c r="B38" s="15">
        <v>26</v>
      </c>
      <c r="C38" s="16" t="str">
        <f>IFERROR(VLOOKUP(D38,REF!$B$2:$C$8,2,0),"")</f>
        <v>A337 - 1 (limbah infeksius)</v>
      </c>
      <c r="D38" s="55">
        <v>1</v>
      </c>
      <c r="E38" s="56">
        <v>44773</v>
      </c>
      <c r="F38" s="59">
        <f t="shared" si="0"/>
        <v>7</v>
      </c>
      <c r="G38" s="16" t="str">
        <f>IFERROR(VLOOKUP(D38,REF!$B$2:$D$8,3,0),"")</f>
        <v>Poliklinik</v>
      </c>
      <c r="H38" s="23">
        <v>23</v>
      </c>
      <c r="I38" s="57">
        <f t="shared" si="7"/>
        <v>44863</v>
      </c>
      <c r="J38" s="25"/>
      <c r="K38" s="26"/>
      <c r="L38" s="26"/>
      <c r="M38" s="30"/>
      <c r="N38" s="48">
        <f t="shared" si="3"/>
        <v>154.1</v>
      </c>
      <c r="O38" s="37"/>
      <c r="P38" s="52"/>
      <c r="Q38" s="54"/>
    </row>
    <row r="39" spans="2:17" x14ac:dyDescent="0.3">
      <c r="B39" s="15">
        <v>27</v>
      </c>
      <c r="C39" s="16" t="str">
        <f>IFERROR(VLOOKUP(D39,REF!$B$2:$C$8,2,0),"")</f>
        <v>B104 d (Kemasan Bekas B3)</v>
      </c>
      <c r="D39" s="55">
        <v>2</v>
      </c>
      <c r="E39" s="56">
        <v>44773</v>
      </c>
      <c r="F39" s="59">
        <f t="shared" si="0"/>
        <v>7</v>
      </c>
      <c r="G39" s="16" t="str">
        <f>IFERROR(VLOOKUP(D39,REF!$B$2:$D$8,3,0),"")</f>
        <v>Office</v>
      </c>
      <c r="H39" s="23">
        <v>6</v>
      </c>
      <c r="I39" s="57">
        <f t="shared" si="7"/>
        <v>44863</v>
      </c>
      <c r="J39" s="25"/>
      <c r="K39" s="26"/>
      <c r="L39" s="26"/>
      <c r="M39" s="30"/>
      <c r="N39" s="48">
        <f t="shared" si="3"/>
        <v>160.1</v>
      </c>
      <c r="O39" s="37"/>
      <c r="P39" s="52"/>
      <c r="Q39" s="54"/>
    </row>
    <row r="40" spans="2:17" x14ac:dyDescent="0.3">
      <c r="B40" s="15">
        <v>28</v>
      </c>
      <c r="C40" s="16" t="str">
        <f>IFERROR(VLOOKUP(D40,REF!$B$2:$C$8,2,0),"")</f>
        <v>B105 d (oli bekas)</v>
      </c>
      <c r="D40" s="55">
        <v>4</v>
      </c>
      <c r="E40" s="56">
        <v>44773</v>
      </c>
      <c r="F40" s="59">
        <f t="shared" si="0"/>
        <v>7</v>
      </c>
      <c r="G40" s="16" t="str">
        <f>IFERROR(VLOOKUP(D40,REF!$B$2:$D$8,3,0),"")</f>
        <v>Kendaraan</v>
      </c>
      <c r="H40" s="23">
        <v>6</v>
      </c>
      <c r="I40" s="57">
        <f t="shared" si="7"/>
        <v>44863</v>
      </c>
      <c r="J40" s="25"/>
      <c r="K40" s="26"/>
      <c r="L40" s="26"/>
      <c r="M40" s="30"/>
      <c r="N40" s="48">
        <f t="shared" si="3"/>
        <v>166.1</v>
      </c>
      <c r="O40" s="37"/>
      <c r="P40" s="52"/>
      <c r="Q40" s="54"/>
    </row>
    <row r="41" spans="2:17" x14ac:dyDescent="0.3">
      <c r="B41" s="15">
        <v>29</v>
      </c>
      <c r="C41" s="16" t="str">
        <f>IFERROR(VLOOKUP(D41,REF!$B$2:$C$8,2,0),"")</f>
        <v>B107 d (limbah elektronik)</v>
      </c>
      <c r="D41" s="55">
        <v>5</v>
      </c>
      <c r="E41" s="56">
        <v>44773</v>
      </c>
      <c r="F41" s="59">
        <f t="shared" si="0"/>
        <v>7</v>
      </c>
      <c r="G41" s="16" t="str">
        <f>IFERROR(VLOOKUP(D41,REF!$B$2:$D$8,3,0),"")</f>
        <v>Office</v>
      </c>
      <c r="H41" s="23">
        <v>1</v>
      </c>
      <c r="I41" s="57">
        <f t="shared" si="7"/>
        <v>44863</v>
      </c>
      <c r="J41" s="25"/>
      <c r="K41" s="26"/>
      <c r="L41" s="26"/>
      <c r="M41" s="30"/>
      <c r="N41" s="48">
        <f t="shared" si="3"/>
        <v>167.1</v>
      </c>
      <c r="O41" s="37"/>
      <c r="P41" s="52"/>
      <c r="Q41" s="54"/>
    </row>
    <row r="42" spans="2:17" x14ac:dyDescent="0.3">
      <c r="B42" s="15">
        <v>30</v>
      </c>
      <c r="C42" s="16" t="str">
        <f>IFERROR(VLOOKUP(D42,REF!$B$2:$C$8,2,0),"")</f>
        <v>A337 - 1 (limbah infeksius)</v>
      </c>
      <c r="D42" s="55">
        <v>1</v>
      </c>
      <c r="E42" s="56">
        <v>44804</v>
      </c>
      <c r="F42" s="59">
        <f t="shared" si="0"/>
        <v>8</v>
      </c>
      <c r="G42" s="16" t="str">
        <f>IFERROR(VLOOKUP(D42,REF!$B$2:$D$8,3,0),"")</f>
        <v>Poliklinik</v>
      </c>
      <c r="H42" s="23">
        <v>16.5</v>
      </c>
      <c r="I42" s="57">
        <f t="shared" si="7"/>
        <v>44894</v>
      </c>
      <c r="J42" s="25"/>
      <c r="K42" s="26"/>
      <c r="L42" s="26"/>
      <c r="M42" s="28"/>
      <c r="N42" s="48">
        <f t="shared" si="3"/>
        <v>183.6</v>
      </c>
      <c r="O42" s="37"/>
      <c r="P42" s="51"/>
      <c r="Q42" s="54"/>
    </row>
    <row r="43" spans="2:17" x14ac:dyDescent="0.3">
      <c r="B43" s="15">
        <v>31</v>
      </c>
      <c r="C43" s="16" t="str">
        <f>IFERROR(VLOOKUP(D43,REF!$B$2:$C$8,2,0),"")</f>
        <v>B104 d (Kemasan Bekas B3)</v>
      </c>
      <c r="D43" s="55">
        <v>2</v>
      </c>
      <c r="E43" s="56">
        <v>44804</v>
      </c>
      <c r="F43" s="59">
        <f t="shared" si="0"/>
        <v>8</v>
      </c>
      <c r="G43" s="16" t="str">
        <f>IFERROR(VLOOKUP(D43,REF!$B$2:$D$8,3,0),"")</f>
        <v>Office</v>
      </c>
      <c r="H43" s="23">
        <v>8</v>
      </c>
      <c r="I43" s="57">
        <f t="shared" si="7"/>
        <v>44894</v>
      </c>
      <c r="J43" s="25"/>
      <c r="K43" s="26"/>
      <c r="L43" s="26"/>
      <c r="M43" s="28"/>
      <c r="N43" s="48">
        <f t="shared" si="3"/>
        <v>191.6</v>
      </c>
      <c r="O43" s="37"/>
      <c r="P43" s="51"/>
      <c r="Q43" s="54"/>
    </row>
    <row r="44" spans="2:17" x14ac:dyDescent="0.3">
      <c r="B44" s="15">
        <v>32</v>
      </c>
      <c r="C44" s="16" t="str">
        <f>IFERROR(VLOOKUP(D44,REF!$B$2:$C$8,2,0),"")</f>
        <v>B107 d (limbah elektronik)</v>
      </c>
      <c r="D44" s="55">
        <v>5</v>
      </c>
      <c r="E44" s="56">
        <v>44804</v>
      </c>
      <c r="F44" s="59">
        <f t="shared" si="0"/>
        <v>8</v>
      </c>
      <c r="G44" s="16" t="str">
        <f>IFERROR(VLOOKUP(D44,REF!$B$2:$D$8,3,0),"")</f>
        <v>Office</v>
      </c>
      <c r="H44" s="23">
        <v>3</v>
      </c>
      <c r="I44" s="57">
        <f t="shared" si="7"/>
        <v>44894</v>
      </c>
      <c r="J44" s="25"/>
      <c r="K44" s="26">
        <v>194.6</v>
      </c>
      <c r="L44" s="26" t="s">
        <v>69</v>
      </c>
      <c r="M44" s="28"/>
      <c r="N44" s="48">
        <f t="shared" si="3"/>
        <v>0</v>
      </c>
      <c r="O44" s="37"/>
      <c r="P44" s="52">
        <f>SUM(H42:H44)</f>
        <v>27.5</v>
      </c>
      <c r="Q44" s="54">
        <f t="shared" ref="Q44" si="11">P44/1000</f>
        <v>2.75E-2</v>
      </c>
    </row>
    <row r="45" spans="2:17" x14ac:dyDescent="0.3">
      <c r="B45" s="15">
        <v>33</v>
      </c>
      <c r="C45" s="16" t="str">
        <f>IFERROR(VLOOKUP(D45,REF!$B$2:$C$8,2,0),"")</f>
        <v>A337 - 1 (limbah infeksius)</v>
      </c>
      <c r="D45" s="55">
        <v>1</v>
      </c>
      <c r="E45" s="56">
        <v>44834</v>
      </c>
      <c r="F45" s="59">
        <f t="shared" si="0"/>
        <v>9</v>
      </c>
      <c r="G45" s="16" t="str">
        <f>IFERROR(VLOOKUP(D45,REF!$B$2:$D$8,3,0),"")</f>
        <v>Poliklinik</v>
      </c>
      <c r="H45" s="23">
        <v>30.5</v>
      </c>
      <c r="I45" s="57">
        <f t="shared" si="7"/>
        <v>44924</v>
      </c>
      <c r="J45" s="25"/>
      <c r="K45" s="26"/>
      <c r="L45" s="26"/>
      <c r="M45" s="30"/>
      <c r="N45" s="48">
        <f t="shared" si="3"/>
        <v>30.5</v>
      </c>
      <c r="O45" s="37"/>
      <c r="P45" s="52"/>
      <c r="Q45" s="54"/>
    </row>
    <row r="46" spans="2:17" x14ac:dyDescent="0.3">
      <c r="B46" s="15">
        <v>34</v>
      </c>
      <c r="C46" s="16" t="str">
        <f>IFERROR(VLOOKUP(D46,REF!$B$2:$C$8,2,0),"")</f>
        <v>B104 d (Kemasan Bekas B3)</v>
      </c>
      <c r="D46" s="55">
        <v>2</v>
      </c>
      <c r="E46" s="56">
        <v>44834</v>
      </c>
      <c r="F46" s="59">
        <f t="shared" si="0"/>
        <v>9</v>
      </c>
      <c r="G46" s="16" t="str">
        <f>IFERROR(VLOOKUP(D46,REF!$B$2:$D$8,3,0),"")</f>
        <v>Office</v>
      </c>
      <c r="H46" s="23">
        <v>4.5</v>
      </c>
      <c r="I46" s="57">
        <f t="shared" si="7"/>
        <v>44924</v>
      </c>
      <c r="J46" s="25"/>
      <c r="K46" s="26"/>
      <c r="L46" s="26"/>
      <c r="M46" s="30"/>
      <c r="N46" s="48">
        <f t="shared" si="3"/>
        <v>35</v>
      </c>
      <c r="O46" s="37"/>
      <c r="P46" s="52"/>
      <c r="Q46" s="54"/>
    </row>
    <row r="47" spans="2:17" x14ac:dyDescent="0.3">
      <c r="B47" s="15">
        <v>35</v>
      </c>
      <c r="C47" s="16" t="str">
        <f>IFERROR(VLOOKUP(D47,REF!$B$2:$C$8,2,0),"")</f>
        <v>B105 d (oli bekas)</v>
      </c>
      <c r="D47" s="55">
        <v>4</v>
      </c>
      <c r="E47" s="56">
        <v>44834</v>
      </c>
      <c r="F47" s="59">
        <f t="shared" si="0"/>
        <v>9</v>
      </c>
      <c r="G47" s="16" t="str">
        <f>IFERROR(VLOOKUP(D47,REF!$B$2:$D$8,3,0),"")</f>
        <v>Kendaraan</v>
      </c>
      <c r="H47" s="23">
        <v>17</v>
      </c>
      <c r="I47" s="57">
        <f t="shared" si="7"/>
        <v>44924</v>
      </c>
      <c r="J47" s="25"/>
      <c r="K47" s="26"/>
      <c r="L47" s="26"/>
      <c r="M47" s="30"/>
      <c r="N47" s="48">
        <f t="shared" si="3"/>
        <v>52</v>
      </c>
      <c r="O47" s="37"/>
      <c r="P47" s="52"/>
      <c r="Q47" s="54"/>
    </row>
    <row r="48" spans="2:17" x14ac:dyDescent="0.3">
      <c r="B48" s="15">
        <v>36</v>
      </c>
      <c r="C48" s="16" t="str">
        <f>IFERROR(VLOOKUP(D48,REF!$B$2:$C$8,2,0),"")</f>
        <v>B110 d (kain majun bekas)</v>
      </c>
      <c r="D48" s="55">
        <v>3</v>
      </c>
      <c r="E48" s="56">
        <v>44834</v>
      </c>
      <c r="F48" s="59">
        <f t="shared" si="0"/>
        <v>9</v>
      </c>
      <c r="G48" s="16" t="str">
        <f>IFERROR(VLOOKUP(D48,REF!$B$2:$D$8,3,0),"")</f>
        <v>Office</v>
      </c>
      <c r="H48" s="23">
        <v>1</v>
      </c>
      <c r="I48" s="57">
        <f t="shared" si="7"/>
        <v>44924</v>
      </c>
      <c r="J48" s="25"/>
      <c r="K48" s="26"/>
      <c r="L48" s="26"/>
      <c r="M48" s="30"/>
      <c r="N48" s="48">
        <f t="shared" si="3"/>
        <v>53</v>
      </c>
      <c r="O48" s="37"/>
      <c r="P48" s="52"/>
      <c r="Q48" s="54"/>
    </row>
    <row r="49" spans="2:17" x14ac:dyDescent="0.3">
      <c r="B49" s="15">
        <v>37</v>
      </c>
      <c r="C49" s="16" t="str">
        <f>IFERROR(VLOOKUP(D49,REF!$B$2:$C$8,2,0),"")</f>
        <v>A337 - 1 (limbah infeksius)</v>
      </c>
      <c r="D49" s="55">
        <v>1</v>
      </c>
      <c r="E49" s="56">
        <v>44865</v>
      </c>
      <c r="F49" s="59">
        <f t="shared" si="0"/>
        <v>10</v>
      </c>
      <c r="G49" s="16" t="str">
        <f>IFERROR(VLOOKUP(D49,REF!$B$2:$D$8,3,0),"")</f>
        <v>Poliklinik</v>
      </c>
      <c r="H49" s="23">
        <v>12</v>
      </c>
      <c r="I49" s="57">
        <f t="shared" si="7"/>
        <v>44955</v>
      </c>
      <c r="J49" s="25"/>
      <c r="K49" s="26"/>
      <c r="L49" s="26"/>
      <c r="M49" s="30"/>
      <c r="N49" s="48">
        <f t="shared" si="3"/>
        <v>65</v>
      </c>
      <c r="O49" s="37"/>
      <c r="P49" s="52"/>
      <c r="Q49" s="54"/>
    </row>
    <row r="50" spans="2:17" x14ac:dyDescent="0.3">
      <c r="B50" s="15">
        <v>38</v>
      </c>
      <c r="C50" s="16" t="str">
        <f>IFERROR(VLOOKUP(D50,REF!$B$2:$C$8,2,0),"")</f>
        <v>B104 d (Kemasan Bekas B3)</v>
      </c>
      <c r="D50" s="55">
        <v>2</v>
      </c>
      <c r="E50" s="56">
        <v>44865</v>
      </c>
      <c r="F50" s="59">
        <f t="shared" si="0"/>
        <v>10</v>
      </c>
      <c r="G50" s="16" t="str">
        <f>IFERROR(VLOOKUP(D50,REF!$B$2:$D$8,3,0),"")</f>
        <v>Office</v>
      </c>
      <c r="H50" s="23">
        <v>8.5</v>
      </c>
      <c r="I50" s="57">
        <f t="shared" si="7"/>
        <v>44955</v>
      </c>
      <c r="J50" s="25"/>
      <c r="K50" s="26"/>
      <c r="L50" s="26"/>
      <c r="M50" s="30"/>
      <c r="N50" s="48">
        <f>N49+H50-K50</f>
        <v>73.5</v>
      </c>
      <c r="O50" s="37"/>
      <c r="P50" s="52"/>
      <c r="Q50" s="54"/>
    </row>
    <row r="51" spans="2:17" x14ac:dyDescent="0.3">
      <c r="B51" s="15">
        <v>39</v>
      </c>
      <c r="C51" s="16" t="str">
        <f>IFERROR(VLOOKUP(D51,REF!$B$2:$C$8,2,0),"")</f>
        <v>B107 d (limbah elektronik)</v>
      </c>
      <c r="D51" s="55">
        <v>5</v>
      </c>
      <c r="E51" s="56">
        <v>44865</v>
      </c>
      <c r="F51" s="59">
        <f t="shared" si="0"/>
        <v>10</v>
      </c>
      <c r="G51" s="16" t="str">
        <f>IFERROR(VLOOKUP(D51,REF!$B$2:$D$8,3,0),"")</f>
        <v>Office</v>
      </c>
      <c r="H51" s="23">
        <v>1</v>
      </c>
      <c r="I51" s="57">
        <f t="shared" si="7"/>
        <v>44955</v>
      </c>
      <c r="J51" s="25"/>
      <c r="K51" s="26"/>
      <c r="L51" s="26"/>
      <c r="M51" s="30"/>
      <c r="N51" s="48">
        <f t="shared" si="3"/>
        <v>74.5</v>
      </c>
      <c r="O51" s="37"/>
      <c r="P51" s="52"/>
      <c r="Q51" s="54"/>
    </row>
    <row r="52" spans="2:17" x14ac:dyDescent="0.3">
      <c r="B52" s="15">
        <v>40</v>
      </c>
      <c r="C52" s="16" t="str">
        <f>IFERROR(VLOOKUP(D52,REF!$B$2:$C$8,2,0),"")</f>
        <v>A102 d (baterai bekas)</v>
      </c>
      <c r="D52" s="55">
        <v>6</v>
      </c>
      <c r="E52" s="56">
        <v>44865</v>
      </c>
      <c r="F52" s="59">
        <f t="shared" si="0"/>
        <v>10</v>
      </c>
      <c r="G52" s="16" t="str">
        <f>IFERROR(VLOOKUP(D52,REF!$B$2:$D$8,3,0),"")</f>
        <v>Werehouse</v>
      </c>
      <c r="H52" s="23">
        <v>1.5</v>
      </c>
      <c r="I52" s="57">
        <f t="shared" si="7"/>
        <v>44955</v>
      </c>
      <c r="J52" s="25"/>
      <c r="K52" s="26">
        <v>68</v>
      </c>
      <c r="L52" s="27" t="s">
        <v>69</v>
      </c>
      <c r="M52" s="28"/>
      <c r="N52" s="48">
        <f t="shared" si="3"/>
        <v>8</v>
      </c>
      <c r="O52" s="37"/>
      <c r="P52" s="51"/>
      <c r="Q52" s="54"/>
    </row>
    <row r="53" spans="2:17" x14ac:dyDescent="0.3">
      <c r="B53" s="15">
        <v>41</v>
      </c>
      <c r="C53" s="16" t="str">
        <f>IFERROR(VLOOKUP(D53,REF!$B$2:$C$8,2,0),"")</f>
        <v>A337 - 1 (limbah infeksius)</v>
      </c>
      <c r="D53" s="55">
        <v>1</v>
      </c>
      <c r="E53" s="56">
        <v>44895</v>
      </c>
      <c r="F53" s="59">
        <f t="shared" si="0"/>
        <v>11</v>
      </c>
      <c r="G53" s="16" t="str">
        <f>IFERROR(VLOOKUP(D53,REF!$B$2:$D$8,3,0),"")</f>
        <v>Poliklinik</v>
      </c>
      <c r="H53" s="23">
        <v>36</v>
      </c>
      <c r="I53" s="57">
        <f t="shared" si="7"/>
        <v>44985</v>
      </c>
      <c r="J53" s="25"/>
      <c r="K53" s="26"/>
      <c r="L53" s="27"/>
      <c r="M53" s="28"/>
      <c r="N53" s="48">
        <f t="shared" si="3"/>
        <v>44</v>
      </c>
      <c r="O53" s="37"/>
      <c r="P53" s="51"/>
      <c r="Q53" s="54"/>
    </row>
    <row r="54" spans="2:17" x14ac:dyDescent="0.3">
      <c r="B54" s="15">
        <v>42</v>
      </c>
      <c r="C54" s="16" t="str">
        <f>IFERROR(VLOOKUP(D54,REF!$B$2:$C$8,2,0),"")</f>
        <v>B104 d (Kemasan Bekas B3)</v>
      </c>
      <c r="D54" s="55">
        <v>2</v>
      </c>
      <c r="E54" s="56">
        <v>44895</v>
      </c>
      <c r="F54" s="59">
        <f t="shared" si="0"/>
        <v>11</v>
      </c>
      <c r="G54" s="16" t="str">
        <f>IFERROR(VLOOKUP(D54,REF!$B$2:$D$8,3,0),"")</f>
        <v>Office</v>
      </c>
      <c r="H54" s="23">
        <v>3.5</v>
      </c>
      <c r="I54" s="57">
        <f t="shared" si="7"/>
        <v>44985</v>
      </c>
      <c r="J54" s="25"/>
      <c r="K54" s="26"/>
      <c r="L54" s="27"/>
      <c r="M54" s="28"/>
      <c r="N54" s="48">
        <f t="shared" si="3"/>
        <v>47.5</v>
      </c>
      <c r="O54" s="37"/>
      <c r="P54" s="51"/>
      <c r="Q54" s="54"/>
    </row>
    <row r="55" spans="2:17" x14ac:dyDescent="0.3">
      <c r="B55" s="15">
        <v>43</v>
      </c>
      <c r="C55" s="16" t="str">
        <f>IFERROR(VLOOKUP(D55,REF!$B$2:$C$8,2,0),"")</f>
        <v>B105 d (oli bekas)</v>
      </c>
      <c r="D55" s="55">
        <v>4</v>
      </c>
      <c r="E55" s="56">
        <v>44895</v>
      </c>
      <c r="F55" s="59">
        <f t="shared" si="0"/>
        <v>11</v>
      </c>
      <c r="G55" s="16" t="str">
        <f>IFERROR(VLOOKUP(D55,REF!$B$2:$D$8,3,0),"")</f>
        <v>Kendaraan</v>
      </c>
      <c r="H55" s="23">
        <v>9.5</v>
      </c>
      <c r="I55" s="57">
        <f t="shared" si="7"/>
        <v>44985</v>
      </c>
      <c r="J55" s="25"/>
      <c r="K55" s="26"/>
      <c r="L55" s="27"/>
      <c r="M55" s="28"/>
      <c r="N55" s="48">
        <f t="shared" si="3"/>
        <v>57</v>
      </c>
      <c r="O55" s="37"/>
      <c r="P55" s="51"/>
      <c r="Q55" s="54"/>
    </row>
    <row r="56" spans="2:17" x14ac:dyDescent="0.3">
      <c r="B56" s="15">
        <v>44</v>
      </c>
      <c r="C56" s="16" t="str">
        <f>IFERROR(VLOOKUP(D56,REF!$B$2:$C$8,2,0),"")</f>
        <v>B107 d (limbah elektronik)</v>
      </c>
      <c r="D56" s="55">
        <v>5</v>
      </c>
      <c r="E56" s="56">
        <v>44895</v>
      </c>
      <c r="F56" s="59">
        <f t="shared" si="0"/>
        <v>11</v>
      </c>
      <c r="G56" s="16" t="str">
        <f>IFERROR(VLOOKUP(D56,REF!$B$2:$D$8,3,0),"")</f>
        <v>Office</v>
      </c>
      <c r="H56" s="23">
        <v>1</v>
      </c>
      <c r="I56" s="57">
        <f t="shared" si="7"/>
        <v>44985</v>
      </c>
      <c r="J56" s="25"/>
      <c r="K56" s="26">
        <v>43</v>
      </c>
      <c r="L56" s="27" t="s">
        <v>69</v>
      </c>
      <c r="M56" s="28"/>
      <c r="N56" s="48">
        <f t="shared" si="3"/>
        <v>15</v>
      </c>
      <c r="O56" s="37"/>
      <c r="P56" s="51"/>
      <c r="Q56" s="54"/>
    </row>
    <row r="57" spans="2:17" x14ac:dyDescent="0.3">
      <c r="B57" s="15"/>
      <c r="C57" s="16" t="str">
        <f>IFERROR(VLOOKUP(D57,REF!$B$2:$C$8,2,0),"")</f>
        <v>A337 - 1 (limbah infeksius)</v>
      </c>
      <c r="D57" s="55">
        <v>1</v>
      </c>
      <c r="E57" s="56">
        <v>44926</v>
      </c>
      <c r="F57" s="59">
        <f t="shared" si="0"/>
        <v>12</v>
      </c>
      <c r="G57" s="16" t="str">
        <f>IFERROR(VLOOKUP(D57,REF!$B$2:$D$8,3,0),"")</f>
        <v>Poliklinik</v>
      </c>
      <c r="H57" s="23">
        <v>12.5</v>
      </c>
      <c r="I57" s="57">
        <f t="shared" si="7"/>
        <v>45016</v>
      </c>
      <c r="J57" s="25"/>
      <c r="K57" s="26"/>
      <c r="L57" s="27"/>
      <c r="M57" s="28"/>
      <c r="N57" s="48">
        <f t="shared" si="3"/>
        <v>27.5</v>
      </c>
      <c r="O57" s="37"/>
      <c r="P57" s="51"/>
      <c r="Q57" s="54"/>
    </row>
    <row r="58" spans="2:17" x14ac:dyDescent="0.3">
      <c r="B58" s="15"/>
      <c r="C58" s="16" t="str">
        <f>IFERROR(VLOOKUP(D58,REF!$B$2:$C$8,2,0),"")</f>
        <v>B104 d (Kemasan Bekas B3)</v>
      </c>
      <c r="D58" s="55">
        <v>2</v>
      </c>
      <c r="E58" s="56">
        <v>44926</v>
      </c>
      <c r="F58" s="59">
        <f t="shared" si="0"/>
        <v>12</v>
      </c>
      <c r="G58" s="16" t="str">
        <f>IFERROR(VLOOKUP(D58,REF!$B$2:$D$8,3,0),"")</f>
        <v>Office</v>
      </c>
      <c r="H58" s="23">
        <v>5.5</v>
      </c>
      <c r="I58" s="57">
        <f t="shared" si="7"/>
        <v>45016</v>
      </c>
      <c r="J58" s="25"/>
      <c r="K58" s="26"/>
      <c r="L58" s="27"/>
      <c r="M58" s="28"/>
      <c r="N58" s="48">
        <f t="shared" si="3"/>
        <v>33</v>
      </c>
      <c r="O58" s="37"/>
      <c r="P58" s="51"/>
      <c r="Q58" s="54"/>
    </row>
    <row r="59" spans="2:17" x14ac:dyDescent="0.3">
      <c r="B59" s="15"/>
      <c r="C59" s="16" t="str">
        <f>IFERROR(VLOOKUP(D59,REF!$B$2:$C$8,2,0),"")</f>
        <v>A102 d (baterai bekas)</v>
      </c>
      <c r="D59" s="55">
        <v>6</v>
      </c>
      <c r="E59" s="56">
        <v>44926</v>
      </c>
      <c r="F59" s="59">
        <f t="shared" si="0"/>
        <v>12</v>
      </c>
      <c r="G59" s="16" t="str">
        <f>IFERROR(VLOOKUP(D59,REF!$B$2:$D$8,3,0),"")</f>
        <v>Werehouse</v>
      </c>
      <c r="H59" s="23">
        <v>1.5</v>
      </c>
      <c r="I59" s="57">
        <f t="shared" si="7"/>
        <v>45016</v>
      </c>
      <c r="J59" s="25"/>
      <c r="K59" s="26"/>
      <c r="L59" s="27"/>
      <c r="M59" s="28"/>
      <c r="N59" s="48">
        <f t="shared" si="3"/>
        <v>34.5</v>
      </c>
      <c r="O59" s="37"/>
      <c r="P59" s="52">
        <f>SUM(H52:H59)</f>
        <v>71</v>
      </c>
      <c r="Q59" s="54">
        <f>P59/1000</f>
        <v>7.0999999999999994E-2</v>
      </c>
    </row>
    <row r="60" spans="2:17" ht="15" thickBot="1" x14ac:dyDescent="0.35">
      <c r="B60" s="17"/>
      <c r="C60" s="18"/>
      <c r="D60" s="18"/>
      <c r="E60" s="18"/>
      <c r="F60" s="18"/>
      <c r="G60" s="18"/>
      <c r="H60" s="31"/>
      <c r="I60" s="32"/>
      <c r="J60" s="33"/>
      <c r="K60" s="34"/>
      <c r="L60" s="35"/>
      <c r="M60" s="36"/>
      <c r="N60" s="49"/>
      <c r="O60" s="38"/>
      <c r="P60" s="53"/>
      <c r="Q60" s="61"/>
    </row>
    <row r="61" spans="2:17" x14ac:dyDescent="0.3">
      <c r="N61" s="1"/>
    </row>
    <row r="63" spans="2:17" x14ac:dyDescent="0.3">
      <c r="E63" s="3" t="s">
        <v>70</v>
      </c>
    </row>
    <row r="64" spans="2:17" x14ac:dyDescent="0.3">
      <c r="E64" s="60" t="s">
        <v>71</v>
      </c>
      <c r="G64" s="60">
        <f>SUMIF(F13:F59,0,H13:H59)</f>
        <v>5</v>
      </c>
    </row>
    <row r="65" spans="5:7" x14ac:dyDescent="0.3">
      <c r="E65" s="3" t="s">
        <v>72</v>
      </c>
      <c r="G65" s="3">
        <f>SUMIFS(H13:H59,D13:D59,1,F13:F59,0)</f>
        <v>5</v>
      </c>
    </row>
    <row r="66" spans="5:7" x14ac:dyDescent="0.3">
      <c r="E66" s="3" t="s">
        <v>73</v>
      </c>
      <c r="G66" s="3">
        <f>SUMIFS(H13:H59,D13:D59,2,F13:F59,0)</f>
        <v>0</v>
      </c>
    </row>
    <row r="67" spans="5:7" x14ac:dyDescent="0.3">
      <c r="E67" s="3" t="s">
        <v>74</v>
      </c>
      <c r="G67" s="3">
        <f>SUMIFS(H13:H59,D13:D59,3,F13:F59,0)</f>
        <v>0</v>
      </c>
    </row>
    <row r="68" spans="5:7" x14ac:dyDescent="0.3">
      <c r="E68" s="3" t="s">
        <v>75</v>
      </c>
      <c r="G68" s="3">
        <f>SUMIFS(H13:H59,D13:D59,4,F13:F59,0)</f>
        <v>0</v>
      </c>
    </row>
    <row r="69" spans="5:7" x14ac:dyDescent="0.3">
      <c r="E69" s="3" t="s">
        <v>76</v>
      </c>
      <c r="G69" s="3">
        <f>SUMIFS(H13:H59,D13:D59,5,F13:F59,0)</f>
        <v>0</v>
      </c>
    </row>
    <row r="70" spans="5:7" x14ac:dyDescent="0.3">
      <c r="E70" s="3" t="s">
        <v>77</v>
      </c>
      <c r="G70" s="3">
        <f>SUMIFS(H13:H59,D13:D59,6,F13:F59,0)</f>
        <v>0</v>
      </c>
    </row>
    <row r="71" spans="5:7" x14ac:dyDescent="0.3">
      <c r="E71" s="60" t="s">
        <v>78</v>
      </c>
      <c r="G71" s="60">
        <f>SUMIF(F13:F59,1,H13:H59)</f>
        <v>52.5</v>
      </c>
    </row>
    <row r="72" spans="5:7" x14ac:dyDescent="0.3">
      <c r="E72" s="3" t="s">
        <v>72</v>
      </c>
      <c r="G72" s="3">
        <f>SUMIFS(H13:H59,D13:D59,1,F13:F59,1)</f>
        <v>28.5</v>
      </c>
    </row>
    <row r="73" spans="5:7" x14ac:dyDescent="0.3">
      <c r="E73" s="3" t="s">
        <v>73</v>
      </c>
      <c r="G73" s="3">
        <f>SUMIFS(H13:H59,D13:D59,2,F13:F59,1)</f>
        <v>11</v>
      </c>
    </row>
    <row r="74" spans="5:7" x14ac:dyDescent="0.3">
      <c r="E74" s="3" t="s">
        <v>74</v>
      </c>
      <c r="G74" s="3">
        <f>SUMIFS(H13:H59,D13:D59,3,F13:F59,1)</f>
        <v>12.5</v>
      </c>
    </row>
    <row r="75" spans="5:7" x14ac:dyDescent="0.3">
      <c r="E75" s="3" t="s">
        <v>75</v>
      </c>
      <c r="G75" s="3">
        <f>SUMIFS(H13:H59,D13:D59,4,F13:F59,1)</f>
        <v>0</v>
      </c>
    </row>
    <row r="76" spans="5:7" x14ac:dyDescent="0.3">
      <c r="E76" s="3" t="s">
        <v>76</v>
      </c>
      <c r="G76" s="3">
        <f>SUMIFS(H13:H59,D13:D59,5,F13:F59,1)</f>
        <v>0</v>
      </c>
    </row>
    <row r="77" spans="5:7" x14ac:dyDescent="0.3">
      <c r="E77" s="3" t="s">
        <v>77</v>
      </c>
      <c r="G77" s="3">
        <f>SUMIFS(H13:H59,D13:D59,6,F13:F59,1)</f>
        <v>0.5</v>
      </c>
    </row>
    <row r="78" spans="5:7" x14ac:dyDescent="0.3">
      <c r="E78" s="60" t="s">
        <v>79</v>
      </c>
      <c r="G78" s="60">
        <f>SUMIF(F13:F59,2,H13:H59)</f>
        <v>51.5</v>
      </c>
    </row>
    <row r="79" spans="5:7" x14ac:dyDescent="0.3">
      <c r="E79" s="3" t="s">
        <v>72</v>
      </c>
      <c r="G79" s="3">
        <f>SUMIFS(H13:H59,D13:D59,1,F13:F59,2)</f>
        <v>29</v>
      </c>
    </row>
    <row r="80" spans="5:7" x14ac:dyDescent="0.3">
      <c r="E80" s="3" t="s">
        <v>73</v>
      </c>
      <c r="G80" s="3">
        <f>SUMIFS(H13:H59,D13:D59,2,F13:F59,2)</f>
        <v>10.5</v>
      </c>
    </row>
    <row r="81" spans="5:7" x14ac:dyDescent="0.3">
      <c r="E81" s="3" t="s">
        <v>74</v>
      </c>
      <c r="G81" s="3">
        <f>SUMIFS(H13:H59,D13:D59,3,F13:F59,2)</f>
        <v>11.5</v>
      </c>
    </row>
    <row r="82" spans="5:7" x14ac:dyDescent="0.3">
      <c r="E82" s="3" t="s">
        <v>75</v>
      </c>
      <c r="G82" s="3">
        <f>SUMIFS(H13:H59,D13:D59,4,F13:F59,2)</f>
        <v>0</v>
      </c>
    </row>
    <row r="83" spans="5:7" x14ac:dyDescent="0.3">
      <c r="E83" s="3" t="s">
        <v>76</v>
      </c>
      <c r="G83" s="3">
        <f>SUMIFS(H13:H59,D13:D59,5,F13:F59,2)</f>
        <v>0</v>
      </c>
    </row>
    <row r="84" spans="5:7" x14ac:dyDescent="0.3">
      <c r="E84" s="3" t="s">
        <v>77</v>
      </c>
      <c r="G84" s="3">
        <f>SUMIFS(H13:H59,D13:D59,6,F13:F59,2)</f>
        <v>0.5</v>
      </c>
    </row>
    <row r="85" spans="5:7" x14ac:dyDescent="0.3">
      <c r="E85" s="60" t="s">
        <v>80</v>
      </c>
      <c r="G85" s="60">
        <f>SUMIF(F13:F59,3,H13:H59)</f>
        <v>71</v>
      </c>
    </row>
    <row r="86" spans="5:7" x14ac:dyDescent="0.3">
      <c r="E86" s="3" t="s">
        <v>72</v>
      </c>
      <c r="G86" s="3">
        <f>SUMIFS(H13:H59,D13:D59,1,F13:F59,3)</f>
        <v>17</v>
      </c>
    </row>
    <row r="87" spans="5:7" x14ac:dyDescent="0.3">
      <c r="E87" s="3" t="s">
        <v>73</v>
      </c>
      <c r="G87" s="3">
        <f>SUMIFS(H13:H59,D13:D59,2,F13:F59,3)</f>
        <v>22.5</v>
      </c>
    </row>
    <row r="88" spans="5:7" x14ac:dyDescent="0.3">
      <c r="E88" s="3" t="s">
        <v>74</v>
      </c>
      <c r="G88" s="3">
        <f>SUMIFS(H13:H59,D13:D59,3,F13:F59,3)</f>
        <v>0</v>
      </c>
    </row>
    <row r="89" spans="5:7" x14ac:dyDescent="0.3">
      <c r="E89" s="3" t="s">
        <v>75</v>
      </c>
      <c r="G89" s="3">
        <f>SUMIFS(H13:H59,D13:D59,4,F13:F59,3)</f>
        <v>0</v>
      </c>
    </row>
    <row r="90" spans="5:7" x14ac:dyDescent="0.3">
      <c r="E90" s="3" t="s">
        <v>76</v>
      </c>
      <c r="G90" s="3">
        <f>SUMIFS(H13:H59,D13:D59,5,F13:F59,3)</f>
        <v>28.5</v>
      </c>
    </row>
    <row r="91" spans="5:7" x14ac:dyDescent="0.3">
      <c r="E91" s="3" t="s">
        <v>77</v>
      </c>
      <c r="G91" s="3">
        <f>SUMIFS(H13:H59,D13:D59,6,F13:F59,3)</f>
        <v>3</v>
      </c>
    </row>
    <row r="92" spans="5:7" x14ac:dyDescent="0.3">
      <c r="E92" s="60" t="s">
        <v>81</v>
      </c>
      <c r="G92" s="60">
        <f>SUMIF(F13:F59,4,H13:H59)</f>
        <v>83</v>
      </c>
    </row>
    <row r="93" spans="5:7" x14ac:dyDescent="0.3">
      <c r="E93" s="3" t="s">
        <v>72</v>
      </c>
      <c r="G93" s="3">
        <f>SUMIFS(H13:H59,D13:D59,1,F13:F59,4)</f>
        <v>31.5</v>
      </c>
    </row>
    <row r="94" spans="5:7" x14ac:dyDescent="0.3">
      <c r="E94" s="3" t="s">
        <v>73</v>
      </c>
      <c r="G94" s="3">
        <f>SUMIFS(H13:H59,D13:D59,2,F13:F59,4)</f>
        <v>8.5</v>
      </c>
    </row>
    <row r="95" spans="5:7" x14ac:dyDescent="0.3">
      <c r="E95" s="3" t="s">
        <v>74</v>
      </c>
      <c r="G95" s="3">
        <f>SUMIFS(H13:H59,D13:D59,3,F13:F59,4)</f>
        <v>0</v>
      </c>
    </row>
    <row r="96" spans="5:7" x14ac:dyDescent="0.3">
      <c r="E96" s="3" t="s">
        <v>75</v>
      </c>
      <c r="G96" s="3">
        <f>SUMIFS(H13:H59,D13:D59,4,F13:F59,4)</f>
        <v>42</v>
      </c>
    </row>
    <row r="97" spans="5:7" x14ac:dyDescent="0.3">
      <c r="E97" s="3" t="s">
        <v>76</v>
      </c>
      <c r="G97" s="3">
        <f>SUMIFS(H13:H59,D13:D59,5,F13:F59,4)</f>
        <v>0</v>
      </c>
    </row>
    <row r="98" spans="5:7" x14ac:dyDescent="0.3">
      <c r="E98" s="3" t="s">
        <v>77</v>
      </c>
      <c r="G98" s="3">
        <f>SUMIFS(H13:H59,D13:D59,6,F13:F59,4)</f>
        <v>1</v>
      </c>
    </row>
    <row r="99" spans="5:7" x14ac:dyDescent="0.3">
      <c r="E99" s="60" t="s">
        <v>82</v>
      </c>
      <c r="G99" s="60">
        <f>SUMIF(F13:F59,5,H13:H59)</f>
        <v>12</v>
      </c>
    </row>
    <row r="100" spans="5:7" x14ac:dyDescent="0.3">
      <c r="E100" s="3" t="s">
        <v>72</v>
      </c>
      <c r="G100" s="3">
        <f>SUMIFS(H13:H59,D13:D59,1,F13:F59,5)</f>
        <v>12</v>
      </c>
    </row>
    <row r="101" spans="5:7" x14ac:dyDescent="0.3">
      <c r="E101" s="3" t="s">
        <v>73</v>
      </c>
      <c r="G101" s="3">
        <f>SUMIFS(H13:H59,D13:D59,2,F13:F59,5)</f>
        <v>0</v>
      </c>
    </row>
    <row r="102" spans="5:7" x14ac:dyDescent="0.3">
      <c r="E102" s="3" t="s">
        <v>74</v>
      </c>
      <c r="G102" s="3">
        <f>SUMIFS(H13:H59,D13:D59,3,F13:F59,5)</f>
        <v>0</v>
      </c>
    </row>
    <row r="103" spans="5:7" x14ac:dyDescent="0.3">
      <c r="E103" s="3" t="s">
        <v>75</v>
      </c>
      <c r="G103" s="3">
        <f>SUMIFS(H13:H59,D13:D59,4,F13:F59,5)</f>
        <v>0</v>
      </c>
    </row>
    <row r="104" spans="5:7" x14ac:dyDescent="0.3">
      <c r="E104" s="3" t="s">
        <v>76</v>
      </c>
      <c r="G104" s="3">
        <f>SUMIFS(H13:H59,D13:D59,5,F13:F59,5)</f>
        <v>0</v>
      </c>
    </row>
    <row r="105" spans="5:7" x14ac:dyDescent="0.3">
      <c r="E105" s="3" t="s">
        <v>77</v>
      </c>
      <c r="G105" s="3">
        <f>SUMIFS(H13:H59,D13:D59,6,F13:F59,5)</f>
        <v>0</v>
      </c>
    </row>
    <row r="106" spans="5:7" x14ac:dyDescent="0.3">
      <c r="E106" s="60" t="s">
        <v>83</v>
      </c>
      <c r="G106" s="60">
        <f>SUMIF(F13:F59,6,H13:H59)</f>
        <v>36.1</v>
      </c>
    </row>
    <row r="107" spans="5:7" x14ac:dyDescent="0.3">
      <c r="E107" s="3" t="s">
        <v>72</v>
      </c>
      <c r="G107" s="3">
        <f>SUMIFS(H13:H59,D13:D59,1,F13:F59,6)</f>
        <v>21</v>
      </c>
    </row>
    <row r="108" spans="5:7" x14ac:dyDescent="0.3">
      <c r="E108" s="3" t="s">
        <v>73</v>
      </c>
      <c r="G108" s="3">
        <f>SUMIFS(H13:H59,D13:D59,2,F13:F59,6)</f>
        <v>4.5999999999999996</v>
      </c>
    </row>
    <row r="109" spans="5:7" x14ac:dyDescent="0.3">
      <c r="E109" s="3" t="s">
        <v>74</v>
      </c>
      <c r="G109" s="3">
        <f>SUMIFS(H13:H59,D13:D59,3,F13:F59,6)</f>
        <v>0</v>
      </c>
    </row>
    <row r="110" spans="5:7" x14ac:dyDescent="0.3">
      <c r="E110" s="3" t="s">
        <v>75</v>
      </c>
      <c r="G110" s="3">
        <f>SUMIFS(H13:H59,D13:D59,4,F13:F59,6)</f>
        <v>7</v>
      </c>
    </row>
    <row r="111" spans="5:7" x14ac:dyDescent="0.3">
      <c r="E111" s="3" t="s">
        <v>76</v>
      </c>
      <c r="G111" s="3">
        <f>SUMIFS(H13:H59,D13:D59,5,F13:F59,6)</f>
        <v>1.5</v>
      </c>
    </row>
    <row r="112" spans="5:7" x14ac:dyDescent="0.3">
      <c r="E112" s="3" t="s">
        <v>77</v>
      </c>
      <c r="G112" s="3">
        <f>SUMIFS(H13:H59,D13:D59,6,F13:F59,6)</f>
        <v>2</v>
      </c>
    </row>
    <row r="113" spans="5:7" x14ac:dyDescent="0.3">
      <c r="E113" s="60" t="s">
        <v>84</v>
      </c>
      <c r="G113" s="60">
        <f>SUMIF(F13:F59,7,H13:H59)</f>
        <v>36</v>
      </c>
    </row>
    <row r="114" spans="5:7" x14ac:dyDescent="0.3">
      <c r="E114" s="3" t="s">
        <v>72</v>
      </c>
      <c r="G114" s="3">
        <f>SUMIFS(H13:H59,D13:D59,1,F13:F59,7)</f>
        <v>23</v>
      </c>
    </row>
    <row r="115" spans="5:7" x14ac:dyDescent="0.3">
      <c r="E115" s="3" t="s">
        <v>73</v>
      </c>
      <c r="G115" s="3">
        <f>SUMIFS(H13:H59,D13:D59,2,F13:F59,7)</f>
        <v>6</v>
      </c>
    </row>
    <row r="116" spans="5:7" x14ac:dyDescent="0.3">
      <c r="E116" s="3" t="s">
        <v>74</v>
      </c>
      <c r="G116" s="3">
        <f>SUMIFS(H13:H59,D13:D59,3,F13:F59,7)</f>
        <v>0</v>
      </c>
    </row>
    <row r="117" spans="5:7" x14ac:dyDescent="0.3">
      <c r="E117" s="3" t="s">
        <v>75</v>
      </c>
      <c r="G117" s="3">
        <f>SUMIFS(H13:H59,D13:D59,4,F13:F59,7)</f>
        <v>6</v>
      </c>
    </row>
    <row r="118" spans="5:7" x14ac:dyDescent="0.3">
      <c r="E118" s="3" t="s">
        <v>76</v>
      </c>
      <c r="G118" s="3">
        <f>SUMIFS(H13:H59,D13:D59,5,F13:F59,7)</f>
        <v>1</v>
      </c>
    </row>
    <row r="119" spans="5:7" x14ac:dyDescent="0.3">
      <c r="E119" s="3" t="s">
        <v>77</v>
      </c>
      <c r="G119" s="3">
        <f>SUMIFS(H13:H59,D13:D59,6,F13:F59,7)</f>
        <v>0</v>
      </c>
    </row>
    <row r="120" spans="5:7" x14ac:dyDescent="0.3">
      <c r="E120" s="60" t="s">
        <v>85</v>
      </c>
      <c r="G120" s="60">
        <f>SUMIF(F13:F59,8,H13:H59)</f>
        <v>27.5</v>
      </c>
    </row>
    <row r="121" spans="5:7" x14ac:dyDescent="0.3">
      <c r="E121" s="3" t="s">
        <v>72</v>
      </c>
      <c r="G121" s="3">
        <f>SUMIFS(H12:H56,D12:D56,2,F12:F56,8)</f>
        <v>8</v>
      </c>
    </row>
    <row r="122" spans="5:7" x14ac:dyDescent="0.3">
      <c r="E122" s="3" t="s">
        <v>73</v>
      </c>
      <c r="G122" s="3">
        <f>SUMIFS(H13:H59,D13:D59,2,F13:F59,8)</f>
        <v>8</v>
      </c>
    </row>
    <row r="123" spans="5:7" x14ac:dyDescent="0.3">
      <c r="E123" s="3" t="s">
        <v>74</v>
      </c>
      <c r="G123" s="3">
        <f>SUMIFS(H13:H59,D13:D59,3,F13:F59,8)</f>
        <v>0</v>
      </c>
    </row>
    <row r="124" spans="5:7" x14ac:dyDescent="0.3">
      <c r="E124" s="3" t="s">
        <v>75</v>
      </c>
      <c r="G124" s="3">
        <f>SUMIFS(H13:H59,D13:D59,4,F13:F59,8)</f>
        <v>0</v>
      </c>
    </row>
    <row r="125" spans="5:7" x14ac:dyDescent="0.3">
      <c r="E125" s="3" t="s">
        <v>112</v>
      </c>
      <c r="G125" s="3">
        <f>SUMIFS(H13:H59,D13:D59,5,F13:F59,8)</f>
        <v>3</v>
      </c>
    </row>
    <row r="126" spans="5:7" x14ac:dyDescent="0.3">
      <c r="E126" s="3" t="s">
        <v>77</v>
      </c>
      <c r="G126" s="3">
        <f>SUMIFS(H13:H59,D13:D59,6,F13:F59,8)</f>
        <v>0</v>
      </c>
    </row>
    <row r="127" spans="5:7" x14ac:dyDescent="0.3">
      <c r="E127" s="60" t="s">
        <v>86</v>
      </c>
      <c r="G127" s="60">
        <f>SUMIF(F13:F59,9,H13:H59)</f>
        <v>53</v>
      </c>
    </row>
    <row r="128" spans="5:7" x14ac:dyDescent="0.3">
      <c r="E128" s="3" t="s">
        <v>72</v>
      </c>
      <c r="G128" s="3">
        <f>SUMIFS(H13:H59,D13:D59,1,F13:F59,9)</f>
        <v>30.5</v>
      </c>
    </row>
    <row r="129" spans="5:7" x14ac:dyDescent="0.3">
      <c r="E129" s="3" t="s">
        <v>73</v>
      </c>
      <c r="G129" s="3">
        <f>SUMIFS(H13:H59,D13:D59,2,F13:F59,9)</f>
        <v>4.5</v>
      </c>
    </row>
    <row r="130" spans="5:7" x14ac:dyDescent="0.3">
      <c r="E130" s="3" t="s">
        <v>74</v>
      </c>
      <c r="G130" s="3">
        <f>SUMIFS(H13:H59,D13:D59,3,F13:F59,9)</f>
        <v>1</v>
      </c>
    </row>
    <row r="131" spans="5:7" x14ac:dyDescent="0.3">
      <c r="E131" s="3" t="s">
        <v>75</v>
      </c>
      <c r="G131" s="3">
        <f>SUMIFS(H13:H59,D13:D59,4,F13:F59,9)</f>
        <v>17</v>
      </c>
    </row>
    <row r="132" spans="5:7" x14ac:dyDescent="0.3">
      <c r="E132" s="3" t="s">
        <v>76</v>
      </c>
      <c r="G132" s="3">
        <f>SUMIFS(H13:H59,D13:D59,5,F13:F59,9)</f>
        <v>0</v>
      </c>
    </row>
    <row r="133" spans="5:7" x14ac:dyDescent="0.3">
      <c r="E133" s="3" t="s">
        <v>77</v>
      </c>
      <c r="G133" s="3">
        <f>SUMIFS(H13:H59,D13:D59,6,F13:F59,9)</f>
        <v>0</v>
      </c>
    </row>
    <row r="134" spans="5:7" x14ac:dyDescent="0.3">
      <c r="E134" s="60" t="s">
        <v>87</v>
      </c>
      <c r="G134" s="60">
        <f>SUMIF(F13:F59,10,H13:H59)</f>
        <v>23</v>
      </c>
    </row>
    <row r="135" spans="5:7" x14ac:dyDescent="0.3">
      <c r="E135" s="3" t="s">
        <v>72</v>
      </c>
      <c r="G135" s="3">
        <f>SUMIFS(H13:H59,D13:D59,1,F13:F59,10)</f>
        <v>12</v>
      </c>
    </row>
    <row r="136" spans="5:7" x14ac:dyDescent="0.3">
      <c r="E136" s="3" t="s">
        <v>73</v>
      </c>
      <c r="G136" s="3">
        <f>SUMIFS(H13:H59,D13:D59,2,F13:F59,10)</f>
        <v>8.5</v>
      </c>
    </row>
    <row r="137" spans="5:7" x14ac:dyDescent="0.3">
      <c r="E137" s="3" t="s">
        <v>74</v>
      </c>
      <c r="G137" s="3">
        <f>SUMIFS(H13:H59,D13:D59,3,F13:F59,10)</f>
        <v>0</v>
      </c>
    </row>
    <row r="138" spans="5:7" x14ac:dyDescent="0.3">
      <c r="E138" s="3" t="s">
        <v>75</v>
      </c>
      <c r="G138" s="3">
        <f>SUMIFS(H13:H59,D13:D59,4,F13:F59,10)</f>
        <v>0</v>
      </c>
    </row>
    <row r="139" spans="5:7" x14ac:dyDescent="0.3">
      <c r="E139" s="3" t="s">
        <v>76</v>
      </c>
      <c r="G139" s="3">
        <f>SUMIFS(H13:H59,D13:D59,5,F13:F59,10)</f>
        <v>1</v>
      </c>
    </row>
    <row r="140" spans="5:7" x14ac:dyDescent="0.3">
      <c r="E140" s="3" t="s">
        <v>77</v>
      </c>
      <c r="G140" s="3">
        <f>SUMIFS(H13:H59,D13:D59,6,F13:F59,10)</f>
        <v>1.5</v>
      </c>
    </row>
    <row r="141" spans="5:7" x14ac:dyDescent="0.3">
      <c r="E141" s="60" t="s">
        <v>88</v>
      </c>
      <c r="G141" s="60">
        <f>SUMIF(F13:F59,11,H13:H59)</f>
        <v>50</v>
      </c>
    </row>
    <row r="142" spans="5:7" x14ac:dyDescent="0.3">
      <c r="E142" s="3" t="s">
        <v>72</v>
      </c>
      <c r="G142" s="3">
        <f>SUMIFS(H13:H59,D13:D59,1,F13:F59,11)</f>
        <v>36</v>
      </c>
    </row>
    <row r="143" spans="5:7" x14ac:dyDescent="0.3">
      <c r="E143" s="3" t="s">
        <v>73</v>
      </c>
      <c r="G143" s="3">
        <f>SUMIFS(H13:H59,D13:D59,2,F13:F59,11)</f>
        <v>3.5</v>
      </c>
    </row>
    <row r="144" spans="5:7" x14ac:dyDescent="0.3">
      <c r="E144" s="3" t="s">
        <v>74</v>
      </c>
      <c r="G144" s="3">
        <f>SUMIFS(H13:H59,D13:D59,3,F13:F59,11)</f>
        <v>0</v>
      </c>
    </row>
    <row r="145" spans="5:7" x14ac:dyDescent="0.3">
      <c r="E145" s="3" t="s">
        <v>75</v>
      </c>
      <c r="G145" s="3">
        <f>SUMIFS(H13:H59,D13:D59,4,F13:F59,11)</f>
        <v>9.5</v>
      </c>
    </row>
    <row r="146" spans="5:7" x14ac:dyDescent="0.3">
      <c r="E146" s="3" t="s">
        <v>76</v>
      </c>
      <c r="G146" s="3">
        <f>SUMIFS(H13:H59,D13:D59,5,F13:F59,11)</f>
        <v>1</v>
      </c>
    </row>
    <row r="147" spans="5:7" x14ac:dyDescent="0.3">
      <c r="E147" s="3" t="s">
        <v>77</v>
      </c>
      <c r="G147" s="3">
        <f>SUMIFS(H13:H59,D13:D59,6,F13:F59,11)</f>
        <v>0</v>
      </c>
    </row>
    <row r="148" spans="5:7" x14ac:dyDescent="0.3">
      <c r="E148" s="60" t="s">
        <v>89</v>
      </c>
      <c r="G148" s="60">
        <f>SUMIF(F13:F59,12,H13:H59)</f>
        <v>19.5</v>
      </c>
    </row>
    <row r="149" spans="5:7" x14ac:dyDescent="0.3">
      <c r="E149" s="3" t="s">
        <v>72</v>
      </c>
      <c r="G149" s="3">
        <f>SUMIFS(H13:H59,D13:D59,1,F13:F59,12)</f>
        <v>12.5</v>
      </c>
    </row>
    <row r="150" spans="5:7" x14ac:dyDescent="0.3">
      <c r="E150" s="3" t="s">
        <v>73</v>
      </c>
      <c r="G150" s="3">
        <f>SUMIFS(H13:H59,D13:D59,2,F13:F59,12)</f>
        <v>5.5</v>
      </c>
    </row>
    <row r="151" spans="5:7" x14ac:dyDescent="0.3">
      <c r="E151" s="3" t="s">
        <v>74</v>
      </c>
      <c r="G151" s="3">
        <f>SUMIFS(H13:H59,D13:D59,3,F13:F59,12)</f>
        <v>0</v>
      </c>
    </row>
    <row r="152" spans="5:7" x14ac:dyDescent="0.3">
      <c r="E152" s="3" t="s">
        <v>75</v>
      </c>
      <c r="G152" s="3">
        <f>SUMIFS(H13:H59,D13:D59,4,F13:F59,12)</f>
        <v>0</v>
      </c>
    </row>
    <row r="153" spans="5:7" x14ac:dyDescent="0.3">
      <c r="E153" s="3" t="s">
        <v>76</v>
      </c>
      <c r="G153" s="3">
        <f>SUMIFS(H13:H59,D13:D59,5,F13:F59,12)</f>
        <v>0</v>
      </c>
    </row>
    <row r="154" spans="5:7" x14ac:dyDescent="0.3">
      <c r="E154" s="3" t="s">
        <v>77</v>
      </c>
      <c r="G154" s="3">
        <f>SUMIFS(H13:H59,D13:D59,6,F13:F59,12)</f>
        <v>1.5</v>
      </c>
    </row>
    <row r="155" spans="5:7" x14ac:dyDescent="0.3">
      <c r="E155" s="60" t="s">
        <v>90</v>
      </c>
      <c r="G155" s="60">
        <f t="shared" ref="G155:G161" si="12">G71+G78+G85</f>
        <v>175</v>
      </c>
    </row>
    <row r="156" spans="5:7" x14ac:dyDescent="0.3">
      <c r="E156" s="3" t="s">
        <v>72</v>
      </c>
      <c r="G156" s="3">
        <f t="shared" si="12"/>
        <v>74.5</v>
      </c>
    </row>
    <row r="157" spans="5:7" x14ac:dyDescent="0.3">
      <c r="E157" s="3" t="s">
        <v>73</v>
      </c>
      <c r="G157" s="3">
        <f t="shared" si="12"/>
        <v>44</v>
      </c>
    </row>
    <row r="158" spans="5:7" x14ac:dyDescent="0.3">
      <c r="E158" s="3" t="s">
        <v>74</v>
      </c>
      <c r="G158" s="3">
        <f t="shared" si="12"/>
        <v>24</v>
      </c>
    </row>
    <row r="159" spans="5:7" x14ac:dyDescent="0.3">
      <c r="E159" s="3" t="s">
        <v>75</v>
      </c>
      <c r="G159" s="3">
        <f t="shared" si="12"/>
        <v>0</v>
      </c>
    </row>
    <row r="160" spans="5:7" x14ac:dyDescent="0.3">
      <c r="E160" s="3" t="s">
        <v>91</v>
      </c>
      <c r="G160" s="3">
        <f t="shared" si="12"/>
        <v>28.5</v>
      </c>
    </row>
    <row r="161" spans="5:7" x14ac:dyDescent="0.3">
      <c r="E161" s="3" t="s">
        <v>92</v>
      </c>
      <c r="G161" s="3">
        <f t="shared" si="12"/>
        <v>4</v>
      </c>
    </row>
    <row r="162" spans="5:7" x14ac:dyDescent="0.3">
      <c r="E162" s="60" t="s">
        <v>93</v>
      </c>
      <c r="G162" s="60">
        <f t="shared" ref="G162:G168" si="13">G92+G99+G106</f>
        <v>131.1</v>
      </c>
    </row>
    <row r="163" spans="5:7" x14ac:dyDescent="0.3">
      <c r="E163" s="3" t="s">
        <v>72</v>
      </c>
      <c r="G163" s="3">
        <f t="shared" si="13"/>
        <v>64.5</v>
      </c>
    </row>
    <row r="164" spans="5:7" x14ac:dyDescent="0.3">
      <c r="E164" s="3" t="s">
        <v>73</v>
      </c>
      <c r="G164" s="3">
        <f t="shared" si="13"/>
        <v>13.1</v>
      </c>
    </row>
    <row r="165" spans="5:7" x14ac:dyDescent="0.3">
      <c r="E165" s="3" t="s">
        <v>74</v>
      </c>
      <c r="G165" s="3">
        <f t="shared" si="13"/>
        <v>0</v>
      </c>
    </row>
    <row r="166" spans="5:7" x14ac:dyDescent="0.3">
      <c r="E166" s="3" t="s">
        <v>75</v>
      </c>
      <c r="G166" s="3">
        <f t="shared" si="13"/>
        <v>49</v>
      </c>
    </row>
    <row r="167" spans="5:7" x14ac:dyDescent="0.3">
      <c r="E167" s="3" t="s">
        <v>91</v>
      </c>
      <c r="G167" s="3">
        <f t="shared" si="13"/>
        <v>1.5</v>
      </c>
    </row>
    <row r="168" spans="5:7" x14ac:dyDescent="0.3">
      <c r="E168" s="3" t="s">
        <v>92</v>
      </c>
      <c r="G168" s="3">
        <f t="shared" si="13"/>
        <v>3</v>
      </c>
    </row>
    <row r="169" spans="5:7" x14ac:dyDescent="0.3">
      <c r="E169" s="60" t="s">
        <v>94</v>
      </c>
      <c r="G169" s="60">
        <f t="shared" ref="G169:G175" si="14">G113+G120+G127</f>
        <v>116.5</v>
      </c>
    </row>
    <row r="170" spans="5:7" x14ac:dyDescent="0.3">
      <c r="E170" s="3" t="s">
        <v>72</v>
      </c>
      <c r="G170" s="3">
        <f t="shared" si="14"/>
        <v>61.5</v>
      </c>
    </row>
    <row r="171" spans="5:7" x14ac:dyDescent="0.3">
      <c r="E171" s="3" t="s">
        <v>73</v>
      </c>
      <c r="G171" s="3">
        <f t="shared" si="14"/>
        <v>18.5</v>
      </c>
    </row>
    <row r="172" spans="5:7" x14ac:dyDescent="0.3">
      <c r="E172" s="3" t="s">
        <v>74</v>
      </c>
      <c r="G172" s="3">
        <f t="shared" si="14"/>
        <v>1</v>
      </c>
    </row>
    <row r="173" spans="5:7" x14ac:dyDescent="0.3">
      <c r="E173" s="3" t="s">
        <v>75</v>
      </c>
      <c r="G173" s="3">
        <f t="shared" si="14"/>
        <v>23</v>
      </c>
    </row>
    <row r="174" spans="5:7" x14ac:dyDescent="0.3">
      <c r="E174" s="3" t="s">
        <v>91</v>
      </c>
      <c r="G174" s="3">
        <f t="shared" si="14"/>
        <v>4</v>
      </c>
    </row>
    <row r="175" spans="5:7" x14ac:dyDescent="0.3">
      <c r="E175" s="3" t="s">
        <v>92</v>
      </c>
      <c r="G175" s="3">
        <f t="shared" si="14"/>
        <v>0</v>
      </c>
    </row>
    <row r="176" spans="5:7" x14ac:dyDescent="0.3">
      <c r="E176" s="60" t="s">
        <v>95</v>
      </c>
      <c r="G176" s="60">
        <f t="shared" ref="G176:G182" si="15">G134+G141+G148</f>
        <v>92.5</v>
      </c>
    </row>
    <row r="177" spans="5:7" x14ac:dyDescent="0.3">
      <c r="E177" s="3" t="s">
        <v>72</v>
      </c>
      <c r="G177" s="3">
        <f t="shared" si="15"/>
        <v>60.5</v>
      </c>
    </row>
    <row r="178" spans="5:7" x14ac:dyDescent="0.3">
      <c r="E178" s="3" t="s">
        <v>73</v>
      </c>
      <c r="G178" s="3">
        <f t="shared" si="15"/>
        <v>17.5</v>
      </c>
    </row>
    <row r="179" spans="5:7" x14ac:dyDescent="0.3">
      <c r="E179" s="3" t="s">
        <v>74</v>
      </c>
      <c r="G179" s="3">
        <f t="shared" si="15"/>
        <v>0</v>
      </c>
    </row>
    <row r="180" spans="5:7" x14ac:dyDescent="0.3">
      <c r="E180" s="3" t="s">
        <v>75</v>
      </c>
      <c r="G180" s="3">
        <f t="shared" si="15"/>
        <v>9.5</v>
      </c>
    </row>
    <row r="181" spans="5:7" x14ac:dyDescent="0.3">
      <c r="E181" s="3" t="s">
        <v>91</v>
      </c>
      <c r="G181" s="3">
        <f t="shared" si="15"/>
        <v>2</v>
      </c>
    </row>
    <row r="182" spans="5:7" x14ac:dyDescent="0.3">
      <c r="E182" s="3" t="s">
        <v>92</v>
      </c>
      <c r="G182" s="3">
        <f t="shared" si="15"/>
        <v>3</v>
      </c>
    </row>
    <row r="183" spans="5:7" x14ac:dyDescent="0.3">
      <c r="E183" s="60" t="s">
        <v>96</v>
      </c>
      <c r="G183" s="60">
        <f t="shared" ref="G183:G189" si="16">G155+G162+G169+G176</f>
        <v>515.1</v>
      </c>
    </row>
    <row r="184" spans="5:7" x14ac:dyDescent="0.3">
      <c r="E184" s="3" t="s">
        <v>72</v>
      </c>
      <c r="G184" s="3">
        <f t="shared" si="16"/>
        <v>261</v>
      </c>
    </row>
    <row r="185" spans="5:7" x14ac:dyDescent="0.3">
      <c r="E185" s="3" t="s">
        <v>73</v>
      </c>
      <c r="G185" s="3">
        <f t="shared" si="16"/>
        <v>93.1</v>
      </c>
    </row>
    <row r="186" spans="5:7" x14ac:dyDescent="0.3">
      <c r="E186" s="3" t="s">
        <v>74</v>
      </c>
      <c r="G186" s="3">
        <f t="shared" si="16"/>
        <v>25</v>
      </c>
    </row>
    <row r="187" spans="5:7" x14ac:dyDescent="0.3">
      <c r="E187" s="3" t="s">
        <v>75</v>
      </c>
      <c r="G187" s="3">
        <f t="shared" si="16"/>
        <v>81.5</v>
      </c>
    </row>
    <row r="188" spans="5:7" x14ac:dyDescent="0.3">
      <c r="E188" s="3" t="s">
        <v>91</v>
      </c>
      <c r="G188" s="3">
        <f t="shared" si="16"/>
        <v>36</v>
      </c>
    </row>
    <row r="189" spans="5:7" x14ac:dyDescent="0.3">
      <c r="E189" s="3" t="s">
        <v>92</v>
      </c>
      <c r="G189" s="3">
        <f t="shared" si="16"/>
        <v>10</v>
      </c>
    </row>
  </sheetData>
  <mergeCells count="22">
    <mergeCell ref="D9:D10"/>
    <mergeCell ref="B2:O2"/>
    <mergeCell ref="B3:O3"/>
    <mergeCell ref="B4:O4"/>
    <mergeCell ref="B5:O5"/>
    <mergeCell ref="B7:C7"/>
    <mergeCell ref="P8:P10"/>
    <mergeCell ref="Q8:Q10"/>
    <mergeCell ref="B9:B10"/>
    <mergeCell ref="C9:C10"/>
    <mergeCell ref="E9:E10"/>
    <mergeCell ref="G9:G10"/>
    <mergeCell ref="H9:H10"/>
    <mergeCell ref="J9:J10"/>
    <mergeCell ref="K9:K10"/>
    <mergeCell ref="L9:L10"/>
    <mergeCell ref="B8:I8"/>
    <mergeCell ref="J8:M8"/>
    <mergeCell ref="O8:O10"/>
    <mergeCell ref="M9:M10"/>
    <mergeCell ref="N9:N10"/>
    <mergeCell ref="F9:F10"/>
  </mergeCells>
  <pageMargins left="0.25" right="0.25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8"/>
  <sheetViews>
    <sheetView workbookViewId="0">
      <selection activeCell="C7" sqref="C7"/>
    </sheetView>
  </sheetViews>
  <sheetFormatPr defaultRowHeight="14.4" x14ac:dyDescent="0.3"/>
  <cols>
    <col min="2" max="2" width="9.109375" bestFit="1" customWidth="1"/>
    <col min="3" max="3" width="27.33203125" bestFit="1" customWidth="1"/>
  </cols>
  <sheetData>
    <row r="2" spans="2:4" x14ac:dyDescent="0.3">
      <c r="B2" t="s">
        <v>104</v>
      </c>
      <c r="C2" t="s">
        <v>105</v>
      </c>
      <c r="D2" t="s">
        <v>106</v>
      </c>
    </row>
    <row r="3" spans="2:4" x14ac:dyDescent="0.3">
      <c r="B3">
        <v>1</v>
      </c>
      <c r="C3" t="s">
        <v>107</v>
      </c>
      <c r="D3" t="s">
        <v>12</v>
      </c>
    </row>
    <row r="4" spans="2:4" x14ac:dyDescent="0.3">
      <c r="B4">
        <v>2</v>
      </c>
      <c r="C4" t="s">
        <v>108</v>
      </c>
      <c r="D4" t="s">
        <v>16</v>
      </c>
    </row>
    <row r="5" spans="2:4" x14ac:dyDescent="0.3">
      <c r="B5">
        <v>3</v>
      </c>
      <c r="C5" t="s">
        <v>109</v>
      </c>
      <c r="D5" t="s">
        <v>16</v>
      </c>
    </row>
    <row r="6" spans="2:4" x14ac:dyDescent="0.3">
      <c r="B6">
        <v>4</v>
      </c>
      <c r="C6" t="s">
        <v>110</v>
      </c>
      <c r="D6" t="s">
        <v>22</v>
      </c>
    </row>
    <row r="7" spans="2:4" x14ac:dyDescent="0.3">
      <c r="B7">
        <v>5</v>
      </c>
      <c r="C7" t="s">
        <v>113</v>
      </c>
      <c r="D7" t="s">
        <v>16</v>
      </c>
    </row>
    <row r="8" spans="2:4" x14ac:dyDescent="0.3">
      <c r="B8">
        <v>6</v>
      </c>
      <c r="C8" t="s">
        <v>111</v>
      </c>
      <c r="D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Hitungan</vt:lpstr>
      <vt:lpstr>PRINT</vt:lpstr>
      <vt:lpstr>RAW ALL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Ilham gumilang</cp:lastModifiedBy>
  <cp:revision/>
  <cp:lastPrinted>2022-08-04T04:35:37Z</cp:lastPrinted>
  <dcterms:created xsi:type="dcterms:W3CDTF">2018-04-14T11:28:33Z</dcterms:created>
  <dcterms:modified xsi:type="dcterms:W3CDTF">2023-01-13T20:46:01Z</dcterms:modified>
  <cp:category/>
  <cp:contentStatus/>
</cp:coreProperties>
</file>