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M" sheetId="1" r:id="rId1"/>
    <sheet name="HDD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2" l="1"/>
  <c r="F62" i="2"/>
  <c r="F61" i="2"/>
  <c r="F60" i="2"/>
  <c r="F59" i="2"/>
  <c r="E63" i="2"/>
  <c r="E62" i="2"/>
  <c r="E61" i="2"/>
  <c r="E60" i="2"/>
  <c r="E59" i="2"/>
  <c r="D39" i="2"/>
  <c r="M67" i="1"/>
  <c r="M66" i="1"/>
  <c r="M65" i="1"/>
  <c r="M64" i="1"/>
  <c r="M63" i="1"/>
  <c r="L67" i="1"/>
  <c r="L66" i="1"/>
  <c r="L65" i="1"/>
  <c r="L64" i="1"/>
  <c r="L63" i="1"/>
  <c r="K67" i="1"/>
  <c r="K66" i="1"/>
  <c r="K65" i="1"/>
  <c r="K64" i="1"/>
  <c r="K63" i="1"/>
  <c r="M52" i="1"/>
  <c r="M51" i="1"/>
  <c r="M50" i="1"/>
  <c r="M49" i="1"/>
  <c r="M48" i="1"/>
  <c r="M47" i="1"/>
  <c r="M46" i="1"/>
  <c r="M45" i="1"/>
  <c r="M44" i="1"/>
  <c r="M43" i="1"/>
  <c r="L52" i="1"/>
  <c r="L51" i="1"/>
  <c r="L50" i="1"/>
  <c r="L49" i="1"/>
  <c r="L48" i="1"/>
  <c r="L47" i="1"/>
  <c r="L46" i="1"/>
  <c r="L45" i="1"/>
  <c r="L44" i="1"/>
  <c r="L43" i="1"/>
  <c r="K52" i="1"/>
  <c r="K51" i="1"/>
  <c r="K50" i="1"/>
  <c r="K49" i="1"/>
  <c r="K48" i="1"/>
  <c r="K47" i="1"/>
  <c r="K46" i="1"/>
  <c r="K45" i="1"/>
  <c r="K44" i="1"/>
  <c r="K43" i="1"/>
  <c r="D38" i="2"/>
  <c r="D37" i="2"/>
  <c r="D36" i="2"/>
  <c r="D35" i="2"/>
  <c r="D34" i="2"/>
  <c r="D33" i="2"/>
  <c r="D32" i="2"/>
  <c r="D31" i="2"/>
  <c r="D30" i="2"/>
  <c r="C39" i="2"/>
  <c r="C38" i="2"/>
  <c r="C37" i="2"/>
  <c r="C36" i="2"/>
  <c r="C35" i="2"/>
  <c r="C34" i="2"/>
  <c r="C33" i="2"/>
  <c r="C32" i="2"/>
  <c r="C30" i="2"/>
  <c r="C31" i="2"/>
  <c r="D23" i="2"/>
  <c r="D22" i="2"/>
  <c r="D21" i="2"/>
  <c r="D20" i="2"/>
  <c r="D19" i="2"/>
  <c r="D18" i="2"/>
  <c r="D17" i="2"/>
  <c r="D16" i="2"/>
  <c r="D15" i="2"/>
  <c r="D14" i="2"/>
  <c r="C23" i="2"/>
  <c r="C22" i="2"/>
  <c r="C21" i="2"/>
  <c r="C20" i="2"/>
  <c r="C19" i="2"/>
  <c r="C18" i="2"/>
  <c r="C17" i="2"/>
  <c r="C16" i="2"/>
  <c r="C15" i="2"/>
  <c r="C14" i="2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</calcChain>
</file>

<file path=xl/sharedStrings.xml><?xml version="1.0" encoding="utf-8"?>
<sst xmlns="http://schemas.openxmlformats.org/spreadsheetml/2006/main" count="216" uniqueCount="112">
  <si>
    <t>BlockSize</t>
  </si>
  <si>
    <t>BufferSize</t>
  </si>
  <si>
    <t>AverageWriteTime</t>
  </si>
  <si>
    <t>WriteBandwidth</t>
  </si>
  <si>
    <t>AbsErr(write)</t>
  </si>
  <si>
    <t>RelErr(write)</t>
  </si>
  <si>
    <t>L1</t>
  </si>
  <si>
    <t>l2</t>
  </si>
  <si>
    <t>l3</t>
  </si>
  <si>
    <t>L2</t>
  </si>
  <si>
    <t>L3</t>
  </si>
  <si>
    <t>MemoryType</t>
  </si>
  <si>
    <t>ReadTime</t>
  </si>
  <si>
    <t>AverageReadTime</t>
  </si>
  <si>
    <t>ReadBandWidth</t>
  </si>
  <si>
    <t>AbsErr(read)</t>
  </si>
  <si>
    <t>RelErr(read)</t>
  </si>
  <si>
    <t>HDD</t>
  </si>
  <si>
    <t>5.95005e+06</t>
  </si>
  <si>
    <t>1.34267e+07</t>
  </si>
  <si>
    <t>2.14586e+07</t>
  </si>
  <si>
    <t>3.11433e+07</t>
  </si>
  <si>
    <t>3.17728e+07</t>
  </si>
  <si>
    <t>3.82237e+07</t>
  </si>
  <si>
    <t>4.86293e+07</t>
  </si>
  <si>
    <t>5.33419e+07</t>
  </si>
  <si>
    <t>6.04372e+07</t>
  </si>
  <si>
    <t>6.41734e+07</t>
  </si>
  <si>
    <t>read</t>
  </si>
  <si>
    <t>write</t>
  </si>
  <si>
    <t>RAM</t>
  </si>
  <si>
    <t>39.469</t>
  </si>
  <si>
    <t>155.634</t>
  </si>
  <si>
    <t>64.2203</t>
  </si>
  <si>
    <t>3705.15</t>
  </si>
  <si>
    <t>5.67307</t>
  </si>
  <si>
    <t>54.8617</t>
  </si>
  <si>
    <t>8216.37</t>
  </si>
  <si>
    <t>10.747</t>
  </si>
  <si>
    <t>51.401</t>
  </si>
  <si>
    <t>2164.6</t>
  </si>
  <si>
    <t>2.65271</t>
  </si>
  <si>
    <t>58.8914</t>
  </si>
  <si>
    <t>109.306</t>
  </si>
  <si>
    <t>1297.2</t>
  </si>
  <si>
    <t>3233.35</t>
  </si>
  <si>
    <t>1227.2</t>
  </si>
  <si>
    <t>94.6038</t>
  </si>
  <si>
    <t>1087.2</t>
  </si>
  <si>
    <t>3857.9</t>
  </si>
  <si>
    <t>1014.2</t>
  </si>
  <si>
    <t>93.2855</t>
  </si>
  <si>
    <t>8065.97</t>
  </si>
  <si>
    <t>85.9615</t>
  </si>
  <si>
    <t>368.475</t>
  </si>
  <si>
    <t>11382.9</t>
  </si>
  <si>
    <t>299.475</t>
  </si>
  <si>
    <t>81.2742</t>
  </si>
  <si>
    <t>436.96</t>
  </si>
  <si>
    <t>9598.83</t>
  </si>
  <si>
    <t>358.96</t>
  </si>
  <si>
    <t>82.1494</t>
  </si>
  <si>
    <t>launchnum</t>
  </si>
  <si>
    <t>4885.8</t>
  </si>
  <si>
    <t>858.468</t>
  </si>
  <si>
    <t>4790.8</t>
  </si>
  <si>
    <t>98.0556</t>
  </si>
  <si>
    <t>686.7</t>
  </si>
  <si>
    <t>6107.91</t>
  </si>
  <si>
    <t>613.7</t>
  </si>
  <si>
    <t>89.3694</t>
  </si>
  <si>
    <t>680.867</t>
  </si>
  <si>
    <t>6160.24</t>
  </si>
  <si>
    <t>592.867</t>
  </si>
  <si>
    <t>87.0753</t>
  </si>
  <si>
    <t>492.825</t>
  </si>
  <si>
    <t>8510.74</t>
  </si>
  <si>
    <t>394.825</t>
  </si>
  <si>
    <t>80.1146</t>
  </si>
  <si>
    <t>399.1</t>
  </si>
  <si>
    <t>10509.4</t>
  </si>
  <si>
    <t>318.1</t>
  </si>
  <si>
    <t>79.7043</t>
  </si>
  <si>
    <t>5.93776e+06</t>
  </si>
  <si>
    <t>0.706378</t>
  </si>
  <si>
    <t>3.05068</t>
  </si>
  <si>
    <t>1.7196e+06</t>
  </si>
  <si>
    <t>2.43911</t>
  </si>
  <si>
    <t>9959.1</t>
  </si>
  <si>
    <t>0.579151</t>
  </si>
  <si>
    <t>5.78914e+06</t>
  </si>
  <si>
    <t>0.724513</t>
  </si>
  <si>
    <t>1.8422e+06</t>
  </si>
  <si>
    <t>2.27679</t>
  </si>
  <si>
    <t>6.14488</t>
  </si>
  <si>
    <t>5.96531e+06</t>
  </si>
  <si>
    <t>0.703116</t>
  </si>
  <si>
    <t>1.70484e+06</t>
  </si>
  <si>
    <t>2.46024</t>
  </si>
  <si>
    <t>42642.2</t>
  </si>
  <si>
    <t>2.50125</t>
  </si>
  <si>
    <t>6.10368e+06</t>
  </si>
  <si>
    <t>0.687176</t>
  </si>
  <si>
    <t>2.46718</t>
  </si>
  <si>
    <t>1.73062e+06</t>
  </si>
  <si>
    <t>2.42359</t>
  </si>
  <si>
    <t>19.8324</t>
  </si>
  <si>
    <t>6.73199e+06</t>
  </si>
  <si>
    <t>0.623041</t>
  </si>
  <si>
    <t>8.26374</t>
  </si>
  <si>
    <t>1.72074e+06</t>
  </si>
  <si>
    <t>79752.7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</si>
</sst>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applyAlignme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Пропускная</a:t>
            </a:r>
            <a:r>
              <a:rPr lang="ru-RU" baseline="0"/>
              <a:t> способность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RAM!$N$2</c:f>
              <c:strCache>
                <c:ptCount val="1"/>
                <c:pt idx="0">
                  <c:v>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RAM!$M$3:$M$13</c:f>
              <c:strCache>
                <c:ptCount val="11"/>
                <c:pt idx="0">
                  <c:v>BlockSize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</c:strCache>
            </c:strRef>
          </c:cat>
          <c:val>
            <c:numRef>
              <c:f>RAM!$N$3:$N$13</c:f>
              <c:numCache>
                <c:formatCode>General</c:formatCode>
                <c:ptCount val="11"/>
                <c:pt idx="0">
                  <c:v>0</c:v>
                </c:pt>
                <c:pt idx="1">
                  <c:v>6.0113199999999996</c:v>
                </c:pt>
                <c:pt idx="2">
                  <c:v>2.98644</c:v>
                </c:pt>
                <c:pt idx="3">
                  <c:v>6.7001999999999997</c:v>
                </c:pt>
                <c:pt idx="4">
                  <c:v>4.4428299999999998</c:v>
                </c:pt>
                <c:pt idx="5">
                  <c:v>5.4983599999999999</c:v>
                </c:pt>
                <c:pt idx="6">
                  <c:v>5.8797600000000001</c:v>
                </c:pt>
                <c:pt idx="7">
                  <c:v>5.7974399999999999</c:v>
                </c:pt>
                <c:pt idx="8">
                  <c:v>6.0568600000000004</c:v>
                </c:pt>
                <c:pt idx="9">
                  <c:v>5.0881400000000001</c:v>
                </c:pt>
                <c:pt idx="10">
                  <c:v>5.2557499999999999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D-4143-9B63-2538AF385F4C}"/>
            </c:ext>
          </c:extLst>
        </c:ser>
        <c:ser>
          <c:idx val="1"/>
          <c:order val="1"/>
          <c:tx>
            <c:strRef>
              <c:f>RAM!$O$2</c:f>
              <c:strCache>
                <c:ptCount val="1"/>
                <c:pt idx="0">
                  <c:v>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RAM!$M$3:$M$13</c:f>
              <c:strCache>
                <c:ptCount val="11"/>
                <c:pt idx="0">
                  <c:v>BlockSize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</c:strCache>
            </c:strRef>
          </c:cat>
          <c:val>
            <c:numRef>
              <c:f>RAM!$O$3:$O$13</c:f>
              <c:numCache>
                <c:formatCode>General</c:formatCode>
                <c:ptCount val="11"/>
                <c:pt idx="0">
                  <c:v>0</c:v>
                </c:pt>
                <c:pt idx="1">
                  <c:v>530.11899999999991</c:v>
                </c:pt>
                <c:pt idx="2">
                  <c:v>100.753</c:v>
                </c:pt>
                <c:pt idx="3">
                  <c:v>196.697</c:v>
                </c:pt>
                <c:pt idx="4">
                  <c:v>127.11500000000001</c:v>
                </c:pt>
                <c:pt idx="5">
                  <c:v>139.03800000000001</c:v>
                </c:pt>
                <c:pt idx="6">
                  <c:v>156.309</c:v>
                </c:pt>
                <c:pt idx="7">
                  <c:v>146.31300000000002</c:v>
                </c:pt>
                <c:pt idx="8">
                  <c:v>106.43900000000001</c:v>
                </c:pt>
                <c:pt idx="9">
                  <c:v>142.39699999999999</c:v>
                </c:pt>
                <c:pt idx="10">
                  <c:v>159.696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D-4143-9B63-2538AF385F4C}"/>
            </c:ext>
          </c:extLst>
        </c:ser>
        <c:ser>
          <c:idx val="2"/>
          <c:order val="2"/>
          <c:tx>
            <c:strRef>
              <c:f>RAM!$P$2</c:f>
              <c:strCache>
                <c:ptCount val="1"/>
                <c:pt idx="0">
                  <c:v>L3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RAM!$M$3:$M$13</c:f>
              <c:strCache>
                <c:ptCount val="11"/>
                <c:pt idx="0">
                  <c:v>BlockSize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</c:strCache>
            </c:strRef>
          </c:cat>
          <c:val>
            <c:numRef>
              <c:f>RAM!$P$3:$P$13</c:f>
              <c:numCache>
                <c:formatCode>General</c:formatCode>
                <c:ptCount val="11"/>
                <c:pt idx="0">
                  <c:v>0</c:v>
                </c:pt>
                <c:pt idx="1">
                  <c:v>603.97500000000002</c:v>
                </c:pt>
                <c:pt idx="2">
                  <c:v>840.28899999999999</c:v>
                </c:pt>
                <c:pt idx="3">
                  <c:v>167.523</c:v>
                </c:pt>
                <c:pt idx="4">
                  <c:v>288.46899999999999</c:v>
                </c:pt>
                <c:pt idx="5">
                  <c:v>204.85399999999998</c:v>
                </c:pt>
                <c:pt idx="6">
                  <c:v>205.56100000000001</c:v>
                </c:pt>
                <c:pt idx="7">
                  <c:v>192.886</c:v>
                </c:pt>
                <c:pt idx="8">
                  <c:v>228.40300000000002</c:v>
                </c:pt>
                <c:pt idx="9">
                  <c:v>135.61600000000001</c:v>
                </c:pt>
                <c:pt idx="10">
                  <c:v>139.36099999999999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0D-4143-9B63-2538AF385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871711"/>
        <c:axId val="390872127"/>
      </c:lineChart>
      <c:catAx>
        <c:axId val="39087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872127"/>
        <c:crosses val="autoZero"/>
        <c:auto val="1"/>
        <c:lblAlgn val="ctr"/>
        <c:lblOffset val="100"/>
        <c:noMultiLvlLbl val="0"/>
      </c:catAx>
      <c:valAx>
        <c:axId val="39087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87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Погрешность</a:t>
            </a:r>
            <a:r>
              <a:rPr lang="ru-RU" baseline="0"/>
              <a:t> измерения пропускной способности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RAM!$K$41</c:f>
              <c:strCache>
                <c:ptCount val="1"/>
                <c:pt idx="0">
                  <c:v>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RAM!$J$42:$J$52</c:f>
              <c:strCache>
                <c:ptCount val="11"/>
                <c:pt idx="0">
                  <c:v>BlockSize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</c:strCache>
            </c:strRef>
          </c:cat>
          <c:val>
            <c:numRef>
              <c:f>RAM!$K$42:$K$52</c:f>
              <c:numCache>
                <c:formatCode>General</c:formatCode>
                <c:ptCount val="11"/>
                <c:pt idx="0">
                  <c:v>0</c:v>
                </c:pt>
                <c:pt idx="1">
                  <c:v>8.9776100000000007E-4</c:v>
                </c:pt>
                <c:pt idx="2">
                  <c:v>5.0292000000000002E-4</c:v>
                </c:pt>
                <c:pt idx="3">
                  <c:v>7.2215500000000007E-5</c:v>
                </c:pt>
                <c:pt idx="4">
                  <c:v>4.0725400000000001E-4</c:v>
                </c:pt>
                <c:pt idx="5">
                  <c:v>7.52285E-5</c:v>
                </c:pt>
                <c:pt idx="6">
                  <c:v>1.8910000000000002E-4</c:v>
                </c:pt>
                <c:pt idx="7">
                  <c:v>1.0680300000000001E-4</c:v>
                </c:pt>
                <c:pt idx="8">
                  <c:v>8.9572699999999997E-5</c:v>
                </c:pt>
                <c:pt idx="9">
                  <c:v>8.7071500000000001E-6</c:v>
                </c:pt>
                <c:pt idx="10">
                  <c:v>1.9156900000000002E-4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B-4086-A78E-BD21EBFA36B9}"/>
            </c:ext>
          </c:extLst>
        </c:ser>
        <c:ser>
          <c:idx val="1"/>
          <c:order val="1"/>
          <c:tx>
            <c:strRef>
              <c:f>RAM!$L$41</c:f>
              <c:strCache>
                <c:ptCount val="1"/>
                <c:pt idx="0">
                  <c:v>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RAM!$J$42:$J$52</c:f>
              <c:strCache>
                <c:ptCount val="11"/>
                <c:pt idx="0">
                  <c:v>BlockSize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</c:strCache>
            </c:strRef>
          </c:cat>
          <c:val>
            <c:numRef>
              <c:f>RAM!$L$42:$L$52</c:f>
              <c:numCache>
                <c:formatCode>General</c:formatCode>
                <c:ptCount val="11"/>
                <c:pt idx="0">
                  <c:v>0</c:v>
                </c:pt>
                <c:pt idx="1">
                  <c:v>8.7108200000000002E-4</c:v>
                </c:pt>
                <c:pt idx="2">
                  <c:v>9.8608000000000007E-4</c:v>
                </c:pt>
                <c:pt idx="3">
                  <c:v>1.7321900000000001E-4</c:v>
                </c:pt>
                <c:pt idx="4">
                  <c:v>2.5172999999999998E-4</c:v>
                </c:pt>
                <c:pt idx="5">
                  <c:v>3.8849400000000008E-4</c:v>
                </c:pt>
                <c:pt idx="6">
                  <c:v>2.4894600000000005E-4</c:v>
                </c:pt>
                <c:pt idx="7">
                  <c:v>7.7207500000000002E-5</c:v>
                </c:pt>
                <c:pt idx="8">
                  <c:v>3.4828600000000006E-4</c:v>
                </c:pt>
                <c:pt idx="9">
                  <c:v>3.8720000000000002E-5</c:v>
                </c:pt>
                <c:pt idx="10">
                  <c:v>6.7287300000000002E-5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1B-4086-A78E-BD21EBFA36B9}"/>
            </c:ext>
          </c:extLst>
        </c:ser>
        <c:ser>
          <c:idx val="2"/>
          <c:order val="2"/>
          <c:tx>
            <c:strRef>
              <c:f>RAM!$M$41</c:f>
              <c:strCache>
                <c:ptCount val="1"/>
                <c:pt idx="0">
                  <c:v>L3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RAM!$J$42:$J$52</c:f>
              <c:strCache>
                <c:ptCount val="11"/>
                <c:pt idx="0">
                  <c:v>BlockSize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</c:strCache>
            </c:strRef>
          </c:cat>
          <c:val>
            <c:numRef>
              <c:f>RAM!$M$42:$M$52</c:f>
              <c:numCache>
                <c:formatCode>General</c:formatCode>
                <c:ptCount val="11"/>
                <c:pt idx="0">
                  <c:v>0</c:v>
                </c:pt>
                <c:pt idx="1">
                  <c:v>8.9776100000000007E-4</c:v>
                </c:pt>
                <c:pt idx="2">
                  <c:v>9.1685900000000012E-4</c:v>
                </c:pt>
                <c:pt idx="3">
                  <c:v>1.9226700000000003E-4</c:v>
                </c:pt>
                <c:pt idx="4">
                  <c:v>2.5188500000000003E-4</c:v>
                </c:pt>
                <c:pt idx="5">
                  <c:v>2.9581000000000003E-4</c:v>
                </c:pt>
                <c:pt idx="6">
                  <c:v>8.3157000000000001E-4</c:v>
                </c:pt>
                <c:pt idx="7">
                  <c:v>2.3036500000000001E-4</c:v>
                </c:pt>
                <c:pt idx="8">
                  <c:v>1.0427500000000001E-4</c:v>
                </c:pt>
                <c:pt idx="9">
                  <c:v>3.0950500000000007E-4</c:v>
                </c:pt>
                <c:pt idx="10">
                  <c:v>2.2649100000000002E-4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1B-4086-A78E-BD21EBFA3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265327"/>
        <c:axId val="423264495"/>
      </c:lineChart>
      <c:catAx>
        <c:axId val="42326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264495"/>
        <c:crosses val="autoZero"/>
        <c:auto val="1"/>
        <c:lblAlgn val="ctr"/>
        <c:lblOffset val="100"/>
        <c:noMultiLvlLbl val="0"/>
      </c:catAx>
      <c:valAx>
        <c:axId val="42326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26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Погрешность измерения пропускной способности</a:t>
            </a:r>
            <a:r>
              <a:rPr lang="en-US" sz="1800" b="0" i="0" baseline="0">
                <a:effectLst/>
              </a:rPr>
              <a:t> </a:t>
            </a:r>
            <a:r>
              <a:rPr lang="ru-RU" sz="1800" b="0" i="0" baseline="0">
                <a:effectLst/>
              </a:rPr>
              <a:t>от чсла испытаний</a:t>
            </a:r>
            <a:r>
              <a:rPr lang="en-US" sz="1800" b="0" i="0" baseline="0">
                <a:effectLst/>
              </a:rPr>
              <a:t> </a:t>
            </a:r>
            <a:r>
              <a:rPr lang="en-US" sz="1400" b="0" i="0" baseline="0">
                <a:effectLst/>
              </a:rPr>
              <a:t>RAM</a:t>
            </a:r>
            <a:endParaRPr lang="ru-RU" sz="1800" b="0" i="0" baseline="0">
              <a:effectLst/>
            </a:endParaRPr>
          </a:p>
        </c:rich>
      </c:tx>
      <c:layout>
        <c:manualLayout>
          <c:xMode val="edge"/>
          <c:yMode val="edge"/>
          <c:x val="0.3148559292239972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RAM!$K$61</c:f>
              <c:strCache>
                <c:ptCount val="1"/>
                <c:pt idx="0">
                  <c:v>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RAM!$J$62:$J$67</c:f>
              <c:strCache>
                <c:ptCount val="6"/>
                <c:pt idx="0">
                  <c:v>launchnum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strCache>
            </c:strRef>
          </c:cat>
          <c:val>
            <c:numRef>
              <c:f>RAM!$K$62:$K$67</c:f>
              <c:numCache>
                <c:formatCode>General</c:formatCode>
                <c:ptCount val="6"/>
                <c:pt idx="0">
                  <c:v>0</c:v>
                </c:pt>
                <c:pt idx="1">
                  <c:v>1.55634E-3</c:v>
                </c:pt>
                <c:pt idx="2">
                  <c:v>5.6730700000000002E-5</c:v>
                </c:pt>
                <c:pt idx="3">
                  <c:v>1.0747000000000001E-4</c:v>
                </c:pt>
                <c:pt idx="4">
                  <c:v>2.6527100000000002E-5</c:v>
                </c:pt>
                <c:pt idx="5">
                  <c:v>1.0930600000000001E-3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19-49EA-AA80-202B48AB659E}"/>
            </c:ext>
          </c:extLst>
        </c:ser>
        <c:ser>
          <c:idx val="1"/>
          <c:order val="1"/>
          <c:tx>
            <c:strRef>
              <c:f>RAM!$L$61</c:f>
              <c:strCache>
                <c:ptCount val="1"/>
                <c:pt idx="0">
                  <c:v>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RAM!$J$62:$J$67</c:f>
              <c:strCache>
                <c:ptCount val="6"/>
                <c:pt idx="0">
                  <c:v>launchnum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strCache>
            </c:strRef>
          </c:cat>
          <c:val>
            <c:numRef>
              <c:f>RAM!$L$62:$L$67</c:f>
              <c:numCache>
                <c:formatCode>General</c:formatCode>
                <c:ptCount val="6"/>
                <c:pt idx="0">
                  <c:v>0</c:v>
                </c:pt>
                <c:pt idx="1">
                  <c:v>9.4603800000000017E-4</c:v>
                </c:pt>
                <c:pt idx="2">
                  <c:v>9.3285500000000001E-4</c:v>
                </c:pt>
                <c:pt idx="3">
                  <c:v>8.596150000000001E-4</c:v>
                </c:pt>
                <c:pt idx="4">
                  <c:v>8.1274199999999998E-4</c:v>
                </c:pt>
                <c:pt idx="5">
                  <c:v>8.2149400000000009E-4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19-49EA-AA80-202B48AB659E}"/>
            </c:ext>
          </c:extLst>
        </c:ser>
        <c:ser>
          <c:idx val="2"/>
          <c:order val="2"/>
          <c:tx>
            <c:strRef>
              <c:f>RAM!$M$61</c:f>
              <c:strCache>
                <c:ptCount val="1"/>
                <c:pt idx="0">
                  <c:v>L3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RAM!$J$62:$J$67</c:f>
              <c:strCache>
                <c:ptCount val="6"/>
                <c:pt idx="0">
                  <c:v>launchnum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strCache>
            </c:strRef>
          </c:cat>
          <c:val>
            <c:numRef>
              <c:f>RAM!$M$62:$M$67</c:f>
              <c:numCache>
                <c:formatCode>General</c:formatCode>
                <c:ptCount val="6"/>
                <c:pt idx="0">
                  <c:v>0</c:v>
                </c:pt>
                <c:pt idx="1">
                  <c:v>9.8055600000000005E-4</c:v>
                </c:pt>
                <c:pt idx="2">
                  <c:v>8.9369400000000011E-4</c:v>
                </c:pt>
                <c:pt idx="3">
                  <c:v>8.7075300000000004E-4</c:v>
                </c:pt>
                <c:pt idx="4">
                  <c:v>8.0114599999999998E-4</c:v>
                </c:pt>
                <c:pt idx="5">
                  <c:v>7.970430000000001E-4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19-49EA-AA80-202B48AB6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499151"/>
        <c:axId val="386498319"/>
      </c:lineChart>
      <c:catAx>
        <c:axId val="38649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498319"/>
        <c:crosses val="autoZero"/>
        <c:auto val="1"/>
        <c:lblAlgn val="ctr"/>
        <c:lblOffset val="100"/>
        <c:noMultiLvlLbl val="0"/>
      </c:catAx>
      <c:valAx>
        <c:axId val="3864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49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Пропускная способность </a:t>
            </a:r>
            <a:r>
              <a:rPr lang="en-US"/>
              <a:t>HDD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40324504891431E-2"/>
          <c:y val="0.13187555555555558"/>
          <c:w val="0.9041717967072298"/>
          <c:h val="0.7043079615048119"/>
        </c:manualLayout>
      </c:layout>
      <c:lineChart>
        <c:grouping val="standard"/>
        <c:varyColors val="0"/>
        <c:ser>
          <c:idx val="0"/>
          <c:order val="0"/>
          <c:tx>
            <c:strRef>
              <c:f>HDD!$C$13</c:f>
              <c:strCache>
                <c:ptCount val="1"/>
                <c:pt idx="0">
                  <c:v>WriteBandwidth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HDD!$B$14:$B$23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cat>
          <c:val>
            <c:numRef>
              <c:f>HDD!$C$14:$C$23</c:f>
              <c:numCache>
                <c:formatCode>General</c:formatCode>
                <c:ptCount val="10"/>
                <c:pt idx="0">
                  <c:v>70.492000000000004</c:v>
                </c:pt>
                <c:pt idx="1">
                  <c:v>62.476799999999997</c:v>
                </c:pt>
                <c:pt idx="2">
                  <c:v>58.638100000000001</c:v>
                </c:pt>
                <c:pt idx="3">
                  <c:v>53.871000000000002</c:v>
                </c:pt>
                <c:pt idx="4">
                  <c:v>66.004599999999996</c:v>
                </c:pt>
                <c:pt idx="5">
                  <c:v>65.838200000000001</c:v>
                </c:pt>
                <c:pt idx="6">
                  <c:v>60.375399999999999</c:v>
                </c:pt>
                <c:pt idx="7">
                  <c:v>62.904400000000003</c:v>
                </c:pt>
                <c:pt idx="8">
                  <c:v>62.459399999999995</c:v>
                </c:pt>
                <c:pt idx="9">
                  <c:v>65.358899999999991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C-4B68-AFB6-1481022744C2}"/>
            </c:ext>
          </c:extLst>
        </c:ser>
        <c:ser>
          <c:idx val="1"/>
          <c:order val="1"/>
          <c:tx>
            <c:strRef>
              <c:f>HDD!$D$13</c:f>
              <c:strCache>
                <c:ptCount val="1"/>
                <c:pt idx="0">
                  <c:v>ReadBandWidth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HDD!$B$14:$B$23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cat>
          <c:val>
            <c:numRef>
              <c:f>HDD!$D$14:$D$23</c:f>
              <c:numCache>
                <c:formatCode>General</c:formatCode>
                <c:ptCount val="10"/>
                <c:pt idx="0">
                  <c:v>191.90700000000001</c:v>
                </c:pt>
                <c:pt idx="1">
                  <c:v>196.68899999999999</c:v>
                </c:pt>
                <c:pt idx="2">
                  <c:v>211.61099999999999</c:v>
                </c:pt>
                <c:pt idx="3">
                  <c:v>231.44</c:v>
                </c:pt>
                <c:pt idx="4">
                  <c:v>245.02199999999999</c:v>
                </c:pt>
                <c:pt idx="5">
                  <c:v>246.54900000000001</c:v>
                </c:pt>
                <c:pt idx="6">
                  <c:v>276.935</c:v>
                </c:pt>
                <c:pt idx="7">
                  <c:v>251.02799999999999</c:v>
                </c:pt>
                <c:pt idx="8">
                  <c:v>240.20299999999997</c:v>
                </c:pt>
                <c:pt idx="9">
                  <c:v>237.30099999999999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C-4B68-AFB6-148102274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988815"/>
        <c:axId val="343990063"/>
      </c:lineChart>
      <c:catAx>
        <c:axId val="34398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990063"/>
        <c:crosses val="autoZero"/>
        <c:auto val="1"/>
        <c:lblAlgn val="ctr"/>
        <c:lblOffset val="100"/>
        <c:noMultiLvlLbl val="0"/>
      </c:catAx>
      <c:valAx>
        <c:axId val="34399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98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Погрешность измерения пропускной способности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HDD!$C$29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HDD!$C$30:$C$39</c:f>
              <c:numCache>
                <c:formatCode>General</c:formatCode>
                <c:ptCount val="10"/>
                <c:pt idx="0">
                  <c:v>3.60119E-5</c:v>
                </c:pt>
                <c:pt idx="1">
                  <c:v>1.14004E-4</c:v>
                </c:pt>
                <c:pt idx="2">
                  <c:v>2.3397900000000002E-4</c:v>
                </c:pt>
                <c:pt idx="3">
                  <c:v>1.3760500000000001E-4</c:v>
                </c:pt>
                <c:pt idx="4">
                  <c:v>2.4643100000000003E-4</c:v>
                </c:pt>
                <c:pt idx="5">
                  <c:v>1.3284400000000002E-4</c:v>
                </c:pt>
                <c:pt idx="6">
                  <c:v>1.3099500000000002E-4</c:v>
                </c:pt>
                <c:pt idx="7">
                  <c:v>8.3936000000000004E-5</c:v>
                </c:pt>
                <c:pt idx="8">
                  <c:v>1.7715200000000003E-5</c:v>
                </c:pt>
                <c:pt idx="9">
                  <c:v>2.3727900000000004E-5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F-4BB2-8193-B7B5188C6EAC}"/>
            </c:ext>
          </c:extLst>
        </c:ser>
        <c:ser>
          <c:idx val="1"/>
          <c:order val="1"/>
          <c:tx>
            <c:strRef>
              <c:f>HDD!$D$29</c:f>
              <c:strCache>
                <c:ptCount val="1"/>
                <c:pt idx="0">
                  <c:v>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HDD!$D$30:$D$39</c:f>
              <c:numCache>
                <c:formatCode>General</c:formatCode>
                <c:ptCount val="10"/>
                <c:pt idx="0">
                  <c:v>1.3879600000000002E-5</c:v>
                </c:pt>
                <c:pt idx="1">
                  <c:v>5.983710000000001E-5</c:v>
                </c:pt>
                <c:pt idx="2">
                  <c:v>7.6505400000000015E-5</c:v>
                </c:pt>
                <c:pt idx="3">
                  <c:v>1.6365800000000001E-4</c:v>
                </c:pt>
                <c:pt idx="4">
                  <c:v>6.4089800000000004E-5</c:v>
                </c:pt>
                <c:pt idx="5">
                  <c:v>2.5964600000000004E-4</c:v>
                </c:pt>
                <c:pt idx="6">
                  <c:v>1.80493E-5</c:v>
                </c:pt>
                <c:pt idx="7">
                  <c:v>1.4503900000000002E-4</c:v>
                </c:pt>
                <c:pt idx="8">
                  <c:v>1.0287100000000001E-4</c:v>
                </c:pt>
                <c:pt idx="9">
                  <c:v>3.9293600000000006E-5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F-4BB2-8193-B7B5188C6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003295"/>
        <c:axId val="342010783"/>
      </c:lineChart>
      <c:catAx>
        <c:axId val="34200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010783"/>
        <c:crosses val="autoZero"/>
        <c:auto val="1"/>
        <c:lblAlgn val="ctr"/>
        <c:lblOffset val="100"/>
        <c:noMultiLvlLbl val="0"/>
      </c:catAx>
      <c:valAx>
        <c:axId val="3420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00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Погрешность измерения пропускной способности</a:t>
            </a:r>
            <a:r>
              <a:rPr lang="en-US" sz="1800" b="0" i="0" baseline="0">
                <a:effectLst/>
              </a:rPr>
              <a:t> </a:t>
            </a:r>
            <a:r>
              <a:rPr lang="ru-RU" sz="1800" b="0" i="0" baseline="0">
                <a:effectLst/>
              </a:rPr>
              <a:t>от чсла испытаний</a:t>
            </a:r>
            <a:r>
              <a:rPr lang="en-US" sz="1800" b="0" i="0" baseline="0">
                <a:effectLst/>
              </a:rPr>
              <a:t> HDD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HDD!$E$58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HDD!$E$59:$E$63</c:f>
              <c:numCache>
                <c:formatCode>General</c:formatCode>
                <c:ptCount val="5"/>
                <c:pt idx="0">
                  <c:v>3.0506800000000001E-5</c:v>
                </c:pt>
                <c:pt idx="1">
                  <c:v>3.7614000000000003E-5</c:v>
                </c:pt>
                <c:pt idx="2">
                  <c:v>4.5698999999999997E-5</c:v>
                </c:pt>
                <c:pt idx="3">
                  <c:v>2.46718E-5</c:v>
                </c:pt>
                <c:pt idx="4">
                  <c:v>8.2637400000000016E-5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8-4648-975F-E80B87A5F6FE}"/>
            </c:ext>
          </c:extLst>
        </c:ser>
        <c:ser>
          <c:idx val="1"/>
          <c:order val="1"/>
          <c:tx>
            <c:strRef>
              <c:f>HDD!$F$58</c:f>
              <c:strCache>
                <c:ptCount val="1"/>
                <c:pt idx="0">
                  <c:v>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HDD!$F$59:$F$63</c:f>
              <c:numCache>
                <c:formatCode>General</c:formatCode>
                <c:ptCount val="5"/>
                <c:pt idx="0">
                  <c:v>5.7915100000000002E-6</c:v>
                </c:pt>
                <c:pt idx="1">
                  <c:v>6.14488E-5</c:v>
                </c:pt>
                <c:pt idx="2">
                  <c:v>2.5012500000000005E-5</c:v>
                </c:pt>
                <c:pt idx="3">
                  <c:v>1.9832400000000002E-4</c:v>
                </c:pt>
                <c:pt idx="4">
                  <c:v>4.6348000000000004E-5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8-4648-975F-E80B87A5F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902415"/>
        <c:axId val="395900751"/>
      </c:lineChart>
      <c:catAx>
        <c:axId val="395902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900751"/>
        <c:crosses val="autoZero"/>
        <c:auto val="1"/>
        <c:lblAlgn val="ctr"/>
        <c:lblOffset val="100"/>
        <c:noMultiLvlLbl val="0"/>
      </c:catAx>
      <c:valAx>
        <c:axId val="39590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90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472328</xdr:colOff>
      <xdr:row>0</xdr:row>
      <xdr:rowOff>0</xdr:rowOff>
    </xdr:from>
    <xdr:to>
      <xdr:col>27</xdr:col>
      <xdr:colOff>589350</xdr:colOff>
      <xdr:row>20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312323</xdr:colOff>
      <xdr:row>39</xdr:row>
      <xdr:rowOff>1761</xdr:rowOff>
    </xdr:from>
    <xdr:to>
      <xdr:col>21</xdr:col>
      <xdr:colOff>381000</xdr:colOff>
      <xdr:row>58</xdr:row>
      <xdr:rowOff>109904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314593</xdr:colOff>
      <xdr:row>58</xdr:row>
      <xdr:rowOff>147188</xdr:rowOff>
    </xdr:from>
    <xdr:to>
      <xdr:col>21</xdr:col>
      <xdr:colOff>245409</xdr:colOff>
      <xdr:row>78</xdr:row>
      <xdr:rowOff>124386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11</xdr:row>
      <xdr:rowOff>180975</xdr:rowOff>
    </xdr:from>
    <xdr:to>
      <xdr:col>10</xdr:col>
      <xdr:colOff>219075</xdr:colOff>
      <xdr:row>24</xdr:row>
      <xdr:rowOff>114301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470647</xdr:colOff>
      <xdr:row>28</xdr:row>
      <xdr:rowOff>51546</xdr:rowOff>
    </xdr:from>
    <xdr:to>
      <xdr:col>10</xdr:col>
      <xdr:colOff>352425</xdr:colOff>
      <xdr:row>45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161925</xdr:colOff>
      <xdr:row>54</xdr:row>
      <xdr:rowOff>142874</xdr:rowOff>
    </xdr:from>
    <xdr:to>
      <xdr:col>15</xdr:col>
      <xdr:colOff>179294</xdr:colOff>
      <xdr:row>73</xdr:row>
      <xdr:rowOff>145675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F52" zoomScaleNormal="100" workbookViewId="0">
      <selection activeCell="M65" sqref="M65"/>
    </sheetView>
  </sheetViews>
  <sheetFormatPr defaultRowHeight="15" x14ac:dyDescent="0.25"/>
  <cols>
    <col min="1" max="1" width="12.7109375" bestFit="1" customWidth="1"/>
    <col min="2" max="2" width="9.28515625" bestFit="1" customWidth="1"/>
    <col min="3" max="3" width="12.7109375" bestFit="1" customWidth="1"/>
    <col min="4" max="4" width="15.7109375" bestFit="1" customWidth="1"/>
    <col min="5" max="5" width="18" bestFit="1" customWidth="1"/>
    <col min="6" max="6" width="15.7109375" bestFit="1" customWidth="1"/>
    <col min="7" max="7" width="10.42578125" bestFit="1" customWidth="1"/>
    <col min="8" max="8" width="18" bestFit="1" customWidth="1"/>
    <col min="9" max="9" width="15.7109375" bestFit="1" customWidth="1"/>
    <col min="10" max="10" width="12.85546875" bestFit="1" customWidth="1"/>
    <col min="11" max="11" width="15" bestFit="1" customWidth="1"/>
    <col min="12" max="12" width="12.28515625" bestFit="1" customWidth="1"/>
    <col min="13" max="13" width="17.42578125" bestFit="1" customWidth="1"/>
    <col min="14" max="14" width="15.42578125" bestFit="1" customWidth="1"/>
    <col min="15" max="15" width="12.140625" bestFit="1" customWidth="1"/>
    <col min="16" max="16" width="11.7109375" bestFit="1" customWidth="1"/>
    <col min="19" max="19" width="9.28515625" bestFit="1" customWidth="1"/>
  </cols>
  <sheetData>
    <row r="1" spans="1:16" x14ac:dyDescent="0.25">
      <c r="A1" t="s">
        <v>6</v>
      </c>
    </row>
    <row r="2" spans="1:16" x14ac:dyDescent="0.25">
      <c r="B2" t="s">
        <v>1</v>
      </c>
      <c r="C2" t="s">
        <v>0</v>
      </c>
      <c r="D2" s="3" t="s">
        <v>3</v>
      </c>
      <c r="E2" t="s">
        <v>2</v>
      </c>
      <c r="F2" t="s">
        <v>4</v>
      </c>
      <c r="G2" t="s">
        <v>5</v>
      </c>
      <c r="N2" t="s">
        <v>6</v>
      </c>
      <c r="O2" t="s">
        <v>9</v>
      </c>
      <c r="P2" t="s">
        <v>10</v>
      </c>
    </row>
    <row r="3" spans="1:16" x14ac:dyDescent="0.25">
      <c r="B3">
        <v>196608</v>
      </c>
      <c r="C3">
        <v>4</v>
      </c>
      <c r="D3">
        <v>60.113199999999999</v>
      </c>
      <c r="E3">
        <v>69773.399999999994</v>
      </c>
      <c r="F3">
        <v>4144.3999999999996</v>
      </c>
      <c r="G3">
        <v>89.7761</v>
      </c>
      <c r="M3" t="s">
        <v>0</v>
      </c>
      <c r="N3" s="3" t="s">
        <v>3</v>
      </c>
      <c r="O3" s="3" t="s">
        <v>3</v>
      </c>
      <c r="P3" s="3" t="s">
        <v>3</v>
      </c>
    </row>
    <row r="4" spans="1:16" x14ac:dyDescent="0.25">
      <c r="B4">
        <v>196608</v>
      </c>
      <c r="C4">
        <v>8</v>
      </c>
      <c r="D4">
        <v>29.8644</v>
      </c>
      <c r="E4">
        <v>280890</v>
      </c>
      <c r="F4">
        <v>141265</v>
      </c>
      <c r="G4">
        <v>50.292000000000002</v>
      </c>
      <c r="M4">
        <v>4</v>
      </c>
      <c r="N4">
        <f>60.1132/10</f>
        <v>6.0113199999999996</v>
      </c>
      <c r="O4">
        <f>5301.19/10</f>
        <v>530.11899999999991</v>
      </c>
      <c r="P4">
        <f>6039.75/10</f>
        <v>603.97500000000002</v>
      </c>
    </row>
    <row r="5" spans="1:16" x14ac:dyDescent="0.25">
      <c r="B5">
        <v>196608</v>
      </c>
      <c r="C5">
        <v>12</v>
      </c>
      <c r="D5">
        <v>67.001999999999995</v>
      </c>
      <c r="E5">
        <v>187799</v>
      </c>
      <c r="F5">
        <v>13562</v>
      </c>
      <c r="G5">
        <v>7.2215499999999997</v>
      </c>
      <c r="M5">
        <v>8</v>
      </c>
      <c r="N5">
        <f>29.8644/10</f>
        <v>2.98644</v>
      </c>
      <c r="O5">
        <f>1007.53/10</f>
        <v>100.753</v>
      </c>
      <c r="P5">
        <f>8402.89/10</f>
        <v>840.28899999999999</v>
      </c>
    </row>
    <row r="6" spans="1:16" x14ac:dyDescent="0.25">
      <c r="B6">
        <v>196608</v>
      </c>
      <c r="C6">
        <v>16</v>
      </c>
      <c r="D6">
        <v>44.4283</v>
      </c>
      <c r="E6">
        <v>377625</v>
      </c>
      <c r="F6">
        <v>153789</v>
      </c>
      <c r="G6" s="2">
        <v>40.7254</v>
      </c>
      <c r="M6">
        <v>12</v>
      </c>
      <c r="N6">
        <f>67.002/10</f>
        <v>6.7001999999999997</v>
      </c>
      <c r="O6">
        <f>1966.97/10</f>
        <v>196.697</v>
      </c>
      <c r="P6">
        <f>1675.23/10</f>
        <v>167.523</v>
      </c>
    </row>
    <row r="7" spans="1:16" x14ac:dyDescent="0.25">
      <c r="B7">
        <v>196608</v>
      </c>
      <c r="C7">
        <v>20</v>
      </c>
      <c r="D7">
        <v>54.983600000000003</v>
      </c>
      <c r="E7">
        <v>381414</v>
      </c>
      <c r="F7">
        <v>28693.200000000001</v>
      </c>
      <c r="G7">
        <v>7.52285</v>
      </c>
      <c r="M7">
        <v>16</v>
      </c>
      <c r="N7">
        <f>44.4283/10</f>
        <v>4.4428299999999998</v>
      </c>
      <c r="O7">
        <f>1271.15/10</f>
        <v>127.11500000000001</v>
      </c>
      <c r="P7">
        <f>2884.69/10</f>
        <v>288.46899999999999</v>
      </c>
    </row>
    <row r="8" spans="1:16" x14ac:dyDescent="0.25">
      <c r="B8">
        <v>196608</v>
      </c>
      <c r="C8">
        <v>24</v>
      </c>
      <c r="D8">
        <v>58.797600000000003</v>
      </c>
      <c r="E8">
        <v>428008</v>
      </c>
      <c r="F8">
        <v>80936.399999999994</v>
      </c>
      <c r="G8">
        <v>18.91</v>
      </c>
      <c r="M8">
        <v>20</v>
      </c>
      <c r="N8">
        <f>54.9836/10</f>
        <v>5.4983599999999999</v>
      </c>
      <c r="O8">
        <f>1390.38/10</f>
        <v>139.03800000000001</v>
      </c>
      <c r="P8">
        <f>2048.54/10</f>
        <v>204.85399999999998</v>
      </c>
    </row>
    <row r="9" spans="1:16" x14ac:dyDescent="0.25">
      <c r="B9">
        <v>196608</v>
      </c>
      <c r="C9">
        <v>28</v>
      </c>
      <c r="D9">
        <v>57.974400000000003</v>
      </c>
      <c r="E9">
        <v>506433</v>
      </c>
      <c r="F9">
        <v>54088.6</v>
      </c>
      <c r="G9" s="2">
        <v>10.680300000000001</v>
      </c>
      <c r="M9">
        <v>24</v>
      </c>
      <c r="N9">
        <f>58.7976/10</f>
        <v>5.8797600000000001</v>
      </c>
      <c r="O9">
        <f>1563.09/10</f>
        <v>156.309</v>
      </c>
      <c r="P9">
        <f>2055.61/10</f>
        <v>205.56100000000001</v>
      </c>
    </row>
    <row r="10" spans="1:16" x14ac:dyDescent="0.25">
      <c r="B10">
        <v>196608</v>
      </c>
      <c r="C10">
        <v>32</v>
      </c>
      <c r="D10">
        <v>60.568600000000004</v>
      </c>
      <c r="E10">
        <v>553990</v>
      </c>
      <c r="F10">
        <v>49622.400000000001</v>
      </c>
      <c r="G10">
        <v>8.9572699999999994</v>
      </c>
      <c r="M10">
        <v>28</v>
      </c>
      <c r="N10">
        <f>57.9744/10</f>
        <v>5.7974399999999999</v>
      </c>
      <c r="O10">
        <f>1463.13/10</f>
        <v>146.31300000000002</v>
      </c>
      <c r="P10">
        <f>1928.86/10</f>
        <v>192.886</v>
      </c>
    </row>
    <row r="11" spans="1:16" x14ac:dyDescent="0.25">
      <c r="B11">
        <v>196608</v>
      </c>
      <c r="C11">
        <v>36</v>
      </c>
      <c r="D11">
        <v>50.881399999999999</v>
      </c>
      <c r="E11">
        <v>741896</v>
      </c>
      <c r="F11">
        <v>6459.8</v>
      </c>
      <c r="G11">
        <v>0.87071500000000002</v>
      </c>
      <c r="M11">
        <v>32</v>
      </c>
      <c r="N11">
        <f>60.5686/10</f>
        <v>6.0568600000000004</v>
      </c>
      <c r="O11">
        <f>1064.39/10</f>
        <v>106.43900000000001</v>
      </c>
      <c r="P11">
        <f>2284.03/10</f>
        <v>228.40300000000002</v>
      </c>
    </row>
    <row r="12" spans="1:16" x14ac:dyDescent="0.25">
      <c r="B12">
        <v>196608</v>
      </c>
      <c r="C12">
        <v>40</v>
      </c>
      <c r="D12">
        <v>52.557499999999997</v>
      </c>
      <c r="E12">
        <v>798041</v>
      </c>
      <c r="F12">
        <v>152880</v>
      </c>
      <c r="G12">
        <v>19.1569</v>
      </c>
      <c r="M12">
        <v>36</v>
      </c>
      <c r="N12">
        <f>50.8814/10</f>
        <v>5.0881400000000001</v>
      </c>
      <c r="O12">
        <f>1423.97/10</f>
        <v>142.39699999999999</v>
      </c>
      <c r="P12">
        <f>1356.16/10</f>
        <v>135.61600000000001</v>
      </c>
    </row>
    <row r="13" spans="1:16" x14ac:dyDescent="0.25">
      <c r="M13">
        <v>40</v>
      </c>
      <c r="N13">
        <f>52.5575/10</f>
        <v>5.2557499999999999</v>
      </c>
      <c r="O13">
        <f>1596.96/10</f>
        <v>159.696</v>
      </c>
      <c r="P13">
        <f>1393.61/10</f>
        <v>139.36099999999999</v>
      </c>
    </row>
    <row r="15" spans="1:16" x14ac:dyDescent="0.25">
      <c r="A15" t="s">
        <v>7</v>
      </c>
    </row>
    <row r="16" spans="1:16" x14ac:dyDescent="0.25">
      <c r="B16" t="s">
        <v>1</v>
      </c>
      <c r="C16" t="s">
        <v>0</v>
      </c>
      <c r="D16" t="s">
        <v>3</v>
      </c>
      <c r="E16" t="s">
        <v>2</v>
      </c>
      <c r="F16" t="s">
        <v>4</v>
      </c>
      <c r="G16" t="s">
        <v>5</v>
      </c>
      <c r="I16">
        <v>1</v>
      </c>
    </row>
    <row r="17" spans="1:16" x14ac:dyDescent="0.25">
      <c r="B17">
        <v>4194304</v>
      </c>
      <c r="C17">
        <v>4</v>
      </c>
      <c r="D17">
        <v>5301.19</v>
      </c>
      <c r="E17">
        <v>791.2</v>
      </c>
      <c r="F17">
        <v>689.2</v>
      </c>
      <c r="G17">
        <v>87.108199999999997</v>
      </c>
      <c r="P17" s="1"/>
    </row>
    <row r="18" spans="1:16" x14ac:dyDescent="0.25">
      <c r="B18">
        <v>6291456</v>
      </c>
      <c r="C18">
        <v>8</v>
      </c>
      <c r="D18">
        <v>1007.53</v>
      </c>
      <c r="E18">
        <v>8325.9</v>
      </c>
      <c r="F18">
        <v>82.1</v>
      </c>
      <c r="G18">
        <v>98.608000000000004</v>
      </c>
      <c r="P18" s="1"/>
    </row>
    <row r="19" spans="1:16" x14ac:dyDescent="0.25">
      <c r="B19">
        <v>6291456</v>
      </c>
      <c r="C19">
        <v>12</v>
      </c>
      <c r="D19">
        <v>1966.97</v>
      </c>
      <c r="E19">
        <v>6397.1</v>
      </c>
      <c r="F19">
        <v>1108.0999999999999</v>
      </c>
      <c r="G19">
        <v>17.321899999999999</v>
      </c>
      <c r="P19" s="1"/>
    </row>
    <row r="20" spans="1:16" x14ac:dyDescent="0.25">
      <c r="B20">
        <v>6291456</v>
      </c>
      <c r="C20">
        <v>16</v>
      </c>
      <c r="D20">
        <v>1271.1500000000001</v>
      </c>
      <c r="E20">
        <v>13198.5</v>
      </c>
      <c r="F20">
        <v>3322.45</v>
      </c>
      <c r="G20">
        <v>25.172999999999998</v>
      </c>
      <c r="P20" s="1"/>
    </row>
    <row r="21" spans="1:16" x14ac:dyDescent="0.25">
      <c r="B21">
        <v>6291456</v>
      </c>
      <c r="C21">
        <v>20</v>
      </c>
      <c r="D21">
        <v>1390.38</v>
      </c>
      <c r="E21">
        <v>15083.2</v>
      </c>
      <c r="F21">
        <v>5859.75</v>
      </c>
      <c r="G21">
        <v>38.849400000000003</v>
      </c>
    </row>
    <row r="22" spans="1:16" x14ac:dyDescent="0.25">
      <c r="B22">
        <v>6291456</v>
      </c>
      <c r="C22">
        <v>24</v>
      </c>
      <c r="D22">
        <v>1563.09</v>
      </c>
      <c r="E22">
        <v>16100</v>
      </c>
      <c r="F22">
        <v>4008.05</v>
      </c>
      <c r="G22">
        <v>24.894600000000001</v>
      </c>
    </row>
    <row r="23" spans="1:16" x14ac:dyDescent="0.25">
      <c r="B23">
        <v>6291456</v>
      </c>
      <c r="C23">
        <v>28</v>
      </c>
      <c r="D23">
        <v>1463.13</v>
      </c>
      <c r="E23">
        <v>20066.7</v>
      </c>
      <c r="F23">
        <v>1549.3</v>
      </c>
      <c r="G23">
        <v>7.7207499999999998</v>
      </c>
    </row>
    <row r="24" spans="1:16" x14ac:dyDescent="0.25">
      <c r="B24">
        <v>6291456</v>
      </c>
      <c r="C24">
        <v>32</v>
      </c>
      <c r="D24">
        <v>1064.3900000000001</v>
      </c>
      <c r="E24">
        <v>31524.5</v>
      </c>
      <c r="F24">
        <v>10979.5</v>
      </c>
      <c r="G24">
        <v>34.828600000000002</v>
      </c>
    </row>
    <row r="25" spans="1:16" x14ac:dyDescent="0.25">
      <c r="B25">
        <v>6291456</v>
      </c>
      <c r="C25">
        <v>36</v>
      </c>
      <c r="D25">
        <v>1423.97</v>
      </c>
      <c r="E25">
        <v>26509.5</v>
      </c>
      <c r="F25">
        <v>1026.45</v>
      </c>
      <c r="G25">
        <v>3.8719999999999999</v>
      </c>
    </row>
    <row r="26" spans="1:16" x14ac:dyDescent="0.25">
      <c r="B26">
        <v>6291456</v>
      </c>
      <c r="C26">
        <v>40</v>
      </c>
      <c r="D26">
        <v>1596.96</v>
      </c>
      <c r="E26">
        <v>26264.2</v>
      </c>
      <c r="F26">
        <v>1767.25</v>
      </c>
      <c r="G26">
        <v>6.7287299999999997</v>
      </c>
    </row>
    <row r="28" spans="1:16" x14ac:dyDescent="0.25">
      <c r="A28" t="s">
        <v>8</v>
      </c>
    </row>
    <row r="29" spans="1:16" x14ac:dyDescent="0.25">
      <c r="B29" t="s">
        <v>1</v>
      </c>
      <c r="C29" t="s">
        <v>0</v>
      </c>
      <c r="D29" t="s">
        <v>3</v>
      </c>
      <c r="E29" t="s">
        <v>2</v>
      </c>
      <c r="F29" t="s">
        <v>4</v>
      </c>
      <c r="G29" t="s">
        <v>5</v>
      </c>
    </row>
    <row r="30" spans="1:16" x14ac:dyDescent="0.25">
      <c r="B30">
        <v>4194304</v>
      </c>
      <c r="C30">
        <v>4</v>
      </c>
      <c r="D30">
        <v>6039.75</v>
      </c>
      <c r="E30">
        <v>694.45</v>
      </c>
      <c r="F30">
        <v>623.45000000000005</v>
      </c>
      <c r="G30">
        <v>89.7761</v>
      </c>
    </row>
    <row r="31" spans="1:16" x14ac:dyDescent="0.25">
      <c r="B31">
        <v>8388608</v>
      </c>
      <c r="C31">
        <v>8</v>
      </c>
      <c r="D31">
        <v>8402.89</v>
      </c>
      <c r="E31">
        <v>998.3</v>
      </c>
      <c r="F31">
        <v>915.3</v>
      </c>
      <c r="G31">
        <v>91.685900000000004</v>
      </c>
    </row>
    <row r="32" spans="1:16" x14ac:dyDescent="0.25">
      <c r="B32">
        <v>8388608</v>
      </c>
      <c r="C32">
        <v>12</v>
      </c>
      <c r="D32">
        <v>1675.23</v>
      </c>
      <c r="E32">
        <v>7511.15</v>
      </c>
      <c r="F32">
        <v>1444.15</v>
      </c>
      <c r="G32">
        <v>19.226700000000001</v>
      </c>
    </row>
    <row r="33" spans="2:17" x14ac:dyDescent="0.25">
      <c r="B33">
        <v>8388608</v>
      </c>
      <c r="C33">
        <v>16</v>
      </c>
      <c r="D33">
        <v>2884.69</v>
      </c>
      <c r="E33">
        <v>5815.95</v>
      </c>
      <c r="F33">
        <v>1464.95</v>
      </c>
      <c r="G33">
        <v>25.188500000000001</v>
      </c>
    </row>
    <row r="34" spans="2:17" x14ac:dyDescent="0.25">
      <c r="B34">
        <v>8388608</v>
      </c>
      <c r="C34">
        <v>20</v>
      </c>
      <c r="D34">
        <v>2048.54</v>
      </c>
      <c r="E34">
        <v>10237.299999999999</v>
      </c>
      <c r="F34">
        <v>3028.3</v>
      </c>
      <c r="G34">
        <v>29.581</v>
      </c>
    </row>
    <row r="35" spans="2:17" x14ac:dyDescent="0.25">
      <c r="B35">
        <v>8388608</v>
      </c>
      <c r="C35">
        <v>24</v>
      </c>
      <c r="D35">
        <v>2055.61</v>
      </c>
      <c r="E35">
        <v>12242.5</v>
      </c>
      <c r="F35">
        <v>10180.5</v>
      </c>
      <c r="G35">
        <v>83.156999999999996</v>
      </c>
    </row>
    <row r="36" spans="2:17" x14ac:dyDescent="0.25">
      <c r="B36">
        <v>8388608</v>
      </c>
      <c r="C36">
        <v>28</v>
      </c>
      <c r="D36">
        <v>1928.86</v>
      </c>
      <c r="E36">
        <v>15221.5</v>
      </c>
      <c r="F36">
        <v>3506.5</v>
      </c>
      <c r="G36">
        <v>23.0365</v>
      </c>
    </row>
    <row r="37" spans="2:17" x14ac:dyDescent="0.25">
      <c r="B37">
        <v>8388608</v>
      </c>
      <c r="C37">
        <v>32</v>
      </c>
      <c r="D37">
        <v>2284.0300000000002</v>
      </c>
      <c r="E37">
        <v>14690.9</v>
      </c>
      <c r="F37">
        <v>1531.9</v>
      </c>
      <c r="G37" s="2">
        <v>10.4275</v>
      </c>
      <c r="Q37" s="1"/>
    </row>
    <row r="38" spans="2:17" x14ac:dyDescent="0.25">
      <c r="B38">
        <v>8388608</v>
      </c>
      <c r="C38">
        <v>36</v>
      </c>
      <c r="D38">
        <v>1356.16</v>
      </c>
      <c r="E38">
        <v>27835.1</v>
      </c>
      <c r="F38">
        <v>8615.1</v>
      </c>
      <c r="G38">
        <v>30.950500000000002</v>
      </c>
      <c r="P38" s="1"/>
    </row>
    <row r="39" spans="2:17" x14ac:dyDescent="0.25">
      <c r="B39">
        <v>8388608</v>
      </c>
      <c r="C39">
        <v>40</v>
      </c>
      <c r="D39">
        <v>1393.61</v>
      </c>
      <c r="E39">
        <v>30096.6</v>
      </c>
      <c r="F39">
        <v>6816.6</v>
      </c>
      <c r="G39">
        <v>22.649100000000001</v>
      </c>
      <c r="P39" s="1"/>
    </row>
    <row r="40" spans="2:17" x14ac:dyDescent="0.25">
      <c r="P40" s="1"/>
    </row>
    <row r="41" spans="2:17" x14ac:dyDescent="0.25">
      <c r="K41" t="s">
        <v>6</v>
      </c>
      <c r="L41" t="s">
        <v>9</v>
      </c>
      <c r="M41" t="s">
        <v>10</v>
      </c>
      <c r="P41" s="1"/>
    </row>
    <row r="42" spans="2:17" x14ac:dyDescent="0.25">
      <c r="J42" t="s">
        <v>0</v>
      </c>
      <c r="K42" t="s">
        <v>5</v>
      </c>
      <c r="L42" t="s">
        <v>5</v>
      </c>
      <c r="M42" t="s">
        <v>5</v>
      </c>
      <c r="P42" s="1"/>
    </row>
    <row r="43" spans="2:17" x14ac:dyDescent="0.25">
      <c r="J43">
        <v>4</v>
      </c>
      <c r="K43">
        <f>0.00001*89.7761</f>
        <v>8.9776100000000007E-4</v>
      </c>
      <c r="L43">
        <f>0.00001*87.1082</f>
        <v>8.7108200000000002E-4</v>
      </c>
      <c r="M43">
        <f>0.00001*89.7761</f>
        <v>8.9776100000000007E-4</v>
      </c>
    </row>
    <row r="44" spans="2:17" x14ac:dyDescent="0.25">
      <c r="J44">
        <v>8</v>
      </c>
      <c r="K44">
        <f>0.00001*50.292</f>
        <v>5.0292000000000002E-4</v>
      </c>
      <c r="L44">
        <f>0.00001*98.608</f>
        <v>9.8608000000000007E-4</v>
      </c>
      <c r="M44">
        <f>0.00001*91.6859</f>
        <v>9.1685900000000012E-4</v>
      </c>
    </row>
    <row r="45" spans="2:17" x14ac:dyDescent="0.25">
      <c r="J45">
        <v>12</v>
      </c>
      <c r="K45">
        <f>0.00001*7.22155</f>
        <v>7.2215500000000007E-5</v>
      </c>
      <c r="L45">
        <f>0.00001*17.3219</f>
        <v>1.7321900000000001E-4</v>
      </c>
      <c r="M45">
        <f>0.00001*19.2267</f>
        <v>1.9226700000000003E-4</v>
      </c>
    </row>
    <row r="46" spans="2:17" x14ac:dyDescent="0.25">
      <c r="J46">
        <v>16</v>
      </c>
      <c r="K46" s="2">
        <f>0.00001*40.7254</f>
        <v>4.0725400000000001E-4</v>
      </c>
      <c r="L46">
        <f>0.00001*25.173</f>
        <v>2.5172999999999998E-4</v>
      </c>
      <c r="M46">
        <f>0.00001*25.1885</f>
        <v>2.5188500000000003E-4</v>
      </c>
    </row>
    <row r="47" spans="2:17" x14ac:dyDescent="0.25">
      <c r="J47">
        <v>20</v>
      </c>
      <c r="K47">
        <f>0.00001*7.52285</f>
        <v>7.52285E-5</v>
      </c>
      <c r="L47">
        <f>0.00001*38.8494</f>
        <v>3.8849400000000008E-4</v>
      </c>
      <c r="M47">
        <f>0.00001*29.581</f>
        <v>2.9581000000000003E-4</v>
      </c>
    </row>
    <row r="48" spans="2:17" x14ac:dyDescent="0.25">
      <c r="J48">
        <v>24</v>
      </c>
      <c r="K48">
        <f>0.00001*18.91</f>
        <v>1.8910000000000002E-4</v>
      </c>
      <c r="L48">
        <f>0.00001*24.8946</f>
        <v>2.4894600000000005E-4</v>
      </c>
      <c r="M48">
        <f>0.00001*83.157</f>
        <v>8.3157000000000001E-4</v>
      </c>
    </row>
    <row r="49" spans="1:13" x14ac:dyDescent="0.25">
      <c r="J49">
        <v>28</v>
      </c>
      <c r="K49" s="2">
        <f>0.00001*10.6803</f>
        <v>1.0680300000000001E-4</v>
      </c>
      <c r="L49">
        <f>0.00001*7.72075</f>
        <v>7.7207500000000002E-5</v>
      </c>
      <c r="M49">
        <f>0.00001*23.0365</f>
        <v>2.3036500000000001E-4</v>
      </c>
    </row>
    <row r="50" spans="1:13" x14ac:dyDescent="0.25">
      <c r="J50">
        <v>32</v>
      </c>
      <c r="K50">
        <f>0.00001*8.95727</f>
        <v>8.9572699999999997E-5</v>
      </c>
      <c r="L50">
        <f>0.00001*34.8286</f>
        <v>3.4828600000000006E-4</v>
      </c>
      <c r="M50" s="2">
        <f>0.00001*10.4275</f>
        <v>1.0427500000000001E-4</v>
      </c>
    </row>
    <row r="51" spans="1:13" x14ac:dyDescent="0.25">
      <c r="J51">
        <v>36</v>
      </c>
      <c r="K51">
        <f>0.00001*0.870715</f>
        <v>8.7071500000000001E-6</v>
      </c>
      <c r="L51">
        <f>0.00001*3.872</f>
        <v>3.8720000000000002E-5</v>
      </c>
      <c r="M51">
        <f>0.00001*30.9505</f>
        <v>3.0950500000000007E-4</v>
      </c>
    </row>
    <row r="52" spans="1:13" x14ac:dyDescent="0.25">
      <c r="J52">
        <v>40</v>
      </c>
      <c r="K52">
        <f>0.00001*19.1569</f>
        <v>1.9156900000000002E-4</v>
      </c>
      <c r="L52">
        <f>0.00001*6.72873</f>
        <v>6.7287300000000002E-5</v>
      </c>
      <c r="M52">
        <f>0.00001*22.6491</f>
        <v>2.2649100000000002E-4</v>
      </c>
    </row>
    <row r="54" spans="1:13" x14ac:dyDescent="0.25">
      <c r="A54" t="s">
        <v>6</v>
      </c>
    </row>
    <row r="55" spans="1:13" x14ac:dyDescent="0.25">
      <c r="A55" t="s">
        <v>62</v>
      </c>
      <c r="B55" t="s">
        <v>11</v>
      </c>
      <c r="C55" t="s">
        <v>0</v>
      </c>
      <c r="D55" t="s">
        <v>2</v>
      </c>
      <c r="E55" t="s">
        <v>3</v>
      </c>
      <c r="F55" t="s">
        <v>4</v>
      </c>
      <c r="G55" t="s">
        <v>5</v>
      </c>
    </row>
    <row r="56" spans="1:13" x14ac:dyDescent="0.25">
      <c r="A56">
        <v>10</v>
      </c>
      <c r="B56" t="s">
        <v>30</v>
      </c>
      <c r="C56">
        <v>4</v>
      </c>
      <c r="D56">
        <v>106268</v>
      </c>
      <c r="E56" t="s">
        <v>31</v>
      </c>
      <c r="F56">
        <v>165390</v>
      </c>
      <c r="G56" t="s">
        <v>32</v>
      </c>
    </row>
    <row r="57" spans="1:13" x14ac:dyDescent="0.25">
      <c r="A57">
        <v>20</v>
      </c>
      <c r="B57" t="s">
        <v>30</v>
      </c>
      <c r="C57">
        <v>4</v>
      </c>
      <c r="D57">
        <v>65311.199999999997</v>
      </c>
      <c r="E57" t="s">
        <v>33</v>
      </c>
      <c r="F57" t="s">
        <v>34</v>
      </c>
      <c r="G57" t="s">
        <v>35</v>
      </c>
    </row>
    <row r="58" spans="1:13" x14ac:dyDescent="0.25">
      <c r="A58">
        <v>30</v>
      </c>
      <c r="B58" t="s">
        <v>30</v>
      </c>
      <c r="C58">
        <v>4</v>
      </c>
      <c r="D58">
        <v>76452.399999999994</v>
      </c>
      <c r="E58" t="s">
        <v>36</v>
      </c>
      <c r="F58" t="s">
        <v>37</v>
      </c>
      <c r="G58" t="s">
        <v>38</v>
      </c>
    </row>
    <row r="59" spans="1:13" x14ac:dyDescent="0.25">
      <c r="A59">
        <v>40</v>
      </c>
      <c r="B59" t="s">
        <v>30</v>
      </c>
      <c r="C59">
        <v>4</v>
      </c>
      <c r="D59">
        <v>81599.600000000006</v>
      </c>
      <c r="E59" t="s">
        <v>39</v>
      </c>
      <c r="F59" t="s">
        <v>40</v>
      </c>
      <c r="G59" t="s">
        <v>41</v>
      </c>
    </row>
    <row r="60" spans="1:13" x14ac:dyDescent="0.25">
      <c r="A60">
        <v>50</v>
      </c>
      <c r="B60" t="s">
        <v>30</v>
      </c>
      <c r="C60">
        <v>4</v>
      </c>
      <c r="D60">
        <v>71221</v>
      </c>
      <c r="E60" t="s">
        <v>42</v>
      </c>
      <c r="F60">
        <v>77849</v>
      </c>
      <c r="G60" t="s">
        <v>43</v>
      </c>
    </row>
    <row r="61" spans="1:13" x14ac:dyDescent="0.25">
      <c r="K61" t="s">
        <v>6</v>
      </c>
      <c r="L61" t="s">
        <v>9</v>
      </c>
      <c r="M61" t="s">
        <v>10</v>
      </c>
    </row>
    <row r="62" spans="1:13" x14ac:dyDescent="0.25">
      <c r="J62" t="s">
        <v>62</v>
      </c>
      <c r="K62" t="s">
        <v>5</v>
      </c>
      <c r="L62" t="s">
        <v>5</v>
      </c>
      <c r="M62" t="s">
        <v>5</v>
      </c>
    </row>
    <row r="63" spans="1:13" x14ac:dyDescent="0.25">
      <c r="A63" t="s">
        <v>9</v>
      </c>
      <c r="J63">
        <v>10</v>
      </c>
      <c r="K63">
        <f>0.00001*155.634</f>
        <v>1.55634E-3</v>
      </c>
      <c r="L63">
        <f>0.00001*94.6038</f>
        <v>9.4603800000000017E-4</v>
      </c>
      <c r="M63">
        <f>0.00001*98.0556</f>
        <v>9.8055600000000005E-4</v>
      </c>
    </row>
    <row r="64" spans="1:13" x14ac:dyDescent="0.25">
      <c r="A64" t="s">
        <v>62</v>
      </c>
      <c r="B64" t="s">
        <v>11</v>
      </c>
      <c r="C64" t="s">
        <v>0</v>
      </c>
      <c r="D64" t="s">
        <v>2</v>
      </c>
      <c r="E64" t="s">
        <v>3</v>
      </c>
      <c r="F64" t="s">
        <v>4</v>
      </c>
      <c r="G64" t="s">
        <v>5</v>
      </c>
      <c r="J64">
        <v>20</v>
      </c>
      <c r="K64">
        <f>0.00001*5.67307</f>
        <v>5.6730700000000002E-5</v>
      </c>
      <c r="L64">
        <f>0.00001*93.2855</f>
        <v>9.3285500000000001E-4</v>
      </c>
      <c r="M64">
        <f>0.00001*89.3694</f>
        <v>8.9369400000000011E-4</v>
      </c>
    </row>
    <row r="65" spans="1:13" x14ac:dyDescent="0.25">
      <c r="A65">
        <v>10</v>
      </c>
      <c r="B65" t="s">
        <v>30</v>
      </c>
      <c r="C65">
        <v>4</v>
      </c>
      <c r="D65" t="s">
        <v>44</v>
      </c>
      <c r="E65" t="s">
        <v>45</v>
      </c>
      <c r="F65" t="s">
        <v>46</v>
      </c>
      <c r="G65" t="s">
        <v>47</v>
      </c>
      <c r="J65">
        <v>30</v>
      </c>
      <c r="K65">
        <f>0.00001*10.747</f>
        <v>1.0747000000000001E-4</v>
      </c>
      <c r="L65">
        <f>0.00001*85.9615</f>
        <v>8.596150000000001E-4</v>
      </c>
      <c r="M65">
        <f>0.00001*87.0753</f>
        <v>8.7075300000000004E-4</v>
      </c>
    </row>
    <row r="66" spans="1:13" x14ac:dyDescent="0.25">
      <c r="A66">
        <v>20</v>
      </c>
      <c r="B66" t="s">
        <v>30</v>
      </c>
      <c r="C66">
        <v>4</v>
      </c>
      <c r="D66" t="s">
        <v>48</v>
      </c>
      <c r="E66" t="s">
        <v>49</v>
      </c>
      <c r="F66" t="s">
        <v>50</v>
      </c>
      <c r="G66" t="s">
        <v>51</v>
      </c>
      <c r="J66">
        <v>40</v>
      </c>
      <c r="K66">
        <f>0.00001*2.65271</f>
        <v>2.6527100000000002E-5</v>
      </c>
      <c r="L66">
        <f>0.00001*81.2742</f>
        <v>8.1274199999999998E-4</v>
      </c>
      <c r="M66">
        <f>0.00001*80.1146</f>
        <v>8.0114599999999998E-4</v>
      </c>
    </row>
    <row r="67" spans="1:13" x14ac:dyDescent="0.25">
      <c r="A67">
        <v>30</v>
      </c>
      <c r="B67" t="s">
        <v>30</v>
      </c>
      <c r="C67">
        <v>4</v>
      </c>
      <c r="D67">
        <v>520</v>
      </c>
      <c r="E67" t="s">
        <v>52</v>
      </c>
      <c r="F67">
        <v>447</v>
      </c>
      <c r="G67" t="s">
        <v>53</v>
      </c>
      <c r="J67">
        <v>50</v>
      </c>
      <c r="K67">
        <f>0.00001*109.306</f>
        <v>1.0930600000000001E-3</v>
      </c>
      <c r="L67">
        <f>0.00001*82.1494</f>
        <v>8.2149400000000009E-4</v>
      </c>
      <c r="M67">
        <f>0.00001*79.7043</f>
        <v>7.970430000000001E-4</v>
      </c>
    </row>
    <row r="68" spans="1:13" x14ac:dyDescent="0.25">
      <c r="A68">
        <v>40</v>
      </c>
      <c r="B68" t="s">
        <v>30</v>
      </c>
      <c r="C68">
        <v>4</v>
      </c>
      <c r="D68" t="s">
        <v>54</v>
      </c>
      <c r="E68" t="s">
        <v>55</v>
      </c>
      <c r="F68" t="s">
        <v>56</v>
      </c>
      <c r="G68" t="s">
        <v>57</v>
      </c>
    </row>
    <row r="69" spans="1:13" x14ac:dyDescent="0.25">
      <c r="A69">
        <v>50</v>
      </c>
      <c r="B69" t="s">
        <v>30</v>
      </c>
      <c r="C69">
        <v>4</v>
      </c>
      <c r="D69" t="s">
        <v>58</v>
      </c>
      <c r="E69" t="s">
        <v>59</v>
      </c>
      <c r="F69" t="s">
        <v>60</v>
      </c>
      <c r="G69" t="s">
        <v>61</v>
      </c>
    </row>
    <row r="71" spans="1:13" x14ac:dyDescent="0.25">
      <c r="B71" t="s">
        <v>11</v>
      </c>
      <c r="C71" t="s">
        <v>0</v>
      </c>
      <c r="D71" t="s">
        <v>2</v>
      </c>
      <c r="E71" t="s">
        <v>3</v>
      </c>
      <c r="F71" t="s">
        <v>4</v>
      </c>
      <c r="G71" t="s">
        <v>5</v>
      </c>
    </row>
    <row r="72" spans="1:13" x14ac:dyDescent="0.25">
      <c r="B72" t="s">
        <v>30</v>
      </c>
      <c r="C72">
        <v>4</v>
      </c>
      <c r="D72" t="s">
        <v>63</v>
      </c>
      <c r="E72" t="s">
        <v>64</v>
      </c>
      <c r="F72" t="s">
        <v>65</v>
      </c>
      <c r="G72" t="s">
        <v>66</v>
      </c>
    </row>
    <row r="73" spans="1:13" x14ac:dyDescent="0.25">
      <c r="B73" t="s">
        <v>30</v>
      </c>
      <c r="C73">
        <v>4</v>
      </c>
      <c r="D73" t="s">
        <v>67</v>
      </c>
      <c r="E73" t="s">
        <v>68</v>
      </c>
      <c r="F73" t="s">
        <v>69</v>
      </c>
      <c r="G73" t="s">
        <v>70</v>
      </c>
    </row>
    <row r="74" spans="1:13" x14ac:dyDescent="0.25">
      <c r="B74" t="s">
        <v>30</v>
      </c>
      <c r="C74">
        <v>4</v>
      </c>
      <c r="D74" t="s">
        <v>71</v>
      </c>
      <c r="E74" t="s">
        <v>72</v>
      </c>
      <c r="F74" t="s">
        <v>73</v>
      </c>
      <c r="G74" t="s">
        <v>74</v>
      </c>
    </row>
    <row r="75" spans="1:13" x14ac:dyDescent="0.25">
      <c r="B75" t="s">
        <v>30</v>
      </c>
      <c r="C75">
        <v>4</v>
      </c>
      <c r="D75" t="s">
        <v>75</v>
      </c>
      <c r="E75" t="s">
        <v>76</v>
      </c>
      <c r="F75" t="s">
        <v>77</v>
      </c>
      <c r="G75" t="s">
        <v>78</v>
      </c>
    </row>
    <row r="76" spans="1:13" x14ac:dyDescent="0.25">
      <c r="B76" t="s">
        <v>30</v>
      </c>
      <c r="C76">
        <v>4</v>
      </c>
      <c r="D76" t="s">
        <v>79</v>
      </c>
      <c r="E76" t="s">
        <v>80</v>
      </c>
      <c r="F76" t="s">
        <v>81</v>
      </c>
      <c r="G76" t="s">
        <v>82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36" zoomScale="85" zoomScaleNormal="85" workbookViewId="0">
      <selection activeCell="P62" sqref="P62"/>
    </sheetView>
  </sheetViews>
  <sheetFormatPr defaultRowHeight="15" x14ac:dyDescent="0.25"/>
  <cols>
    <col min="3" max="3" width="15.7109375" bestFit="1" customWidth="1"/>
    <col min="4" max="4" width="18" bestFit="1" customWidth="1"/>
    <col min="5" max="5" width="15.7109375" bestFit="1" customWidth="1"/>
    <col min="6" max="6" width="12.85546875" bestFit="1" customWidth="1"/>
    <col min="9" max="9" width="17.42578125" bestFit="1" customWidth="1"/>
    <col min="10" max="10" width="15.42578125" bestFit="1" customWidth="1"/>
    <col min="11" max="11" width="12.140625" bestFit="1" customWidth="1"/>
    <col min="12" max="12" width="11.710937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17</v>
      </c>
      <c r="B2" s="2">
        <v>4</v>
      </c>
      <c r="C2" s="2">
        <v>4194304</v>
      </c>
      <c r="D2" s="2" t="s">
        <v>18</v>
      </c>
      <c r="E2" s="2">
        <v>0.70491999999999999</v>
      </c>
      <c r="F2" s="2">
        <v>214272</v>
      </c>
      <c r="G2" s="2">
        <v>3.6011899999999999</v>
      </c>
      <c r="H2" s="2">
        <v>1709174</v>
      </c>
      <c r="I2" s="4">
        <v>2185600</v>
      </c>
      <c r="J2" s="2">
        <v>1.9190700000000001</v>
      </c>
      <c r="K2" s="2">
        <v>30335.3</v>
      </c>
      <c r="L2" s="2">
        <v>1.3879600000000001</v>
      </c>
    </row>
    <row r="3" spans="1:12" x14ac:dyDescent="0.25">
      <c r="A3" t="s">
        <v>17</v>
      </c>
      <c r="B3" s="2">
        <v>8</v>
      </c>
      <c r="C3" s="2">
        <v>4194304</v>
      </c>
      <c r="D3" s="2" t="s">
        <v>19</v>
      </c>
      <c r="E3" s="2">
        <v>0.62476799999999999</v>
      </c>
      <c r="F3" s="4">
        <v>1530710</v>
      </c>
      <c r="G3" s="2">
        <v>11.400399999999999</v>
      </c>
      <c r="H3" s="2">
        <v>3363743</v>
      </c>
      <c r="I3" s="4">
        <v>3624540</v>
      </c>
      <c r="J3" s="2">
        <v>2.3144</v>
      </c>
      <c r="K3" s="2">
        <v>216882</v>
      </c>
      <c r="L3" s="2">
        <v>5.9837100000000003</v>
      </c>
    </row>
    <row r="4" spans="1:12" x14ac:dyDescent="0.25">
      <c r="A4" t="s">
        <v>17</v>
      </c>
      <c r="B4" s="2">
        <v>12</v>
      </c>
      <c r="C4" s="2">
        <v>4194304</v>
      </c>
      <c r="D4" s="2" t="s">
        <v>20</v>
      </c>
      <c r="E4" s="2">
        <v>0.58638100000000004</v>
      </c>
      <c r="F4" s="4">
        <v>5020860</v>
      </c>
      <c r="G4" s="2">
        <v>23.3979</v>
      </c>
      <c r="H4" s="2">
        <v>4771778</v>
      </c>
      <c r="I4" s="4">
        <v>5946260</v>
      </c>
      <c r="J4" s="2">
        <v>2.1161099999999999</v>
      </c>
      <c r="K4" s="2">
        <v>454921</v>
      </c>
      <c r="L4" s="2">
        <v>7.6505400000000003</v>
      </c>
    </row>
    <row r="5" spans="1:12" x14ac:dyDescent="0.25">
      <c r="A5" t="s">
        <v>17</v>
      </c>
      <c r="B5" s="2">
        <v>16</v>
      </c>
      <c r="C5" s="2">
        <v>4194304</v>
      </c>
      <c r="D5" s="2" t="s">
        <v>21</v>
      </c>
      <c r="E5" s="2">
        <v>0.53871000000000002</v>
      </c>
      <c r="F5" s="4">
        <v>4285480</v>
      </c>
      <c r="G5" s="2">
        <v>13.7605</v>
      </c>
      <c r="H5" s="2">
        <v>12060641</v>
      </c>
      <c r="I5" s="4">
        <v>8529830</v>
      </c>
      <c r="J5" s="2">
        <v>1.96689</v>
      </c>
      <c r="K5" s="4">
        <v>1395980</v>
      </c>
      <c r="L5" s="2">
        <v>16.3658</v>
      </c>
    </row>
    <row r="6" spans="1:12" x14ac:dyDescent="0.25">
      <c r="A6" t="s">
        <v>17</v>
      </c>
      <c r="B6" s="2">
        <v>20</v>
      </c>
      <c r="C6" s="2">
        <v>4194304</v>
      </c>
      <c r="D6" s="2" t="s">
        <v>22</v>
      </c>
      <c r="E6" s="2">
        <v>0.66004600000000002</v>
      </c>
      <c r="F6" s="4">
        <v>782981000000</v>
      </c>
      <c r="G6" s="2">
        <v>24.6431</v>
      </c>
      <c r="H6" s="2">
        <v>8021655</v>
      </c>
      <c r="I6" s="4">
        <v>8559050</v>
      </c>
      <c r="J6" s="2">
        <v>2.4502199999999998</v>
      </c>
      <c r="K6" s="2">
        <v>548548</v>
      </c>
      <c r="L6" s="2">
        <v>6.4089799999999997</v>
      </c>
    </row>
    <row r="7" spans="1:12" x14ac:dyDescent="0.25">
      <c r="A7" t="s">
        <v>17</v>
      </c>
      <c r="B7" s="2">
        <v>24</v>
      </c>
      <c r="C7" s="2">
        <v>4194304</v>
      </c>
      <c r="D7" s="2" t="s">
        <v>23</v>
      </c>
      <c r="E7" s="2">
        <v>0.65838200000000002</v>
      </c>
      <c r="F7" s="4">
        <v>5077780</v>
      </c>
      <c r="G7" s="2">
        <v>13.2844</v>
      </c>
      <c r="H7" s="2">
        <v>8396179</v>
      </c>
      <c r="I7" s="4">
        <v>10207200</v>
      </c>
      <c r="J7" s="2">
        <v>2.46549</v>
      </c>
      <c r="K7" s="4">
        <v>2650260</v>
      </c>
      <c r="L7" s="2">
        <v>25.964600000000001</v>
      </c>
    </row>
    <row r="8" spans="1:12" x14ac:dyDescent="0.25">
      <c r="A8" t="s">
        <v>17</v>
      </c>
      <c r="B8" s="2">
        <v>28</v>
      </c>
      <c r="C8" s="2">
        <v>4194304</v>
      </c>
      <c r="D8" s="2" t="s">
        <v>24</v>
      </c>
      <c r="E8" s="2">
        <v>0.60375400000000001</v>
      </c>
      <c r="F8" s="4">
        <v>6370190</v>
      </c>
      <c r="G8" s="2">
        <v>13.099500000000001</v>
      </c>
      <c r="H8" s="2">
        <v>9982206</v>
      </c>
      <c r="I8" s="4">
        <v>10601800</v>
      </c>
      <c r="J8" s="2">
        <v>2.7693500000000002</v>
      </c>
      <c r="K8" s="2">
        <v>191355</v>
      </c>
      <c r="L8" s="2">
        <v>1.8049299999999999</v>
      </c>
    </row>
    <row r="9" spans="1:12" x14ac:dyDescent="0.25">
      <c r="A9" t="s">
        <v>17</v>
      </c>
      <c r="B9" s="2">
        <v>32</v>
      </c>
      <c r="C9" s="2">
        <v>4194304</v>
      </c>
      <c r="D9" s="2" t="s">
        <v>25</v>
      </c>
      <c r="E9" s="2">
        <v>0.62904400000000005</v>
      </c>
      <c r="F9" s="4">
        <v>4477310</v>
      </c>
      <c r="G9" s="2">
        <v>8.3935999999999993</v>
      </c>
      <c r="H9" s="2">
        <v>11427696</v>
      </c>
      <c r="I9" s="4">
        <v>13366800</v>
      </c>
      <c r="J9" s="2">
        <v>2.5102799999999998</v>
      </c>
      <c r="K9" s="4">
        <v>1938710</v>
      </c>
      <c r="L9" s="2">
        <v>14.5039</v>
      </c>
    </row>
    <row r="10" spans="1:12" x14ac:dyDescent="0.25">
      <c r="A10" t="s">
        <v>17</v>
      </c>
      <c r="B10" s="2">
        <v>36</v>
      </c>
      <c r="C10" s="2">
        <v>4194304</v>
      </c>
      <c r="D10" s="2" t="s">
        <v>26</v>
      </c>
      <c r="E10" s="2">
        <v>0.62459399999999998</v>
      </c>
      <c r="F10" s="4">
        <v>1070660</v>
      </c>
      <c r="G10" s="2">
        <v>1.77152</v>
      </c>
      <c r="H10" s="2">
        <v>13725196</v>
      </c>
      <c r="I10" s="4">
        <v>15715400</v>
      </c>
      <c r="J10" s="2">
        <v>2.4020299999999999</v>
      </c>
      <c r="K10" s="4">
        <v>1616660</v>
      </c>
      <c r="L10" s="2">
        <v>10.287100000000001</v>
      </c>
    </row>
    <row r="11" spans="1:12" x14ac:dyDescent="0.25">
      <c r="A11" t="s">
        <v>17</v>
      </c>
      <c r="B11" s="2">
        <v>40</v>
      </c>
      <c r="C11" s="2">
        <v>4194304</v>
      </c>
      <c r="D11" s="2" t="s">
        <v>27</v>
      </c>
      <c r="E11" s="2">
        <v>0.65358899999999998</v>
      </c>
      <c r="F11" s="4">
        <v>1522700</v>
      </c>
      <c r="G11" s="2">
        <v>2.3727900000000002</v>
      </c>
      <c r="H11" s="2">
        <v>17774892</v>
      </c>
      <c r="I11" s="4">
        <v>17675100</v>
      </c>
      <c r="J11" s="2">
        <v>2.3730099999999998</v>
      </c>
      <c r="K11" s="2">
        <v>694517</v>
      </c>
      <c r="L11" s="2">
        <v>3.92936</v>
      </c>
    </row>
    <row r="13" spans="1:12" x14ac:dyDescent="0.25">
      <c r="B13" t="s">
        <v>0</v>
      </c>
      <c r="C13" t="s">
        <v>3</v>
      </c>
      <c r="D13" t="s">
        <v>14</v>
      </c>
    </row>
    <row r="14" spans="1:12" x14ac:dyDescent="0.25">
      <c r="B14">
        <v>4</v>
      </c>
      <c r="C14" s="2">
        <f>0.70492*100</f>
        <v>70.492000000000004</v>
      </c>
      <c r="D14" s="2">
        <f>1.91907*100</f>
        <v>191.90700000000001</v>
      </c>
    </row>
    <row r="15" spans="1:12" x14ac:dyDescent="0.25">
      <c r="B15">
        <v>8</v>
      </c>
      <c r="C15" s="2">
        <f>0.624768*100</f>
        <v>62.476799999999997</v>
      </c>
      <c r="D15" s="2">
        <f>1.96689*100</f>
        <v>196.68899999999999</v>
      </c>
    </row>
    <row r="16" spans="1:12" x14ac:dyDescent="0.25">
      <c r="B16">
        <v>12</v>
      </c>
      <c r="C16" s="2">
        <f>0.586381*100</f>
        <v>58.638100000000001</v>
      </c>
      <c r="D16" s="2">
        <f>2.11611*100</f>
        <v>211.61099999999999</v>
      </c>
    </row>
    <row r="17" spans="2:4" x14ac:dyDescent="0.25">
      <c r="B17">
        <v>16</v>
      </c>
      <c r="C17" s="2">
        <f>0.53871*100</f>
        <v>53.871000000000002</v>
      </c>
      <c r="D17" s="2">
        <f>100*2.3144</f>
        <v>231.44</v>
      </c>
    </row>
    <row r="18" spans="2:4" x14ac:dyDescent="0.25">
      <c r="B18">
        <v>20</v>
      </c>
      <c r="C18" s="2">
        <f>0.660046*100</f>
        <v>66.004599999999996</v>
      </c>
      <c r="D18" s="2">
        <f>100*2.45022</f>
        <v>245.02199999999999</v>
      </c>
    </row>
    <row r="19" spans="2:4" x14ac:dyDescent="0.25">
      <c r="B19">
        <v>24</v>
      </c>
      <c r="C19" s="2">
        <f>0.658382*100</f>
        <v>65.838200000000001</v>
      </c>
      <c r="D19" s="2">
        <f>100*2.46549</f>
        <v>246.54900000000001</v>
      </c>
    </row>
    <row r="20" spans="2:4" x14ac:dyDescent="0.25">
      <c r="B20">
        <v>28</v>
      </c>
      <c r="C20" s="2">
        <f>0.603754*100</f>
        <v>60.375399999999999</v>
      </c>
      <c r="D20" s="2">
        <f>100*2.76935</f>
        <v>276.935</v>
      </c>
    </row>
    <row r="21" spans="2:4" x14ac:dyDescent="0.25">
      <c r="B21">
        <v>32</v>
      </c>
      <c r="C21" s="2">
        <f>0.629044*100</f>
        <v>62.904400000000003</v>
      </c>
      <c r="D21" s="2">
        <f>100*2.51028</f>
        <v>251.02799999999999</v>
      </c>
    </row>
    <row r="22" spans="2:4" x14ac:dyDescent="0.25">
      <c r="B22">
        <v>36</v>
      </c>
      <c r="C22" s="2">
        <f>0.624594*100</f>
        <v>62.459399999999995</v>
      </c>
      <c r="D22" s="2">
        <f>100*2.40203</f>
        <v>240.20299999999997</v>
      </c>
    </row>
    <row r="23" spans="2:4" x14ac:dyDescent="0.25">
      <c r="B23">
        <v>40</v>
      </c>
      <c r="C23" s="2">
        <f>0.653589*100</f>
        <v>65.358899999999991</v>
      </c>
      <c r="D23" s="2">
        <f>100*2.37301</f>
        <v>237.30099999999999</v>
      </c>
    </row>
    <row r="29" spans="2:4" x14ac:dyDescent="0.25">
      <c r="B29" t="s">
        <v>0</v>
      </c>
      <c r="C29" t="s">
        <v>29</v>
      </c>
      <c r="D29" t="s">
        <v>28</v>
      </c>
    </row>
    <row r="30" spans="2:4" x14ac:dyDescent="0.25">
      <c r="B30">
        <v>4</v>
      </c>
      <c r="C30" s="2">
        <f>10^(-5) *3.60119</f>
        <v>3.60119E-5</v>
      </c>
      <c r="D30" s="2">
        <f>10^(-5) *1.38796</f>
        <v>1.3879600000000002E-5</v>
      </c>
    </row>
    <row r="31" spans="2:4" x14ac:dyDescent="0.25">
      <c r="B31">
        <v>8</v>
      </c>
      <c r="C31" s="2">
        <f>10^(-5) *11.4004</f>
        <v>1.14004E-4</v>
      </c>
      <c r="D31" s="2">
        <f>10^(-5) *5.98371</f>
        <v>5.983710000000001E-5</v>
      </c>
    </row>
    <row r="32" spans="2:4" x14ac:dyDescent="0.25">
      <c r="B32">
        <v>12</v>
      </c>
      <c r="C32" s="2">
        <f>10^(-5) *23.3979</f>
        <v>2.3397900000000002E-4</v>
      </c>
      <c r="D32" s="2">
        <f>10^(-5) *7.65054</f>
        <v>7.6505400000000015E-5</v>
      </c>
    </row>
    <row r="33" spans="1:11" x14ac:dyDescent="0.25">
      <c r="B33">
        <v>16</v>
      </c>
      <c r="C33" s="2">
        <f>10^(-5) *13.7605</f>
        <v>1.3760500000000001E-4</v>
      </c>
      <c r="D33" s="2">
        <f>10^(-5) *16.3658</f>
        <v>1.6365800000000001E-4</v>
      </c>
    </row>
    <row r="34" spans="1:11" x14ac:dyDescent="0.25">
      <c r="B34">
        <v>20</v>
      </c>
      <c r="C34" s="2">
        <f>10^(-5) *24.6431</f>
        <v>2.4643100000000003E-4</v>
      </c>
      <c r="D34" s="2">
        <f>10^(-5) *6.40898</f>
        <v>6.4089800000000004E-5</v>
      </c>
    </row>
    <row r="35" spans="1:11" x14ac:dyDescent="0.25">
      <c r="B35">
        <v>24</v>
      </c>
      <c r="C35" s="2">
        <f>10^(-5) *13.2844</f>
        <v>1.3284400000000002E-4</v>
      </c>
      <c r="D35" s="2">
        <f>10^(-5) *25.9646</f>
        <v>2.5964600000000004E-4</v>
      </c>
    </row>
    <row r="36" spans="1:11" x14ac:dyDescent="0.25">
      <c r="B36">
        <v>28</v>
      </c>
      <c r="C36" s="2">
        <f>10^(-5) *13.0995</f>
        <v>1.3099500000000002E-4</v>
      </c>
      <c r="D36" s="2">
        <f>10^(-5) *1.80493</f>
        <v>1.80493E-5</v>
      </c>
    </row>
    <row r="37" spans="1:11" x14ac:dyDescent="0.25">
      <c r="B37">
        <v>32</v>
      </c>
      <c r="C37" s="2">
        <f>10^(-5) *8.3936</f>
        <v>8.3936000000000004E-5</v>
      </c>
      <c r="D37" s="2">
        <f>10^(-5) *14.5039</f>
        <v>1.4503900000000002E-4</v>
      </c>
    </row>
    <row r="38" spans="1:11" x14ac:dyDescent="0.25">
      <c r="B38">
        <v>36</v>
      </c>
      <c r="C38" s="2">
        <f>10^(-5) *1.77152</f>
        <v>1.7715200000000003E-5</v>
      </c>
      <c r="D38" s="2">
        <f>10^(-5) *10.2871</f>
        <v>1.0287100000000001E-4</v>
      </c>
    </row>
    <row r="39" spans="1:11" x14ac:dyDescent="0.25">
      <c r="B39">
        <v>40</v>
      </c>
      <c r="C39" s="2">
        <f>10^(-5) *2.37279</f>
        <v>2.3727900000000004E-5</v>
      </c>
      <c r="D39" s="2">
        <f>10^(-5) *3.92936</f>
        <v>3.9293600000000006E-5</v>
      </c>
    </row>
    <row r="48" spans="1:11" x14ac:dyDescent="0.25">
      <c r="A48" s="2" t="s">
        <v>62</v>
      </c>
      <c r="B48" s="2" t="s">
        <v>11</v>
      </c>
      <c r="C48" s="2" t="s">
        <v>0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13</v>
      </c>
      <c r="I48" s="2" t="s">
        <v>14</v>
      </c>
      <c r="J48" s="2" t="s">
        <v>15</v>
      </c>
      <c r="K48" s="2" t="s">
        <v>16</v>
      </c>
    </row>
    <row r="49" spans="1:11" x14ac:dyDescent="0.25">
      <c r="A49" s="2">
        <v>10</v>
      </c>
      <c r="B49" s="2" t="s">
        <v>17</v>
      </c>
      <c r="C49" s="2">
        <v>4</v>
      </c>
      <c r="D49" s="2" t="s">
        <v>83</v>
      </c>
      <c r="E49" s="2" t="s">
        <v>84</v>
      </c>
      <c r="F49" s="2">
        <v>181142</v>
      </c>
      <c r="G49" s="2" t="s">
        <v>85</v>
      </c>
      <c r="H49" s="2" t="s">
        <v>86</v>
      </c>
      <c r="I49" s="2" t="s">
        <v>87</v>
      </c>
      <c r="J49" s="2" t="s">
        <v>88</v>
      </c>
      <c r="K49" s="2" t="s">
        <v>89</v>
      </c>
    </row>
    <row r="50" spans="1:11" x14ac:dyDescent="0.25">
      <c r="A50" s="2">
        <v>20</v>
      </c>
      <c r="B50" s="2" t="s">
        <v>17</v>
      </c>
      <c r="C50" s="2">
        <v>4</v>
      </c>
      <c r="D50" s="2" t="s">
        <v>90</v>
      </c>
      <c r="E50" s="2" t="s">
        <v>91</v>
      </c>
      <c r="F50" s="2">
        <v>217753</v>
      </c>
      <c r="G50" s="2">
        <v>3.7614000000000001</v>
      </c>
      <c r="H50" s="2" t="s">
        <v>92</v>
      </c>
      <c r="I50" s="2" t="s">
        <v>93</v>
      </c>
      <c r="J50" s="2">
        <v>113201</v>
      </c>
      <c r="K50" s="2" t="s">
        <v>94</v>
      </c>
    </row>
    <row r="51" spans="1:11" x14ac:dyDescent="0.25">
      <c r="A51" s="2">
        <v>30</v>
      </c>
      <c r="B51" s="2" t="s">
        <v>17</v>
      </c>
      <c r="C51" s="2">
        <v>4</v>
      </c>
      <c r="D51" s="2" t="s">
        <v>95</v>
      </c>
      <c r="E51" s="2" t="s">
        <v>96</v>
      </c>
      <c r="F51" s="2">
        <v>272609</v>
      </c>
      <c r="G51" s="2">
        <v>4.5698999999999996</v>
      </c>
      <c r="H51" s="2" t="s">
        <v>97</v>
      </c>
      <c r="I51" s="2" t="s">
        <v>98</v>
      </c>
      <c r="J51" s="2" t="s">
        <v>99</v>
      </c>
      <c r="K51" s="2" t="s">
        <v>100</v>
      </c>
    </row>
    <row r="52" spans="1:11" x14ac:dyDescent="0.25">
      <c r="A52" s="2">
        <v>40</v>
      </c>
      <c r="B52" s="2" t="s">
        <v>17</v>
      </c>
      <c r="C52" s="2">
        <v>4</v>
      </c>
      <c r="D52" s="2" t="s">
        <v>101</v>
      </c>
      <c r="E52" s="2" t="s">
        <v>102</v>
      </c>
      <c r="F52" s="2">
        <v>150589</v>
      </c>
      <c r="G52" s="2" t="s">
        <v>103</v>
      </c>
      <c r="H52" s="2" t="s">
        <v>104</v>
      </c>
      <c r="I52" s="2" t="s">
        <v>105</v>
      </c>
      <c r="J52" s="2">
        <v>343224</v>
      </c>
      <c r="K52" s="2" t="s">
        <v>106</v>
      </c>
    </row>
    <row r="53" spans="1:11" x14ac:dyDescent="0.25">
      <c r="A53" s="2">
        <v>50</v>
      </c>
      <c r="B53" s="2" t="s">
        <v>17</v>
      </c>
      <c r="C53" s="2">
        <v>4</v>
      </c>
      <c r="D53" s="2" t="s">
        <v>107</v>
      </c>
      <c r="E53" s="2" t="s">
        <v>108</v>
      </c>
      <c r="F53" s="2">
        <v>556314</v>
      </c>
      <c r="G53" s="2" t="s">
        <v>109</v>
      </c>
      <c r="H53" s="2" t="s">
        <v>110</v>
      </c>
      <c r="I53" s="2">
        <v>2.4375</v>
      </c>
      <c r="J53" s="2" t="s">
        <v>111</v>
      </c>
      <c r="K53" s="2">
        <v>4.6348000000000003</v>
      </c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8" spans="1:11" x14ac:dyDescent="0.25">
      <c r="D58" s="2" t="s">
        <v>62</v>
      </c>
      <c r="E58" t="s">
        <v>29</v>
      </c>
      <c r="F58" t="s">
        <v>28</v>
      </c>
    </row>
    <row r="59" spans="1:11" x14ac:dyDescent="0.25">
      <c r="D59" s="2">
        <v>10</v>
      </c>
      <c r="E59" s="2">
        <f>10^(-5) *3.05068</f>
        <v>3.0506800000000001E-5</v>
      </c>
      <c r="F59" s="2">
        <f>10^(-5) *0.579151</f>
        <v>5.7915100000000002E-6</v>
      </c>
    </row>
    <row r="60" spans="1:11" x14ac:dyDescent="0.25">
      <c r="D60" s="2">
        <v>20</v>
      </c>
      <c r="E60" s="2">
        <f>10^(-5) *3.7614</f>
        <v>3.7614000000000003E-5</v>
      </c>
      <c r="F60" s="2">
        <f>10^(-5) *6.14488</f>
        <v>6.14488E-5</v>
      </c>
    </row>
    <row r="61" spans="1:11" x14ac:dyDescent="0.25">
      <c r="D61" s="2">
        <v>30</v>
      </c>
      <c r="E61" s="2">
        <f>10^(-5) *4.5699</f>
        <v>4.5698999999999997E-5</v>
      </c>
      <c r="F61" s="2">
        <f>10^(-5) *2.50125</f>
        <v>2.5012500000000005E-5</v>
      </c>
    </row>
    <row r="62" spans="1:11" x14ac:dyDescent="0.25">
      <c r="D62" s="2">
        <v>40</v>
      </c>
      <c r="E62" s="2">
        <f>10^(-5) *2.46718</f>
        <v>2.46718E-5</v>
      </c>
      <c r="F62" s="2">
        <f>10^(-5) *19.8324</f>
        <v>1.9832400000000002E-4</v>
      </c>
    </row>
    <row r="63" spans="1:11" x14ac:dyDescent="0.25">
      <c r="D63" s="2">
        <v>50</v>
      </c>
      <c r="E63" s="2">
        <f>10^(-5) *8.26374</f>
        <v>8.2637400000000016E-5</v>
      </c>
      <c r="F63" s="2">
        <f>10^(-5) *4.6348</f>
        <v>4.6348000000000004E-5</v>
      </c>
    </row>
    <row r="64" spans="1:11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RAM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2020-11-03T06:20:50Z</dcterms:modified>
</cp:coreProperties>
</file>