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64011"/>
  <bookViews>
    <workbookView xWindow="0" yWindow="0" windowWidth="22260" windowHeight="12645" tabRatio="611" activeTab="1"/>
  </bookViews>
  <sheets>
    <sheet name="Здание 2" sheetId="1" r:id="rId1"/>
    <sheet name="Здание 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2" l="1"/>
  <c r="D67" i="2"/>
  <c r="D71" i="1"/>
  <c r="D70" i="1"/>
  <c r="C68" i="2"/>
  <c r="C67" i="2"/>
  <c r="C71" i="1"/>
  <c r="C70" i="1"/>
  <c r="C56" i="2" l="1"/>
  <c r="C59" i="1"/>
  <c r="J44" i="2"/>
  <c r="I44" i="2"/>
  <c r="H44" i="2"/>
  <c r="G44" i="2"/>
  <c r="F44" i="2"/>
  <c r="E44" i="2"/>
  <c r="D44" i="2"/>
  <c r="C44" i="2"/>
  <c r="B44" i="2"/>
  <c r="C46" i="1"/>
  <c r="D46" i="1"/>
  <c r="E46" i="1"/>
  <c r="F46" i="1"/>
  <c r="G46" i="1"/>
  <c r="H46" i="1"/>
  <c r="I46" i="1"/>
  <c r="J46" i="1"/>
  <c r="K46" i="1"/>
  <c r="B46" i="1"/>
  <c r="H9" i="1"/>
  <c r="J6" i="1"/>
  <c r="H5" i="1"/>
  <c r="L11" i="1"/>
  <c r="B46" i="2" l="1"/>
  <c r="B48" i="1"/>
  <c r="E25" i="2"/>
  <c r="G30" i="1"/>
  <c r="H30" i="1" s="1"/>
  <c r="I30" i="1" s="1"/>
  <c r="G31" i="1"/>
  <c r="H31" i="1" s="1"/>
  <c r="I31" i="1" s="1"/>
  <c r="E11" i="2"/>
  <c r="I29" i="2" s="1"/>
  <c r="G30" i="2"/>
  <c r="H30" i="2" s="1"/>
  <c r="G29" i="2"/>
  <c r="H29" i="2" s="1"/>
  <c r="M3" i="2"/>
  <c r="L16" i="2"/>
  <c r="J3" i="2"/>
  <c r="E27" i="1"/>
  <c r="E12" i="1"/>
  <c r="M17" i="1"/>
  <c r="H3" i="2"/>
  <c r="M24" i="2"/>
  <c r="L24" i="2"/>
  <c r="K24" i="2"/>
  <c r="J24" i="2"/>
  <c r="I24" i="2"/>
  <c r="H24" i="2"/>
  <c r="M23" i="2"/>
  <c r="L23" i="2"/>
  <c r="K23" i="2"/>
  <c r="J23" i="2"/>
  <c r="I23" i="2"/>
  <c r="H23" i="2"/>
  <c r="M22" i="2"/>
  <c r="L22" i="2"/>
  <c r="M9" i="2"/>
  <c r="K9" i="2"/>
  <c r="M8" i="2"/>
  <c r="L8" i="2"/>
  <c r="K8" i="2"/>
  <c r="D8" i="2" s="1"/>
  <c r="K22" i="2"/>
  <c r="H22" i="2"/>
  <c r="J22" i="2"/>
  <c r="I22" i="2"/>
  <c r="N21" i="2"/>
  <c r="M21" i="2"/>
  <c r="L21" i="2"/>
  <c r="K21" i="2"/>
  <c r="J21" i="2"/>
  <c r="I21" i="2"/>
  <c r="H21" i="2"/>
  <c r="O20" i="2"/>
  <c r="N20" i="2"/>
  <c r="M20" i="2"/>
  <c r="L20" i="2"/>
  <c r="K20" i="2"/>
  <c r="J20" i="2"/>
  <c r="I20" i="2"/>
  <c r="H20" i="2"/>
  <c r="P19" i="2"/>
  <c r="O19" i="2"/>
  <c r="N19" i="2"/>
  <c r="M19" i="2"/>
  <c r="L19" i="2"/>
  <c r="D19" i="2" s="1"/>
  <c r="K19" i="2"/>
  <c r="J19" i="2"/>
  <c r="I19" i="2"/>
  <c r="H19" i="2"/>
  <c r="N18" i="2"/>
  <c r="M18" i="2"/>
  <c r="L18" i="2"/>
  <c r="K18" i="2"/>
  <c r="J18" i="2"/>
  <c r="H18" i="2"/>
  <c r="I18" i="2"/>
  <c r="M17" i="2"/>
  <c r="L17" i="2"/>
  <c r="K17" i="2"/>
  <c r="J17" i="2"/>
  <c r="I17" i="2"/>
  <c r="H17" i="2"/>
  <c r="M16" i="2"/>
  <c r="K16" i="2"/>
  <c r="J16" i="2"/>
  <c r="I16" i="2"/>
  <c r="H16" i="2"/>
  <c r="M15" i="2"/>
  <c r="L15" i="2"/>
  <c r="K15" i="2"/>
  <c r="J15" i="2"/>
  <c r="I15" i="2"/>
  <c r="H15" i="2"/>
  <c r="M10" i="2"/>
  <c r="L10" i="2"/>
  <c r="K10" i="2"/>
  <c r="J10" i="2"/>
  <c r="I10" i="2"/>
  <c r="H10" i="2"/>
  <c r="L9" i="2"/>
  <c r="J9" i="2"/>
  <c r="D9" i="2" s="1"/>
  <c r="I9" i="2"/>
  <c r="H9" i="2"/>
  <c r="J8" i="2"/>
  <c r="I8" i="2"/>
  <c r="H8" i="2"/>
  <c r="N7" i="2"/>
  <c r="M7" i="2"/>
  <c r="L7" i="2"/>
  <c r="K7" i="2"/>
  <c r="J7" i="2"/>
  <c r="I7" i="2"/>
  <c r="H7" i="2"/>
  <c r="D7" i="2" s="1"/>
  <c r="N6" i="2"/>
  <c r="M6" i="2"/>
  <c r="L6" i="2"/>
  <c r="K6" i="2"/>
  <c r="J6" i="2"/>
  <c r="I6" i="2"/>
  <c r="H6" i="2"/>
  <c r="R5" i="2"/>
  <c r="Q5" i="2"/>
  <c r="P5" i="2"/>
  <c r="O5" i="2"/>
  <c r="N5" i="2"/>
  <c r="M5" i="2"/>
  <c r="L5" i="2"/>
  <c r="K5" i="2"/>
  <c r="J5" i="2"/>
  <c r="I5" i="2"/>
  <c r="H5" i="2"/>
  <c r="N4" i="2"/>
  <c r="M4" i="2"/>
  <c r="L4" i="2"/>
  <c r="K4" i="2"/>
  <c r="J4" i="2"/>
  <c r="I4" i="2"/>
  <c r="H4" i="2"/>
  <c r="N3" i="2"/>
  <c r="L3" i="2"/>
  <c r="K3" i="2"/>
  <c r="I3" i="2"/>
  <c r="C24" i="2"/>
  <c r="C23" i="2"/>
  <c r="C22" i="2"/>
  <c r="C21" i="2"/>
  <c r="C20" i="2"/>
  <c r="C19" i="2"/>
  <c r="C18" i="2"/>
  <c r="C17" i="2"/>
  <c r="C16" i="2"/>
  <c r="C15" i="2"/>
  <c r="C10" i="2"/>
  <c r="C9" i="2"/>
  <c r="C8" i="2"/>
  <c r="C7" i="2"/>
  <c r="C6" i="2"/>
  <c r="C5" i="2"/>
  <c r="C4" i="2"/>
  <c r="C3" i="2"/>
  <c r="D2" i="2"/>
  <c r="C2" i="2"/>
  <c r="M23" i="1"/>
  <c r="L23" i="1"/>
  <c r="K23" i="1"/>
  <c r="J23" i="1"/>
  <c r="I23" i="1"/>
  <c r="H23" i="1"/>
  <c r="D23" i="1" s="1"/>
  <c r="K22" i="1"/>
  <c r="L22" i="1"/>
  <c r="J22" i="1"/>
  <c r="I22" i="1"/>
  <c r="H22" i="1"/>
  <c r="Q21" i="1"/>
  <c r="P21" i="1"/>
  <c r="O21" i="1"/>
  <c r="N21" i="1"/>
  <c r="M21" i="1"/>
  <c r="L21" i="1"/>
  <c r="K21" i="1"/>
  <c r="J21" i="1"/>
  <c r="I21" i="1"/>
  <c r="H21" i="1"/>
  <c r="L20" i="1"/>
  <c r="K20" i="1"/>
  <c r="J20" i="1"/>
  <c r="L19" i="1"/>
  <c r="I20" i="1"/>
  <c r="H20" i="1"/>
  <c r="M19" i="1"/>
  <c r="K19" i="1"/>
  <c r="J19" i="1"/>
  <c r="I19" i="1"/>
  <c r="H19" i="1"/>
  <c r="D19" i="1" s="1"/>
  <c r="M18" i="1"/>
  <c r="L18" i="1"/>
  <c r="K18" i="1"/>
  <c r="J18" i="1"/>
  <c r="I18" i="1"/>
  <c r="H18" i="1"/>
  <c r="D18" i="1" s="1"/>
  <c r="H25" i="1"/>
  <c r="D25" i="1" s="1"/>
  <c r="I25" i="1"/>
  <c r="J25" i="1"/>
  <c r="K17" i="1"/>
  <c r="L17" i="1"/>
  <c r="J26" i="1"/>
  <c r="I26" i="1"/>
  <c r="H26" i="1"/>
  <c r="M25" i="1"/>
  <c r="L25" i="1"/>
  <c r="K25" i="1"/>
  <c r="J17" i="1"/>
  <c r="I17" i="1"/>
  <c r="H17" i="1"/>
  <c r="N16" i="1"/>
  <c r="M16" i="1"/>
  <c r="L16" i="1"/>
  <c r="N26" i="1"/>
  <c r="M26" i="1"/>
  <c r="L26" i="1"/>
  <c r="K26" i="1"/>
  <c r="K16" i="1"/>
  <c r="J16" i="1"/>
  <c r="I16" i="1"/>
  <c r="H16" i="1"/>
  <c r="N24" i="1"/>
  <c r="M24" i="1"/>
  <c r="L24" i="1"/>
  <c r="K24" i="1"/>
  <c r="J24" i="1"/>
  <c r="I24" i="1"/>
  <c r="H24" i="1"/>
  <c r="C26" i="1"/>
  <c r="C25" i="1"/>
  <c r="C24" i="1"/>
  <c r="C23" i="1"/>
  <c r="C22" i="1"/>
  <c r="C21" i="1"/>
  <c r="C20" i="1"/>
  <c r="C19" i="1"/>
  <c r="C18" i="1"/>
  <c r="C17" i="1"/>
  <c r="C16" i="1"/>
  <c r="C3" i="1"/>
  <c r="C4" i="1"/>
  <c r="C5" i="1"/>
  <c r="C6" i="1"/>
  <c r="C7" i="1"/>
  <c r="C8" i="1"/>
  <c r="C9" i="1"/>
  <c r="C10" i="1"/>
  <c r="B10" i="1" s="1"/>
  <c r="C11" i="1"/>
  <c r="C2" i="1"/>
  <c r="D10" i="1"/>
  <c r="M9" i="1"/>
  <c r="L9" i="1"/>
  <c r="K9" i="1"/>
  <c r="J9" i="1"/>
  <c r="D9" i="1"/>
  <c r="I9" i="1"/>
  <c r="L8" i="1"/>
  <c r="K8" i="1"/>
  <c r="J8" i="1"/>
  <c r="I8" i="1"/>
  <c r="H8" i="1"/>
  <c r="Q7" i="1"/>
  <c r="P7" i="1"/>
  <c r="O7" i="1"/>
  <c r="N7" i="1"/>
  <c r="M7" i="1"/>
  <c r="L7" i="1"/>
  <c r="K7" i="1"/>
  <c r="J7" i="1"/>
  <c r="I7" i="1"/>
  <c r="H7" i="1"/>
  <c r="L6" i="1"/>
  <c r="K6" i="1"/>
  <c r="I6" i="1"/>
  <c r="H6" i="1"/>
  <c r="M5" i="1"/>
  <c r="L5" i="1"/>
  <c r="I5" i="1"/>
  <c r="D5" i="1" s="1"/>
  <c r="J5" i="1"/>
  <c r="K5" i="1"/>
  <c r="N4" i="1"/>
  <c r="M4" i="1"/>
  <c r="L4" i="1"/>
  <c r="K4" i="1"/>
  <c r="J4" i="1"/>
  <c r="I4" i="1"/>
  <c r="H4" i="1"/>
  <c r="M3" i="1"/>
  <c r="L3" i="1"/>
  <c r="K3" i="1"/>
  <c r="J3" i="1"/>
  <c r="I3" i="1"/>
  <c r="H3" i="1"/>
  <c r="N2" i="1"/>
  <c r="M2" i="1"/>
  <c r="L2" i="1"/>
  <c r="Q11" i="1"/>
  <c r="P11" i="1"/>
  <c r="O11" i="1"/>
  <c r="N11" i="1"/>
  <c r="M11" i="1"/>
  <c r="K11" i="1"/>
  <c r="J11" i="1"/>
  <c r="I11" i="1"/>
  <c r="H11" i="1"/>
  <c r="K2" i="1"/>
  <c r="J2" i="1"/>
  <c r="I2" i="1"/>
  <c r="H2" i="1"/>
  <c r="D16" i="2" l="1"/>
  <c r="D20" i="2"/>
  <c r="D17" i="2"/>
  <c r="D23" i="2"/>
  <c r="B23" i="2" s="1"/>
  <c r="D3" i="2"/>
  <c r="D15" i="2"/>
  <c r="D22" i="2"/>
  <c r="D4" i="2"/>
  <c r="B4" i="2" s="1"/>
  <c r="D4" i="1"/>
  <c r="D6" i="1"/>
  <c r="D24" i="1"/>
  <c r="D20" i="1"/>
  <c r="D22" i="1"/>
  <c r="B19" i="1"/>
  <c r="D6" i="2"/>
  <c r="D18" i="2"/>
  <c r="B5" i="1"/>
  <c r="D2" i="1"/>
  <c r="B2" i="1" s="1"/>
  <c r="D21" i="1"/>
  <c r="B21" i="1" s="1"/>
  <c r="B4" i="1"/>
  <c r="D8" i="1"/>
  <c r="D11" i="1"/>
  <c r="D7" i="1"/>
  <c r="D17" i="1"/>
  <c r="B17" i="1" s="1"/>
  <c r="B8" i="1"/>
  <c r="D3" i="1"/>
  <c r="B3" i="1" s="1"/>
  <c r="B9" i="1"/>
  <c r="B11" i="1"/>
  <c r="D24" i="2"/>
  <c r="B24" i="2" s="1"/>
  <c r="D21" i="2"/>
  <c r="B21" i="2" s="1"/>
  <c r="B18" i="2"/>
  <c r="D10" i="2"/>
  <c r="B10" i="2" s="1"/>
  <c r="B6" i="2"/>
  <c r="D5" i="2"/>
  <c r="B5" i="2" s="1"/>
  <c r="B22" i="2"/>
  <c r="B19" i="2"/>
  <c r="B8" i="2"/>
  <c r="B2" i="2"/>
  <c r="B20" i="2"/>
  <c r="B17" i="2"/>
  <c r="B9" i="2"/>
  <c r="B15" i="2"/>
  <c r="B16" i="2"/>
  <c r="B3" i="2"/>
  <c r="B7" i="2"/>
  <c r="B23" i="1"/>
  <c r="B22" i="1"/>
  <c r="B18" i="1"/>
  <c r="D26" i="1"/>
  <c r="B26" i="1" s="1"/>
  <c r="D16" i="1"/>
  <c r="B16" i="1" s="1"/>
  <c r="B24" i="1"/>
  <c r="B25" i="1"/>
  <c r="B20" i="1"/>
  <c r="B6" i="1"/>
  <c r="B7" i="1"/>
  <c r="B11" i="2" l="1"/>
  <c r="B27" i="1"/>
  <c r="B12" i="1"/>
  <c r="B35" i="1" s="1"/>
  <c r="B25" i="2"/>
  <c r="I30" i="2"/>
  <c r="B33" i="2" l="1"/>
</calcChain>
</file>

<file path=xl/sharedStrings.xml><?xml version="1.0" encoding="utf-8"?>
<sst xmlns="http://schemas.openxmlformats.org/spreadsheetml/2006/main" count="110" uniqueCount="37">
  <si>
    <t>к1</t>
  </si>
  <si>
    <t>к2</t>
  </si>
  <si>
    <t>к3</t>
  </si>
  <si>
    <t>к4</t>
  </si>
  <si>
    <t>к5</t>
  </si>
  <si>
    <t>к6</t>
  </si>
  <si>
    <t>к7</t>
  </si>
  <si>
    <t>к8</t>
  </si>
  <si>
    <t>к9</t>
  </si>
  <si>
    <t>к10</t>
  </si>
  <si>
    <t>к11</t>
  </si>
  <si>
    <t>Комнаты / розетки</t>
  </si>
  <si>
    <t>Подъём из серверной</t>
  </si>
  <si>
    <t>Вертикальный спуск</t>
  </si>
  <si>
    <t>Подъёмы для всех кабелей</t>
  </si>
  <si>
    <t>Количество розеток</t>
  </si>
  <si>
    <t>Итоговая сумма</t>
  </si>
  <si>
    <t>Длина всех кабелей</t>
  </si>
  <si>
    <t>Этаж 1</t>
  </si>
  <si>
    <t>Этаж 2</t>
  </si>
  <si>
    <t>Lmax</t>
  </si>
  <si>
    <t>Lmin</t>
  </si>
  <si>
    <t>X</t>
  </si>
  <si>
    <t>Lav</t>
  </si>
  <si>
    <t>Ncr</t>
  </si>
  <si>
    <t>Lc</t>
  </si>
  <si>
    <t>Всего на здание</t>
  </si>
  <si>
    <t>Коробы</t>
  </si>
  <si>
    <t>Итог</t>
  </si>
  <si>
    <t>1 этаж</t>
  </si>
  <si>
    <t>2 этаж</t>
  </si>
  <si>
    <t>Лотки</t>
  </si>
  <si>
    <t>Итого</t>
  </si>
  <si>
    <t>7 т-образных поворотов</t>
  </si>
  <si>
    <t>14 Т-образных лотков</t>
  </si>
  <si>
    <t>комутаторы</t>
  </si>
  <si>
    <t xml:space="preserve">1 этаж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</si>
</sst>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A25" zoomScale="85" zoomScaleNormal="85" workbookViewId="0">
      <selection activeCell="D71" sqref="D71"/>
    </sheetView>
  </sheetViews>
  <sheetFormatPr defaultRowHeight="15" x14ac:dyDescent="0.25"/>
  <cols>
    <col min="2" max="2" width="10.85546875" customWidth="1"/>
    <col min="3" max="3" width="16.5703125" customWidth="1"/>
    <col min="4" max="4" width="13.7109375" customWidth="1"/>
    <col min="5" max="5" width="11.7109375" customWidth="1"/>
    <col min="6" max="6" width="17.42578125" customWidth="1"/>
  </cols>
  <sheetData>
    <row r="1" spans="1:17" ht="34.5" customHeight="1" x14ac:dyDescent="0.25">
      <c r="A1" t="s">
        <v>18</v>
      </c>
      <c r="B1" s="4" t="s">
        <v>16</v>
      </c>
      <c r="C1" s="4" t="s">
        <v>14</v>
      </c>
      <c r="D1" s="4" t="s">
        <v>17</v>
      </c>
      <c r="E1" s="4" t="s">
        <v>15</v>
      </c>
      <c r="G1" t="s">
        <v>11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</row>
    <row r="2" spans="1:17" x14ac:dyDescent="0.25">
      <c r="A2" s="2"/>
      <c r="B2" s="1">
        <f>C2+D2</f>
        <v>404.47</v>
      </c>
      <c r="C2">
        <f t="shared" ref="C2:C11" si="0" xml:space="preserve"> ($B$30+$C$30)*1.1*E2</f>
        <v>80.080000000000013</v>
      </c>
      <c r="D2" s="1">
        <f t="shared" ref="D2:D11" si="1">SUM(H2:Q2)*1.1*2</f>
        <v>324.39</v>
      </c>
      <c r="E2">
        <v>14</v>
      </c>
      <c r="G2" s="3" t="s">
        <v>0</v>
      </c>
      <c r="H2" s="1">
        <f>3.6+1.3+4.6+3.6+2.3+1.3+2.3+4.65</f>
        <v>23.65</v>
      </c>
      <c r="I2" s="1">
        <f>3.6+1.3+4.6+3.6+2.3+1.3+2.3+3.1</f>
        <v>22.1</v>
      </c>
      <c r="J2" s="1">
        <f>3.6+1.3+4.6+3.6+2.3+1.3+2.3+1.55</f>
        <v>20.55</v>
      </c>
      <c r="K2">
        <f>3.6+1.3+4.6+3.6+2.3+1.3+1.15</f>
        <v>17.849999999999998</v>
      </c>
      <c r="L2" s="1">
        <f>3.6+1.3+4.6+3.6+2.3+1.3+1.3+1.55</f>
        <v>19.55</v>
      </c>
      <c r="M2" s="1">
        <f>3.6+1.3+4.6+3.6+2.3+1.3+1.3+3.1</f>
        <v>21.1</v>
      </c>
      <c r="N2" s="1">
        <f>3.6+1.3+4.6+3.6+2.3+1.3+1.3+4.65</f>
        <v>22.65</v>
      </c>
      <c r="O2" s="1"/>
      <c r="P2" s="1"/>
      <c r="Q2" s="1"/>
    </row>
    <row r="3" spans="1:17" x14ac:dyDescent="0.25">
      <c r="A3" s="2"/>
      <c r="B3" s="1">
        <f t="shared" ref="B3:B11" si="2">C3+D3</f>
        <v>283.58000000000004</v>
      </c>
      <c r="C3">
        <f t="shared" si="0"/>
        <v>68.640000000000015</v>
      </c>
      <c r="D3" s="1">
        <f t="shared" si="1"/>
        <v>214.94000000000003</v>
      </c>
      <c r="E3">
        <v>12</v>
      </c>
      <c r="G3" s="3" t="s">
        <v>1</v>
      </c>
      <c r="H3" s="1">
        <f>3.6+1.3+4.6+3.6+1.3+1.55*3</f>
        <v>19.05</v>
      </c>
      <c r="I3" s="1">
        <f>3.6+1.3+4.6+3.6+2.3+1.55*2</f>
        <v>18.5</v>
      </c>
      <c r="J3" s="1">
        <f>3.6+1.3+4.6+3.6+2.3+1.55*1</f>
        <v>16.95</v>
      </c>
      <c r="K3" s="1">
        <f>3.6+1.3+4.6+0.25+1.3+0.25+1.55*1</f>
        <v>12.850000000000001</v>
      </c>
      <c r="L3" s="1">
        <f>3.6+1.3+4.6+0.25+1.3+0.25+1.55*2</f>
        <v>14.4</v>
      </c>
      <c r="M3" s="1">
        <f>3.6+1.3+4.6+0.25+1.3+0.25+1.55*3</f>
        <v>15.950000000000001</v>
      </c>
      <c r="N3" s="1"/>
      <c r="O3" s="1"/>
      <c r="P3" s="1"/>
      <c r="Q3" s="1"/>
    </row>
    <row r="4" spans="1:17" x14ac:dyDescent="0.25">
      <c r="A4" s="2"/>
      <c r="B4" s="1">
        <f t="shared" si="2"/>
        <v>265.64999999999998</v>
      </c>
      <c r="C4">
        <f t="shared" si="0"/>
        <v>80.080000000000013</v>
      </c>
      <c r="D4" s="1">
        <f t="shared" si="1"/>
        <v>185.57</v>
      </c>
      <c r="E4">
        <v>14</v>
      </c>
      <c r="G4" s="3" t="s">
        <v>2</v>
      </c>
      <c r="H4" s="1">
        <f>3.6+1.3+4.6+0.25+1.3+0.35+1.55*3</f>
        <v>16.05</v>
      </c>
      <c r="I4" s="1">
        <f>3.6+1.3+4.6+0.25+1.3+0.35+1.55*2</f>
        <v>14.5</v>
      </c>
      <c r="J4" s="1">
        <f>3.6+1.3+4.6+0.25+1.3+0.35+1.55*1</f>
        <v>12.950000000000001</v>
      </c>
      <c r="K4" s="1">
        <f>3.6+1.3+4.6+0.25+1.3+0.35+1.55</f>
        <v>12.950000000000001</v>
      </c>
      <c r="L4" s="1">
        <f>3.6+2.6+1.55*1</f>
        <v>7.75</v>
      </c>
      <c r="M4" s="1">
        <f>3.6+2.6+1.55*2</f>
        <v>9.3000000000000007</v>
      </c>
      <c r="N4" s="1">
        <f>3.6+2.6+1.55*3</f>
        <v>10.850000000000001</v>
      </c>
      <c r="O4" s="1"/>
      <c r="P4" s="1"/>
      <c r="Q4" s="1"/>
    </row>
    <row r="5" spans="1:17" x14ac:dyDescent="0.25">
      <c r="A5" s="2"/>
      <c r="B5" s="1">
        <f t="shared" si="2"/>
        <v>300.32200000000006</v>
      </c>
      <c r="C5">
        <f t="shared" si="0"/>
        <v>68.640000000000015</v>
      </c>
      <c r="D5" s="1">
        <f t="shared" si="1"/>
        <v>231.68200000000004</v>
      </c>
      <c r="E5">
        <v>12</v>
      </c>
      <c r="G5" s="3" t="s">
        <v>3</v>
      </c>
      <c r="H5" s="1">
        <f>3.6+1.3+4.2+3.3+4.2+1.55*3</f>
        <v>21.25</v>
      </c>
      <c r="I5" s="1">
        <f>3.6+1.3+4.2+3.3+4.2+1.55*2</f>
        <v>19.700000000000003</v>
      </c>
      <c r="J5" s="1">
        <f>3.6+1.3+4.2+3.3+4.2+1.55*1</f>
        <v>18.150000000000002</v>
      </c>
      <c r="K5" s="1">
        <f>3.6+1.3+4.2+3.3+2.8</f>
        <v>15.200000000000003</v>
      </c>
      <c r="L5" s="1">
        <f>3.6+1.3+4.2+3.3+2.07*1</f>
        <v>14.470000000000002</v>
      </c>
      <c r="M5" s="1">
        <f>3.6+1.3+4.2+3.3+2.07*2</f>
        <v>16.540000000000003</v>
      </c>
      <c r="N5" s="1"/>
      <c r="O5" s="1"/>
      <c r="P5" s="1"/>
      <c r="Q5" s="1"/>
    </row>
    <row r="6" spans="1:17" x14ac:dyDescent="0.25">
      <c r="A6" s="2"/>
      <c r="B6" s="1">
        <f t="shared" si="2"/>
        <v>230.62600000000003</v>
      </c>
      <c r="C6">
        <f t="shared" si="0"/>
        <v>57.2</v>
      </c>
      <c r="D6" s="1">
        <f t="shared" si="1"/>
        <v>173.42600000000004</v>
      </c>
      <c r="E6">
        <v>10</v>
      </c>
      <c r="G6" s="3" t="s">
        <v>4</v>
      </c>
      <c r="H6" s="1">
        <f>3.6+1.3+4.2+3.3+2.07*2</f>
        <v>16.540000000000003</v>
      </c>
      <c r="I6" s="1">
        <f>3.6+1.3+4.2+3.3+2.07*1</f>
        <v>14.470000000000002</v>
      </c>
      <c r="J6" s="1">
        <f>3.6+1.3+4.2+3.3+0.5+1.52*1</f>
        <v>14.420000000000002</v>
      </c>
      <c r="K6" s="1">
        <f>3.6+1.3+4.2+3.3+0.5+1.52*2</f>
        <v>15.940000000000001</v>
      </c>
      <c r="L6" s="1">
        <f>3.6+1.3+4.2+3.3+0.5+1.52*3</f>
        <v>17.46</v>
      </c>
      <c r="M6" s="1"/>
      <c r="N6" s="1"/>
      <c r="O6" s="1"/>
      <c r="P6" s="1"/>
      <c r="Q6" s="1"/>
    </row>
    <row r="7" spans="1:17" x14ac:dyDescent="0.25">
      <c r="A7" s="2"/>
      <c r="B7" s="1">
        <f t="shared" si="2"/>
        <v>446.6880000000001</v>
      </c>
      <c r="C7">
        <f t="shared" si="0"/>
        <v>114.4</v>
      </c>
      <c r="D7" s="1">
        <f t="shared" si="1"/>
        <v>332.28800000000007</v>
      </c>
      <c r="E7">
        <v>20</v>
      </c>
      <c r="G7" s="3" t="s">
        <v>5</v>
      </c>
      <c r="H7" s="1">
        <f>3.6+1.3+4.2+3.3+1.22*4</f>
        <v>17.28</v>
      </c>
      <c r="I7" s="1">
        <f>3.6+1.3+4.2+3.3+1.22*3</f>
        <v>16.060000000000002</v>
      </c>
      <c r="J7" s="1">
        <f>3.6+1.3+4.2+3.3+1.22*2</f>
        <v>14.840000000000002</v>
      </c>
      <c r="K7" s="1">
        <f>3.6+1.3+4.2+3.3+1.22*1</f>
        <v>13.620000000000003</v>
      </c>
      <c r="L7" s="1">
        <f>3.6+1.3+4.2+3.3+1.32</f>
        <v>13.720000000000002</v>
      </c>
      <c r="M7" s="1">
        <f>3.6+1.3+4.2+3.3+1.32</f>
        <v>13.720000000000002</v>
      </c>
      <c r="N7" s="1">
        <f>3.6+1.3+4.2+3.3+1.22*1</f>
        <v>13.620000000000003</v>
      </c>
      <c r="O7" s="1">
        <f>3.6+1.3+4.2+3.3+1.22*2</f>
        <v>14.840000000000002</v>
      </c>
      <c r="P7" s="1">
        <f>3.6+1.3+4.2+3.3+1.22*3</f>
        <v>16.060000000000002</v>
      </c>
      <c r="Q7" s="1">
        <f>3.6+1.3+4.2+3.3+1.22*4</f>
        <v>17.28</v>
      </c>
    </row>
    <row r="8" spans="1:17" x14ac:dyDescent="0.25">
      <c r="A8" s="2"/>
      <c r="B8" s="1">
        <f t="shared" si="2"/>
        <v>230.62600000000003</v>
      </c>
      <c r="C8">
        <f t="shared" si="0"/>
        <v>57.2</v>
      </c>
      <c r="D8" s="1">
        <f t="shared" si="1"/>
        <v>173.42600000000004</v>
      </c>
      <c r="E8">
        <v>10</v>
      </c>
      <c r="G8" s="3" t="s">
        <v>6</v>
      </c>
      <c r="H8" s="1">
        <f>3.6+1.3+4.2+3.3+0.5+1.52*3</f>
        <v>17.46</v>
      </c>
      <c r="I8" s="1">
        <f>3.6+1.3+4.2+3.3+0.5+1.52*2</f>
        <v>15.940000000000001</v>
      </c>
      <c r="J8" s="1">
        <f>3.6+1.3+4.2+3.3+0.5+1.52*1</f>
        <v>14.420000000000002</v>
      </c>
      <c r="K8" s="1">
        <f>3.6+1.3+4.2+3.3+2.07*1</f>
        <v>14.470000000000002</v>
      </c>
      <c r="L8" s="1">
        <f>3.6+1.3+4.2+3.3+2.07*2</f>
        <v>16.540000000000003</v>
      </c>
      <c r="M8" s="1"/>
      <c r="N8" s="1"/>
      <c r="O8" s="1"/>
      <c r="P8" s="1"/>
      <c r="Q8" s="1"/>
    </row>
    <row r="9" spans="1:17" x14ac:dyDescent="0.25">
      <c r="A9" s="2"/>
      <c r="B9" s="1">
        <f t="shared" si="2"/>
        <v>157.98200000000003</v>
      </c>
      <c r="C9">
        <f t="shared" si="0"/>
        <v>68.640000000000015</v>
      </c>
      <c r="D9" s="1">
        <f t="shared" si="1"/>
        <v>89.342000000000027</v>
      </c>
      <c r="E9">
        <v>12</v>
      </c>
      <c r="G9" s="3" t="s">
        <v>7</v>
      </c>
      <c r="H9" s="1">
        <f>3.6+1.3+4.2+3.3+2.07*2</f>
        <v>16.540000000000003</v>
      </c>
      <c r="I9" s="1">
        <f>3.6+1.3+4.2+3.3+2.07*1</f>
        <v>14.470000000000002</v>
      </c>
      <c r="J9" s="1">
        <f>0.5+1.55+1.4</f>
        <v>3.4499999999999997</v>
      </c>
      <c r="K9" s="1">
        <f>0.5</f>
        <v>0.5</v>
      </c>
      <c r="L9" s="1">
        <f>0.5+1.55*1</f>
        <v>2.0499999999999998</v>
      </c>
      <c r="M9" s="1">
        <f>0.5+1.55*2</f>
        <v>3.6</v>
      </c>
      <c r="N9" s="1"/>
      <c r="O9" s="1"/>
      <c r="P9" s="1"/>
      <c r="Q9" s="1"/>
    </row>
    <row r="10" spans="1:17" x14ac:dyDescent="0.25">
      <c r="A10" s="2"/>
      <c r="B10" s="1">
        <f t="shared" si="2"/>
        <v>0</v>
      </c>
      <c r="C10">
        <f t="shared" si="0"/>
        <v>0</v>
      </c>
      <c r="D10" s="1">
        <f t="shared" si="1"/>
        <v>0</v>
      </c>
      <c r="E10">
        <v>0</v>
      </c>
      <c r="G10" s="3" t="s">
        <v>8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2"/>
      <c r="B11" s="1">
        <f t="shared" si="2"/>
        <v>546.48</v>
      </c>
      <c r="C11">
        <f t="shared" si="0"/>
        <v>114.4</v>
      </c>
      <c r="D11" s="1">
        <f t="shared" si="1"/>
        <v>432.08</v>
      </c>
      <c r="E11">
        <v>20</v>
      </c>
      <c r="G11" s="3" t="s">
        <v>9</v>
      </c>
      <c r="H11" s="1">
        <f>3.6+1.3+4.6+3.6+1.3+1.15+1.24*4</f>
        <v>20.51</v>
      </c>
      <c r="I11" s="1">
        <f>3.6+1.3+4.6+3.6+1.3+1.15+1.24*3</f>
        <v>19.27</v>
      </c>
      <c r="J11" s="1">
        <f>3.6+1.3+4.6+3.6+1.3+1.15+1.24*2</f>
        <v>18.03</v>
      </c>
      <c r="K11" s="1">
        <f>3.6+1.3+4.6+3.6+1.3+1.15+1.24</f>
        <v>16.79</v>
      </c>
      <c r="L11" s="1">
        <f>3.6+1.3+4.6+3.6+1.3+1.15</f>
        <v>15.55</v>
      </c>
      <c r="M11" s="1">
        <f>3.6+1.3+4.6+3.6+2.3+1.3+1.15</f>
        <v>17.849999999999998</v>
      </c>
      <c r="N11" s="1">
        <f>3.6+1.3+4.6+3.6+2.3+1.3+2.3+1.24</f>
        <v>20.239999999999998</v>
      </c>
      <c r="O11" s="1">
        <f>3.6+1.3+4.6+3.6+2.3+1.3+2.3+1.24*2</f>
        <v>21.48</v>
      </c>
      <c r="P11" s="1">
        <f>3.6+1.3+4.6+3.6+2.3+1.3+2.3+1.24*3</f>
        <v>22.72</v>
      </c>
      <c r="Q11" s="1">
        <f>3.6+1.3+4.6+3.6+2.3+1.3+2.3+1.24*4</f>
        <v>23.96</v>
      </c>
    </row>
    <row r="12" spans="1:17" x14ac:dyDescent="0.25">
      <c r="A12" s="2"/>
      <c r="B12" s="1">
        <f>SUM(B2:B11)</f>
        <v>2866.4240000000004</v>
      </c>
      <c r="C12" s="2"/>
      <c r="D12" s="1"/>
      <c r="E12" s="1">
        <f>SUM(E2:E11)</f>
        <v>124</v>
      </c>
      <c r="F12" s="1"/>
      <c r="G12" s="1"/>
      <c r="H12" s="1"/>
      <c r="I12" s="1"/>
      <c r="J12" s="1"/>
      <c r="K12" s="1"/>
      <c r="L12" s="1"/>
      <c r="M12" s="1"/>
    </row>
    <row r="13" spans="1:17" x14ac:dyDescent="0.25">
      <c r="A13" s="2"/>
      <c r="B13" s="2"/>
      <c r="C13" s="2"/>
    </row>
    <row r="15" spans="1:17" ht="30" x14ac:dyDescent="0.25">
      <c r="A15" t="s">
        <v>19</v>
      </c>
      <c r="B15" s="4" t="s">
        <v>16</v>
      </c>
      <c r="C15" s="4" t="s">
        <v>14</v>
      </c>
      <c r="D15" s="4" t="s">
        <v>17</v>
      </c>
      <c r="E15" s="4" t="s">
        <v>15</v>
      </c>
      <c r="G15" t="s">
        <v>11</v>
      </c>
      <c r="H15">
        <v>1</v>
      </c>
      <c r="I15">
        <v>2</v>
      </c>
      <c r="J15">
        <v>3</v>
      </c>
      <c r="K15">
        <v>4</v>
      </c>
      <c r="L15">
        <v>5</v>
      </c>
      <c r="M15">
        <v>6</v>
      </c>
      <c r="N15">
        <v>7</v>
      </c>
      <c r="O15">
        <v>8</v>
      </c>
      <c r="P15">
        <v>9</v>
      </c>
      <c r="Q15">
        <v>10</v>
      </c>
    </row>
    <row r="16" spans="1:17" x14ac:dyDescent="0.25">
      <c r="B16" s="1">
        <f>C16+D16</f>
        <v>399.30000000000007</v>
      </c>
      <c r="C16">
        <f t="shared" ref="C16:C26" si="3" xml:space="preserve"> ($B$30+$C$30)*1.1*E16</f>
        <v>80.080000000000013</v>
      </c>
      <c r="D16" s="1">
        <f t="shared" ref="D16:D26" si="4">SUM(H16:Q16)*1.1*2</f>
        <v>319.22000000000008</v>
      </c>
      <c r="E16">
        <v>14</v>
      </c>
      <c r="G16" s="3" t="s">
        <v>0</v>
      </c>
      <c r="H16">
        <f>0.5+1.55*3 + 1.53+1.3 + 3.07 + 3.6 +2.3 + 1.3 +2.3 + 1.55*3</f>
        <v>25.200000000000003</v>
      </c>
      <c r="I16">
        <f>0.5+1.55*3 + 1.53+1.3 + 3.07 + 3.6 +2.3 + 1.3 +2.3 + 1.55*2</f>
        <v>23.650000000000002</v>
      </c>
      <c r="J16">
        <f>0.5+1.55*3 + 1.53+1.3 + 3.07 + 3.6 +2.3 + 1.3 +2.3 + 1.55*1</f>
        <v>22.1</v>
      </c>
      <c r="K16">
        <f>0.5+1.55*3 + 1.53+1.3 + 3.07 + 3.6 +2.3 + 1.3 +1.15</f>
        <v>19.399999999999999</v>
      </c>
      <c r="L16">
        <f>0.5+1.55*3 + 1.53+1.3 + 3.07 + 3.6 + 0.5 + 1.55*1</f>
        <v>16.7</v>
      </c>
      <c r="M16">
        <f>0.5+1.55*3 + 1.53+1.3 + 3.07 + 3.6 + 0.5 + 1.55*2</f>
        <v>18.25</v>
      </c>
      <c r="N16">
        <f>0.5+1.55*3 + 1.53+1.3 + 3.07 + 3.6 + 0.5 + 1.55*3</f>
        <v>19.8</v>
      </c>
      <c r="O16" s="1"/>
      <c r="P16" s="1"/>
      <c r="Q16" s="1"/>
    </row>
    <row r="17" spans="2:17" x14ac:dyDescent="0.25">
      <c r="B17" s="1">
        <f t="shared" ref="B17:B26" si="5">C17+D17</f>
        <v>308.22000000000008</v>
      </c>
      <c r="C17">
        <f t="shared" si="3"/>
        <v>68.640000000000015</v>
      </c>
      <c r="D17" s="1">
        <f t="shared" si="4"/>
        <v>239.58000000000007</v>
      </c>
      <c r="E17">
        <v>12</v>
      </c>
      <c r="G17" s="3" t="s">
        <v>1</v>
      </c>
      <c r="H17" s="1">
        <f>0.5+1.55*3 + 1.53+1.3 + 3.07 + 3.6 + 1.3 + 0.25 + 1.55*3</f>
        <v>20.85</v>
      </c>
      <c r="I17" s="1">
        <f>0.5+1.55*3 + 1.53+1.3 + 3.07 + 3.6 + 1.3 + 0.25 + 1.55*2</f>
        <v>19.300000000000004</v>
      </c>
      <c r="J17" s="1">
        <f>0.5+1.55*3 + 1.53+1.3 + 3.07 + 3.6 +1.3 + 0.25 + 1.55*1</f>
        <v>17.750000000000004</v>
      </c>
      <c r="K17" s="1">
        <f>0.5+1.55*3 + 1.53+1.3 + 3.07+1.3+1.55*1</f>
        <v>13.900000000000002</v>
      </c>
      <c r="L17" s="1">
        <f>0.5+1.55*3 + 1.53+1.3 + 3.07+1.3+1.55*2</f>
        <v>15.450000000000001</v>
      </c>
      <c r="M17" s="1">
        <f>0.5+1.55*3 + 1.53+1.3 + 3.07+1.3+1.55*6</f>
        <v>21.650000000000002</v>
      </c>
      <c r="N17" s="1"/>
      <c r="O17" s="1"/>
      <c r="P17" s="1"/>
      <c r="Q17" s="1"/>
    </row>
    <row r="18" spans="2:17" x14ac:dyDescent="0.25">
      <c r="B18" s="1">
        <f t="shared" si="5"/>
        <v>277.15600000000006</v>
      </c>
      <c r="C18">
        <f t="shared" si="3"/>
        <v>80.080000000000013</v>
      </c>
      <c r="D18" s="1">
        <f t="shared" si="4"/>
        <v>197.07600000000005</v>
      </c>
      <c r="E18">
        <v>14</v>
      </c>
      <c r="G18" s="3" t="s">
        <v>2</v>
      </c>
      <c r="H18" s="1">
        <f>0.5+1.55*3 + 1.53+1.3 + 3.07+1.3+0.5+1.55*3</f>
        <v>17.5</v>
      </c>
      <c r="I18" s="1">
        <f>0.5+1.55*3 + 1.53+1.3 + 3.07+1.3+0.5+1.55*2</f>
        <v>15.950000000000001</v>
      </c>
      <c r="J18" s="1">
        <f>0.5+1.55*3 + 1.53+1.3 + 3.07+1.3+0.5+1.55*1</f>
        <v>14.400000000000002</v>
      </c>
      <c r="K18" s="1">
        <f>0.5+1.55*3 + 1.53+1.3 +1.53+1.3+1.55*1</f>
        <v>12.360000000000001</v>
      </c>
      <c r="L18" s="1">
        <f>0.5+1.55*3 + 1.53+1.3 +1.53+1.3+1.55*2</f>
        <v>13.91</v>
      </c>
      <c r="M18" s="1">
        <f>0.5+1.55*3 + 1.53+1.3 +1.53+1.3+1.55*3</f>
        <v>15.46</v>
      </c>
      <c r="N18" s="1"/>
      <c r="O18" s="1"/>
      <c r="P18" s="1"/>
      <c r="Q18" s="1"/>
    </row>
    <row r="19" spans="2:17" x14ac:dyDescent="0.25">
      <c r="B19" s="1">
        <f t="shared" si="5"/>
        <v>361.17400000000009</v>
      </c>
      <c r="C19">
        <f t="shared" si="3"/>
        <v>68.640000000000015</v>
      </c>
      <c r="D19" s="1">
        <f t="shared" si="4"/>
        <v>292.53400000000005</v>
      </c>
      <c r="E19">
        <v>12</v>
      </c>
      <c r="G19" s="3" t="s">
        <v>3</v>
      </c>
      <c r="H19" s="1">
        <f>0.5+1.55*3 + 1.53+1.3 +1.53+4.2+3.3+4.2+1.55*3</f>
        <v>25.86</v>
      </c>
      <c r="I19" s="1">
        <f>0.5+1.55*3 + 1.53+1.3 +1.53+4.2+3.3+4.2+1.55*2</f>
        <v>24.310000000000002</v>
      </c>
      <c r="J19" s="1">
        <f>0.5+1.55*3 + 1.53+1.3 +1.53+4.2+3.3+4.2+1.55*1</f>
        <v>22.76</v>
      </c>
      <c r="K19" s="1">
        <f>0.5+1.55*3 + 1.53+1.3 +1.53+4.2+3.3+2.8</f>
        <v>19.810000000000002</v>
      </c>
      <c r="L19" s="1">
        <f>0.5+1.55*3 + 1.53+1.3 +1.53+4.2+3.3+2.07</f>
        <v>19.080000000000002</v>
      </c>
      <c r="M19" s="1">
        <f>0.5+1.55*3 + 1.53+1.3 +1.53+4.2+3.3+2.07*2</f>
        <v>21.150000000000002</v>
      </c>
      <c r="N19" s="1"/>
      <c r="O19" s="1"/>
      <c r="P19" s="1"/>
      <c r="Q19" s="1"/>
    </row>
    <row r="20" spans="2:17" x14ac:dyDescent="0.25">
      <c r="B20" s="1">
        <f t="shared" si="5"/>
        <v>282.43600000000004</v>
      </c>
      <c r="C20">
        <f t="shared" si="3"/>
        <v>57.2</v>
      </c>
      <c r="D20" s="1">
        <f t="shared" si="4"/>
        <v>225.23600000000002</v>
      </c>
      <c r="E20">
        <v>10</v>
      </c>
      <c r="G20" s="3" t="s">
        <v>4</v>
      </c>
      <c r="H20" s="1">
        <f>0.5+1.55*3 + 1.53+1.3 +1.53+4.2+3.3+2.07+0.25+2.07</f>
        <v>21.400000000000002</v>
      </c>
      <c r="I20" s="1">
        <f>0.5+1.55*3 + 1.53+1.3 +1.53+4.2+3.3+2.07+0.25</f>
        <v>19.330000000000002</v>
      </c>
      <c r="J20" s="1">
        <f>0.5+1.55*3 + 1.53+1.3 +1.53+4.2+3.3+0.5+1.52*1</f>
        <v>19.03</v>
      </c>
      <c r="K20" s="1">
        <f>0.5+1.55*3 + 1.53+1.3 +1.53+4.2+3.3+0.5+1.52*2</f>
        <v>20.55</v>
      </c>
      <c r="L20" s="1">
        <f>0.5+1.55*3 + 1.53+1.3 +1.53+4.2+3.3+0.5+1.52*3</f>
        <v>22.07</v>
      </c>
      <c r="M20" s="1"/>
      <c r="N20" s="1"/>
      <c r="O20" s="1"/>
      <c r="P20" s="1"/>
      <c r="Q20" s="1"/>
    </row>
    <row r="21" spans="2:17" x14ac:dyDescent="0.25">
      <c r="B21" s="1">
        <f t="shared" si="5"/>
        <v>548.10800000000006</v>
      </c>
      <c r="C21">
        <f t="shared" si="3"/>
        <v>114.4</v>
      </c>
      <c r="D21" s="1">
        <f t="shared" si="4"/>
        <v>433.70800000000003</v>
      </c>
      <c r="E21">
        <v>20</v>
      </c>
      <c r="G21" s="3" t="s">
        <v>5</v>
      </c>
      <c r="H21" s="1">
        <f>0.5+1.55*3 + 1.53+1.3 +1.53+4.2+3.3+1.22*4</f>
        <v>21.89</v>
      </c>
      <c r="I21" s="1">
        <f>0.5+1.55*3 + 1.53+1.3 +1.53+4.2+3.3+1.22*3</f>
        <v>20.67</v>
      </c>
      <c r="J21" s="1">
        <f>0.5+1.55*3 + 1.53+1.3 +1.53+4.2+3.3+1.22*2</f>
        <v>19.450000000000003</v>
      </c>
      <c r="K21" s="1">
        <f>0.5+1.55*3 + 1.53+1.3 +1.53+4.2+3.3+1.22*1</f>
        <v>18.23</v>
      </c>
      <c r="L21" s="1">
        <f>0.5+1.55*3 + 1.53+1.3 +1.53+4.2+3.3+1.32</f>
        <v>18.330000000000002</v>
      </c>
      <c r="M21" s="1">
        <f>0.5+1.55*3 + 1.53+1.3 +1.53+4.2+3.3+1.32</f>
        <v>18.330000000000002</v>
      </c>
      <c r="N21" s="1">
        <f>0.5+1.55*3 + 1.53+1.3 +1.53+4.2+3.3+1.22*1</f>
        <v>18.23</v>
      </c>
      <c r="O21" s="1">
        <f>0.5+1.55*3 + 1.53+1.3 +1.53+4.2+3.3+1.22*2</f>
        <v>19.450000000000003</v>
      </c>
      <c r="P21" s="1">
        <f>0.5+1.55*3 + 1.53+1.3 +1.53+4.2+3.3+1.22*3</f>
        <v>20.67</v>
      </c>
      <c r="Q21" s="1">
        <f>0.5+1.55*3 + 1.53+1.3 +1.53+4.2+3.3+1.22*4</f>
        <v>21.89</v>
      </c>
    </row>
    <row r="22" spans="2:17" x14ac:dyDescent="0.25">
      <c r="B22" s="1">
        <f t="shared" si="5"/>
        <v>282.43600000000004</v>
      </c>
      <c r="C22">
        <f t="shared" si="3"/>
        <v>57.2</v>
      </c>
      <c r="D22" s="1">
        <f t="shared" si="4"/>
        <v>225.23600000000005</v>
      </c>
      <c r="E22">
        <v>10</v>
      </c>
      <c r="G22" s="3" t="s">
        <v>6</v>
      </c>
      <c r="H22" s="1">
        <f>0.5+1.55*3 + 1.53+1.3 +1.53+4.2+3.3+0.5+1.52*1</f>
        <v>19.03</v>
      </c>
      <c r="I22" s="1">
        <f>0.5+1.55*3 + 1.53+1.3 +1.53+4.2+3.3+0.5+1.52*2</f>
        <v>20.55</v>
      </c>
      <c r="J22" s="1">
        <f>0.5+1.55*3 + 1.53+1.3 +1.53+4.2+3.3+0.5+1.52*3</f>
        <v>22.07</v>
      </c>
      <c r="K22" s="1">
        <f>0.5+1.55*3 + 1.53+1.3 +1.53+4.2+3.3+2.07+0.25</f>
        <v>19.330000000000002</v>
      </c>
      <c r="L22" s="1">
        <f>0.5+1.55*3 + 1.53+1.3 +1.53+4.2+3.3+2.07+0.25+2.07</f>
        <v>21.400000000000002</v>
      </c>
      <c r="M22" s="1"/>
      <c r="N22" s="1"/>
      <c r="O22" s="1"/>
      <c r="P22" s="1"/>
      <c r="Q22" s="1"/>
    </row>
    <row r="23" spans="2:17" x14ac:dyDescent="0.25">
      <c r="B23" s="1">
        <f t="shared" si="5"/>
        <v>361.17400000000009</v>
      </c>
      <c r="C23">
        <f t="shared" si="3"/>
        <v>68.640000000000015</v>
      </c>
      <c r="D23" s="1">
        <f t="shared" si="4"/>
        <v>292.53400000000011</v>
      </c>
      <c r="E23">
        <v>12</v>
      </c>
      <c r="G23" s="3" t="s">
        <v>7</v>
      </c>
      <c r="H23" s="1">
        <f>0.5+1.55*3 + 1.53+1.3 +1.53+4.2+3.3+2.07*2</f>
        <v>21.150000000000002</v>
      </c>
      <c r="I23" s="1">
        <f>0.5+1.55*3 + 1.53+1.3 +1.53+4.2+3.3+2.07</f>
        <v>19.080000000000002</v>
      </c>
      <c r="J23" s="1">
        <f>0.5+1.55*3 + 1.53+1.3 +1.53+4.2+3.3+2.8</f>
        <v>19.810000000000002</v>
      </c>
      <c r="K23" s="1">
        <f>0.5+1.55*3 + 1.53+1.3 +1.53+4.2+3.3+4.2+1.55*1</f>
        <v>22.76</v>
      </c>
      <c r="L23" s="1">
        <f>0.5+1.55*3 + 1.53+1.3 +1.53+4.2+3.3+4.2+1.55*2</f>
        <v>24.310000000000002</v>
      </c>
      <c r="M23" s="1">
        <f>0.5+1.55*3 + 1.53+1.3 +1.53+4.2+3.3+4.2+1.55*3</f>
        <v>25.86</v>
      </c>
      <c r="N23" s="1"/>
      <c r="O23" s="1"/>
      <c r="P23" s="1"/>
      <c r="Q23" s="1"/>
    </row>
    <row r="24" spans="2:17" x14ac:dyDescent="0.25">
      <c r="B24" s="1">
        <f t="shared" si="5"/>
        <v>210.07800000000003</v>
      </c>
      <c r="C24">
        <f t="shared" si="3"/>
        <v>80.080000000000013</v>
      </c>
      <c r="D24" s="1">
        <f t="shared" si="4"/>
        <v>129.99800000000002</v>
      </c>
      <c r="E24">
        <v>14</v>
      </c>
      <c r="G24" s="3" t="s">
        <v>8</v>
      </c>
      <c r="H24" s="1">
        <f>0.5+1.55*1</f>
        <v>2.0499999999999998</v>
      </c>
      <c r="I24" s="1">
        <f>0.5+1.55*2</f>
        <v>3.6</v>
      </c>
      <c r="J24" s="1">
        <f>0.5+1.55*3 + 1.53</f>
        <v>6.6800000000000006</v>
      </c>
      <c r="K24">
        <f>0.5+1.55*3 + 1.53*2</f>
        <v>8.2100000000000009</v>
      </c>
      <c r="L24" s="1">
        <f>0.5+1.55*3 + 4.6+1.55*1</f>
        <v>11.3</v>
      </c>
      <c r="M24" s="1">
        <f>0.5+1.55*3 + 4.6+1.55*2</f>
        <v>12.85</v>
      </c>
      <c r="N24" s="1">
        <f>0.5+1.55*3 + 4.6+1.55*3</f>
        <v>14.4</v>
      </c>
      <c r="O24" s="1"/>
      <c r="P24" s="1"/>
      <c r="Q24" s="1"/>
    </row>
    <row r="25" spans="2:17" x14ac:dyDescent="0.25">
      <c r="B25" s="1">
        <f t="shared" si="5"/>
        <v>308.22000000000003</v>
      </c>
      <c r="C25">
        <f t="shared" si="3"/>
        <v>68.640000000000015</v>
      </c>
      <c r="D25" s="1">
        <f t="shared" si="4"/>
        <v>239.58000000000004</v>
      </c>
      <c r="E25">
        <v>12</v>
      </c>
      <c r="G25" s="3" t="s">
        <v>9</v>
      </c>
      <c r="H25" s="1">
        <f>0.5+1.55*3 + 1.53+1.3 + 3.07+1.3+1.55*6</f>
        <v>21.650000000000002</v>
      </c>
      <c r="I25" s="1">
        <f>0.5+1.55*3 + 1.53+1.3 + 3.07+1.3+1.55*2</f>
        <v>15.450000000000001</v>
      </c>
      <c r="J25" s="1">
        <f>0.5+1.55*3 + 1.53+1.3 + 3.07+1.3+1.55*1</f>
        <v>13.900000000000002</v>
      </c>
      <c r="K25" s="1">
        <f>0.5+1.55*3 + 1.53+1.3 + 3.07 + 3.6 +1.3 + 0.25 + 1.55*1</f>
        <v>17.750000000000004</v>
      </c>
      <c r="L25" s="1">
        <f>0.5+1.55*3 + 1.53+1.3 + 3.07 + 3.6 +1.3+ 0.25 + 1.55*2</f>
        <v>19.300000000000004</v>
      </c>
      <c r="M25" s="1">
        <f>0.5+1.55*3 + 1.53+1.3 + 3.07 + 3.6 +1.3 + 0.25 + 1.55*3</f>
        <v>20.85</v>
      </c>
      <c r="N25" s="1"/>
      <c r="O25" s="1"/>
      <c r="P25" s="1"/>
      <c r="Q25" s="1"/>
    </row>
    <row r="26" spans="2:17" x14ac:dyDescent="0.25">
      <c r="B26" s="1">
        <f t="shared" si="5"/>
        <v>407.88</v>
      </c>
      <c r="C26">
        <f t="shared" si="3"/>
        <v>80.080000000000013</v>
      </c>
      <c r="D26" s="1">
        <f t="shared" si="4"/>
        <v>327.8</v>
      </c>
      <c r="E26">
        <v>14</v>
      </c>
      <c r="F26" s="1"/>
      <c r="G26" s="3" t="s">
        <v>10</v>
      </c>
      <c r="H26">
        <f>0.5+1.55*3 + 1.53+1.3 + 3.07 + 3.6 +1.3+ 0.5 + 1.55*3</f>
        <v>21.1</v>
      </c>
      <c r="I26">
        <f>0.5+1.55*3 + 1.53+1.3 + 3.07 + 3.6 +1.3+ 0.5 + 1.55*2</f>
        <v>19.550000000000004</v>
      </c>
      <c r="J26">
        <f>0.5+1.55*3 + 1.53+1.3 + 3.07 + 3.6+1.3 + 0.5 + 1.55*1</f>
        <v>18.000000000000004</v>
      </c>
      <c r="K26">
        <f>0.5+1.55*3 + 1.53+1.3 + 3.07 + 3.6 +2.3 + 1.3 +1.15</f>
        <v>19.399999999999999</v>
      </c>
      <c r="L26">
        <f>0.5+1.55*3 + 1.53+1.3 + 3.07 + 3.6 +2.3 + 1.3 +2.3 + 1.55*1</f>
        <v>22.1</v>
      </c>
      <c r="M26">
        <f>0.5+1.55*3 + 1.53+1.3 + 3.07 + 3.6 +2.3 + 1.3 +2.3 + 1.55*2</f>
        <v>23.650000000000002</v>
      </c>
      <c r="N26">
        <f>0.5+1.55*3 + 1.53+1.3 + 3.07 + 3.6 +2.3 + 1.3 +2.3 + 1.55*3</f>
        <v>25.200000000000003</v>
      </c>
    </row>
    <row r="27" spans="2:17" x14ac:dyDescent="0.25">
      <c r="B27" s="1">
        <f>SUM(B16:B26)</f>
        <v>3746.1820000000007</v>
      </c>
      <c r="E27">
        <f>SUM(E16:E26)</f>
        <v>144</v>
      </c>
    </row>
    <row r="29" spans="2:17" ht="30" x14ac:dyDescent="0.25">
      <c r="B29" s="4" t="s">
        <v>12</v>
      </c>
      <c r="C29" s="4" t="s">
        <v>13</v>
      </c>
      <c r="D29" t="s">
        <v>21</v>
      </c>
      <c r="E29" t="s">
        <v>20</v>
      </c>
      <c r="F29" t="s">
        <v>22</v>
      </c>
      <c r="G29" s="3" t="s">
        <v>23</v>
      </c>
      <c r="H29" t="s">
        <v>24</v>
      </c>
      <c r="I29" t="s">
        <v>25</v>
      </c>
    </row>
    <row r="30" spans="2:17" x14ac:dyDescent="0.25">
      <c r="B30" s="1">
        <v>3.1</v>
      </c>
      <c r="C30">
        <v>2.1</v>
      </c>
      <c r="D30">
        <v>5.7</v>
      </c>
      <c r="E30">
        <v>29</v>
      </c>
      <c r="F30">
        <v>6.7</v>
      </c>
      <c r="G30">
        <f>(D30+E30)/2 *1.1+F30</f>
        <v>25.785000000000004</v>
      </c>
      <c r="H30">
        <f>FLOOR(305/G30, 1)</f>
        <v>11</v>
      </c>
      <c r="I30">
        <f>305*'Здание 2'!E12/H30</f>
        <v>3438.181818181818</v>
      </c>
    </row>
    <row r="31" spans="2:17" x14ac:dyDescent="0.25">
      <c r="D31">
        <v>3.05</v>
      </c>
      <c r="E31">
        <v>31</v>
      </c>
      <c r="F31">
        <v>10.08</v>
      </c>
      <c r="G31">
        <f>(D31+E31)/2 *1.1+F31</f>
        <v>28.807499999999997</v>
      </c>
      <c r="H31">
        <f>FLOOR(305/G31, 1)</f>
        <v>10</v>
      </c>
      <c r="I31">
        <f>305*'Здание 2'!E27/H31</f>
        <v>4392</v>
      </c>
    </row>
    <row r="32" spans="2:17" x14ac:dyDescent="0.25">
      <c r="B32" s="1"/>
      <c r="C32" s="2"/>
    </row>
    <row r="34" spans="1:12" ht="30" x14ac:dyDescent="0.25">
      <c r="B34" s="4" t="s">
        <v>26</v>
      </c>
    </row>
    <row r="35" spans="1:12" x14ac:dyDescent="0.25">
      <c r="B35" s="1">
        <f>B12+B27</f>
        <v>6612.6060000000016</v>
      </c>
    </row>
    <row r="37" spans="1:12" x14ac:dyDescent="0.25">
      <c r="A37" s="10"/>
      <c r="B37" s="5"/>
      <c r="C37" s="5"/>
      <c r="D37" s="5"/>
      <c r="E37" s="5"/>
      <c r="F37" s="5"/>
      <c r="G37" s="5"/>
      <c r="H37" s="5"/>
      <c r="I37" s="5"/>
      <c r="J37" s="5"/>
      <c r="K37" s="5"/>
      <c r="L37" s="11"/>
    </row>
    <row r="38" spans="1:12" x14ac:dyDescent="0.25">
      <c r="A38" s="12"/>
      <c r="B38" s="8" t="s">
        <v>27</v>
      </c>
      <c r="C38" s="8" t="s">
        <v>29</v>
      </c>
      <c r="D38" s="8"/>
      <c r="E38" s="8"/>
      <c r="F38" s="8"/>
      <c r="G38" s="8"/>
      <c r="H38" s="8"/>
      <c r="I38" s="8"/>
      <c r="J38" s="8"/>
      <c r="K38" s="8"/>
      <c r="L38" s="13"/>
    </row>
    <row r="39" spans="1:12" x14ac:dyDescent="0.25">
      <c r="A39" s="12"/>
      <c r="B39" s="7">
        <v>1</v>
      </c>
      <c r="C39" s="7">
        <v>2</v>
      </c>
      <c r="D39" s="7">
        <v>3</v>
      </c>
      <c r="E39" s="7">
        <v>4</v>
      </c>
      <c r="F39" s="7">
        <v>5</v>
      </c>
      <c r="G39" s="7">
        <v>6</v>
      </c>
      <c r="H39" s="7">
        <v>7</v>
      </c>
      <c r="I39" s="7">
        <v>8</v>
      </c>
      <c r="J39" s="7">
        <v>9</v>
      </c>
      <c r="K39" s="7">
        <v>10</v>
      </c>
      <c r="L39" s="13"/>
    </row>
    <row r="40" spans="1:12" x14ac:dyDescent="0.25">
      <c r="A40" s="12"/>
      <c r="B40" s="8">
        <v>2.2999999999999998</v>
      </c>
      <c r="C40" s="8">
        <v>6.2</v>
      </c>
      <c r="D40" s="8">
        <v>6.2</v>
      </c>
      <c r="E40" s="8">
        <v>4.2</v>
      </c>
      <c r="F40" s="8">
        <v>4</v>
      </c>
      <c r="G40" s="8">
        <v>2</v>
      </c>
      <c r="H40" s="8">
        <v>2</v>
      </c>
      <c r="I40" s="8">
        <v>4</v>
      </c>
      <c r="J40" s="8"/>
      <c r="K40" s="8">
        <v>6.4</v>
      </c>
      <c r="L40" s="13"/>
    </row>
    <row r="41" spans="1:12" x14ac:dyDescent="0.25">
      <c r="A41" s="12"/>
      <c r="B41" s="8">
        <v>6.2</v>
      </c>
      <c r="C41" s="8">
        <v>6.2</v>
      </c>
      <c r="D41" s="8">
        <v>6.2</v>
      </c>
      <c r="E41" s="8">
        <v>5</v>
      </c>
      <c r="F41" s="8">
        <v>4.5</v>
      </c>
      <c r="G41" s="8">
        <v>2</v>
      </c>
      <c r="H41" s="8">
        <v>3.6</v>
      </c>
      <c r="I41" s="8">
        <v>5</v>
      </c>
      <c r="J41" s="8"/>
      <c r="K41" s="8">
        <v>6.2</v>
      </c>
      <c r="L41" s="13"/>
    </row>
    <row r="42" spans="1:12" x14ac:dyDescent="0.25">
      <c r="A42" s="12"/>
      <c r="B42" s="8">
        <v>6.2</v>
      </c>
      <c r="C42" s="8">
        <v>2</v>
      </c>
      <c r="D42" s="8">
        <v>1.55</v>
      </c>
      <c r="E42" s="8">
        <v>5</v>
      </c>
      <c r="F42" s="8">
        <v>2</v>
      </c>
      <c r="G42" s="8">
        <v>1.3</v>
      </c>
      <c r="H42" s="8"/>
      <c r="I42" s="8">
        <v>1.5</v>
      </c>
      <c r="J42" s="8"/>
      <c r="K42" s="8">
        <v>6.2</v>
      </c>
      <c r="L42" s="13"/>
    </row>
    <row r="43" spans="1:12" x14ac:dyDescent="0.25">
      <c r="A43" s="12"/>
      <c r="B43" s="8">
        <v>2</v>
      </c>
      <c r="C43" s="8">
        <v>2</v>
      </c>
      <c r="D43" s="8">
        <v>2</v>
      </c>
      <c r="E43" s="8">
        <v>2</v>
      </c>
      <c r="F43" s="8">
        <v>2</v>
      </c>
      <c r="G43" s="8">
        <v>4.8</v>
      </c>
      <c r="H43" s="8"/>
      <c r="I43" s="8"/>
      <c r="J43" s="8"/>
      <c r="K43" s="8"/>
      <c r="L43" s="13"/>
    </row>
    <row r="44" spans="1:12" x14ac:dyDescent="0.25">
      <c r="A44" s="12"/>
      <c r="B44" s="8">
        <v>2</v>
      </c>
      <c r="C44" s="8"/>
      <c r="D44" s="8">
        <v>2</v>
      </c>
      <c r="E44" s="8">
        <v>2</v>
      </c>
      <c r="F44" s="8"/>
      <c r="G44" s="8">
        <v>1.3</v>
      </c>
      <c r="H44" s="8"/>
      <c r="I44" s="8"/>
      <c r="J44" s="8"/>
      <c r="K44" s="8"/>
      <c r="L44" s="13"/>
    </row>
    <row r="45" spans="1:12" x14ac:dyDescent="0.25">
      <c r="A45" s="12"/>
      <c r="B45" s="8"/>
      <c r="C45" s="8"/>
      <c r="D45" s="8"/>
      <c r="E45" s="8"/>
      <c r="F45" s="8"/>
      <c r="G45" s="8">
        <v>4.8</v>
      </c>
      <c r="H45" s="8"/>
      <c r="I45" s="8"/>
      <c r="J45" s="8"/>
      <c r="K45" s="8"/>
      <c r="L45" s="13"/>
    </row>
    <row r="46" spans="1:12" x14ac:dyDescent="0.25">
      <c r="A46" s="12"/>
      <c r="B46" s="7">
        <f>SUM(B40:B45)</f>
        <v>18.7</v>
      </c>
      <c r="C46" s="7">
        <f t="shared" ref="C46:K46" si="6">SUM(C40:C45)</f>
        <v>16.399999999999999</v>
      </c>
      <c r="D46" s="7">
        <f t="shared" si="6"/>
        <v>17.950000000000003</v>
      </c>
      <c r="E46" s="7">
        <f t="shared" si="6"/>
        <v>18.2</v>
      </c>
      <c r="F46" s="7">
        <f t="shared" si="6"/>
        <v>12.5</v>
      </c>
      <c r="G46" s="7">
        <f t="shared" si="6"/>
        <v>16.2</v>
      </c>
      <c r="H46" s="7">
        <f t="shared" si="6"/>
        <v>5.6</v>
      </c>
      <c r="I46" s="7">
        <f t="shared" si="6"/>
        <v>10.5</v>
      </c>
      <c r="J46" s="7">
        <f t="shared" si="6"/>
        <v>0</v>
      </c>
      <c r="K46" s="7">
        <f t="shared" si="6"/>
        <v>18.8</v>
      </c>
      <c r="L46" s="13"/>
    </row>
    <row r="47" spans="1:12" x14ac:dyDescent="0.25">
      <c r="A47" s="12"/>
      <c r="B47" s="8"/>
      <c r="C47" s="8"/>
      <c r="D47" s="8"/>
      <c r="E47" s="8"/>
      <c r="F47" s="8"/>
      <c r="G47" s="8"/>
      <c r="H47" s="8"/>
      <c r="I47" s="8"/>
      <c r="J47" s="8"/>
      <c r="K47" s="8"/>
      <c r="L47" s="13"/>
    </row>
    <row r="48" spans="1:12" x14ac:dyDescent="0.25">
      <c r="A48" s="12" t="s">
        <v>28</v>
      </c>
      <c r="B48" s="8">
        <f>SUM(B46:K46)</f>
        <v>134.85</v>
      </c>
      <c r="C48" s="8"/>
      <c r="D48" s="8"/>
      <c r="E48" s="8"/>
      <c r="F48" s="8"/>
      <c r="G48" s="8"/>
      <c r="H48" s="8"/>
      <c r="I48" s="8"/>
      <c r="J48" s="8"/>
      <c r="K48" s="8"/>
      <c r="L48" s="13"/>
    </row>
    <row r="49" spans="1:12" x14ac:dyDescent="0.25">
      <c r="A49" s="12"/>
      <c r="B49" s="8"/>
      <c r="C49" s="8"/>
      <c r="D49" s="8"/>
      <c r="E49" s="8"/>
      <c r="F49" s="8"/>
      <c r="G49" s="8"/>
      <c r="H49" s="8"/>
      <c r="I49" s="8"/>
      <c r="J49" s="8"/>
      <c r="K49" s="8"/>
      <c r="L49" s="13"/>
    </row>
    <row r="50" spans="1:12" x14ac:dyDescent="0.25">
      <c r="A50" s="12"/>
      <c r="B50" s="8"/>
      <c r="C50" s="8"/>
      <c r="D50" s="8"/>
      <c r="E50" s="8"/>
      <c r="F50" s="8"/>
      <c r="G50" s="8"/>
      <c r="H50" s="8"/>
      <c r="I50" s="8"/>
      <c r="J50" s="8"/>
      <c r="K50" s="8"/>
      <c r="L50" s="13"/>
    </row>
    <row r="51" spans="1:12" x14ac:dyDescent="0.25">
      <c r="A51" s="12"/>
      <c r="B51" s="8" t="s">
        <v>29</v>
      </c>
      <c r="C51" s="8">
        <v>135</v>
      </c>
      <c r="D51" s="8"/>
      <c r="E51" s="8"/>
      <c r="F51" s="8"/>
      <c r="G51" s="8"/>
      <c r="H51" s="8"/>
      <c r="I51" s="8"/>
      <c r="J51" s="8"/>
      <c r="K51" s="8"/>
      <c r="L51" s="13"/>
    </row>
    <row r="52" spans="1:12" x14ac:dyDescent="0.25">
      <c r="A52" s="12"/>
      <c r="B52" s="8" t="s">
        <v>30</v>
      </c>
      <c r="C52" s="8">
        <v>145</v>
      </c>
      <c r="D52" s="8"/>
      <c r="E52" s="8"/>
      <c r="F52" s="8"/>
      <c r="G52" s="8"/>
      <c r="H52" s="8"/>
      <c r="I52" s="8"/>
      <c r="J52" s="8"/>
      <c r="K52" s="8"/>
      <c r="L52" s="13"/>
    </row>
    <row r="53" spans="1:12" x14ac:dyDescent="0.25">
      <c r="A53" s="12"/>
      <c r="B53" s="8"/>
      <c r="C53" s="8"/>
      <c r="D53" s="8"/>
      <c r="E53" s="8"/>
      <c r="F53" s="8"/>
      <c r="G53" s="8"/>
      <c r="H53" s="8"/>
      <c r="I53" s="8"/>
      <c r="J53" s="8"/>
      <c r="K53" s="8"/>
      <c r="L53" s="13"/>
    </row>
    <row r="54" spans="1:12" x14ac:dyDescent="0.25">
      <c r="A54" s="12"/>
      <c r="B54" s="8"/>
      <c r="C54" s="8"/>
      <c r="D54" s="8"/>
      <c r="E54" s="8"/>
      <c r="F54" s="8"/>
      <c r="G54" s="8"/>
      <c r="H54" s="8"/>
      <c r="I54" s="8"/>
      <c r="J54" s="8"/>
      <c r="K54" s="8"/>
      <c r="L54" s="13"/>
    </row>
    <row r="55" spans="1:12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15"/>
    </row>
    <row r="56" spans="1:12" x14ac:dyDescent="0.25">
      <c r="A56" s="10"/>
      <c r="B56" s="5"/>
      <c r="C56" s="5"/>
      <c r="D56" s="5"/>
      <c r="E56" s="5"/>
      <c r="F56" s="5"/>
      <c r="G56" s="5"/>
      <c r="H56" s="5"/>
      <c r="I56" s="5"/>
      <c r="J56" s="5"/>
      <c r="K56" s="5"/>
      <c r="L56" s="11"/>
    </row>
    <row r="57" spans="1:12" x14ac:dyDescent="0.25">
      <c r="A57" s="12"/>
      <c r="B57" s="8" t="s">
        <v>31</v>
      </c>
      <c r="C57" s="8"/>
      <c r="D57" s="8"/>
      <c r="E57" s="8"/>
      <c r="F57" s="8"/>
      <c r="G57" s="8"/>
      <c r="H57" s="8"/>
      <c r="I57" s="8"/>
      <c r="J57" s="8"/>
      <c r="K57" s="8"/>
      <c r="L57" s="13"/>
    </row>
    <row r="58" spans="1:12" x14ac:dyDescent="0.25">
      <c r="A58" s="12"/>
      <c r="B58" s="8" t="s">
        <v>29</v>
      </c>
      <c r="C58" s="8">
        <v>2.6</v>
      </c>
      <c r="D58" s="8">
        <v>2.6</v>
      </c>
      <c r="E58" s="8">
        <v>1.3</v>
      </c>
      <c r="F58" s="8">
        <v>2.6</v>
      </c>
      <c r="G58" s="8">
        <v>6.6</v>
      </c>
      <c r="H58" s="8">
        <v>6.2</v>
      </c>
      <c r="I58" s="8">
        <v>3</v>
      </c>
      <c r="J58" s="8">
        <v>13.8</v>
      </c>
      <c r="K58" s="8">
        <v>1</v>
      </c>
      <c r="L58" s="13">
        <v>1</v>
      </c>
    </row>
    <row r="59" spans="1:12" x14ac:dyDescent="0.25">
      <c r="A59" s="12"/>
      <c r="B59" s="8" t="s">
        <v>32</v>
      </c>
      <c r="C59" s="8">
        <f>SUM(C58:L58)</f>
        <v>40.700000000000003</v>
      </c>
      <c r="D59" s="8"/>
      <c r="E59" s="8"/>
      <c r="F59" s="8"/>
      <c r="G59" s="8"/>
      <c r="H59" s="8"/>
      <c r="I59" s="8"/>
      <c r="J59" s="8"/>
      <c r="K59" s="8"/>
      <c r="L59" s="13"/>
    </row>
    <row r="60" spans="1:12" x14ac:dyDescent="0.25">
      <c r="A60" s="12"/>
      <c r="B60" s="8"/>
      <c r="C60" s="8"/>
      <c r="D60" s="8"/>
      <c r="E60" s="8"/>
      <c r="F60" s="8"/>
      <c r="G60" s="8"/>
      <c r="H60" s="8"/>
      <c r="I60" s="8"/>
      <c r="J60" s="8"/>
      <c r="K60" s="8"/>
      <c r="L60" s="13"/>
    </row>
    <row r="61" spans="1:12" x14ac:dyDescent="0.25">
      <c r="A61" s="12"/>
      <c r="B61" s="8"/>
      <c r="C61" s="8"/>
      <c r="D61" s="8"/>
      <c r="E61" s="8"/>
      <c r="F61" s="8"/>
      <c r="G61" s="8"/>
      <c r="H61" s="8"/>
      <c r="I61" s="8"/>
      <c r="J61" s="8"/>
      <c r="K61" s="8"/>
      <c r="L61" s="13"/>
    </row>
    <row r="62" spans="1:12" x14ac:dyDescent="0.25">
      <c r="A62" s="12"/>
      <c r="B62" s="8" t="s">
        <v>30</v>
      </c>
      <c r="C62" s="8"/>
      <c r="D62" s="8"/>
      <c r="E62" s="8"/>
      <c r="F62" s="8"/>
      <c r="G62" s="8"/>
      <c r="H62" s="8"/>
      <c r="I62" s="8"/>
      <c r="J62" s="8"/>
      <c r="K62" s="8"/>
      <c r="L62" s="13"/>
    </row>
    <row r="63" spans="1:12" x14ac:dyDescent="0.25">
      <c r="A63" s="12"/>
      <c r="B63" s="8" t="s">
        <v>32</v>
      </c>
      <c r="C63" s="8">
        <v>35</v>
      </c>
      <c r="D63" s="8"/>
      <c r="E63" s="8"/>
      <c r="F63" s="8"/>
      <c r="G63" s="8"/>
      <c r="H63" s="8"/>
      <c r="I63" s="8"/>
      <c r="J63" s="8"/>
      <c r="K63" s="8"/>
      <c r="L63" s="13"/>
    </row>
    <row r="64" spans="1:12" x14ac:dyDescent="0.25">
      <c r="A64" s="12"/>
      <c r="B64" s="8"/>
      <c r="C64" s="8"/>
      <c r="D64" s="8"/>
      <c r="E64" s="8"/>
      <c r="F64" s="8"/>
      <c r="G64" s="8"/>
      <c r="H64" s="8"/>
      <c r="I64" s="8"/>
      <c r="J64" s="8"/>
      <c r="K64" s="8"/>
      <c r="L64" s="13"/>
    </row>
    <row r="65" spans="1:12" x14ac:dyDescent="0.25">
      <c r="A65" s="12"/>
      <c r="B65" s="8" t="s">
        <v>33</v>
      </c>
      <c r="C65" s="8"/>
      <c r="D65" s="8"/>
      <c r="E65" s="8"/>
      <c r="F65" s="8"/>
      <c r="G65" s="8"/>
      <c r="H65" s="8"/>
      <c r="I65" s="8"/>
      <c r="J65" s="8"/>
      <c r="K65" s="8"/>
      <c r="L65" s="13"/>
    </row>
    <row r="66" spans="1:12" x14ac:dyDescent="0.25">
      <c r="A66" s="12"/>
      <c r="B66" s="8"/>
      <c r="C66" s="8"/>
      <c r="D66" s="8"/>
      <c r="E66" s="8"/>
      <c r="F66" s="8"/>
      <c r="G66" s="8"/>
      <c r="H66" s="8"/>
      <c r="I66" s="8"/>
      <c r="J66" s="8"/>
      <c r="K66" s="8"/>
      <c r="L66" s="13"/>
    </row>
    <row r="67" spans="1:12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15"/>
    </row>
    <row r="69" spans="1:12" x14ac:dyDescent="0.25">
      <c r="B69" t="s">
        <v>35</v>
      </c>
    </row>
    <row r="70" spans="1:12" x14ac:dyDescent="0.25">
      <c r="B70" t="s">
        <v>36</v>
      </c>
      <c r="C70">
        <f>CEILING(E12/48,1)</f>
        <v>3</v>
      </c>
      <c r="D70">
        <f>E12/48</f>
        <v>2.5833333333333335</v>
      </c>
    </row>
    <row r="71" spans="1:12" x14ac:dyDescent="0.25">
      <c r="B71" t="s">
        <v>30</v>
      </c>
      <c r="C71">
        <f>CEILING(E27/48,1)</f>
        <v>3</v>
      </c>
      <c r="D71">
        <f>E27/48</f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abSelected="1" topLeftCell="A26" zoomScale="85" zoomScaleNormal="85" workbookViewId="0">
      <selection activeCell="B69" sqref="B69"/>
    </sheetView>
  </sheetViews>
  <sheetFormatPr defaultRowHeight="15" x14ac:dyDescent="0.25"/>
  <cols>
    <col min="2" max="2" width="12.28515625" customWidth="1"/>
    <col min="3" max="3" width="14.5703125" customWidth="1"/>
    <col min="4" max="4" width="14" customWidth="1"/>
    <col min="5" max="5" width="12.28515625" customWidth="1"/>
    <col min="7" max="7" width="12.28515625" customWidth="1"/>
  </cols>
  <sheetData>
    <row r="1" spans="1:18" ht="30" x14ac:dyDescent="0.25">
      <c r="A1" t="s">
        <v>18</v>
      </c>
      <c r="B1" s="4" t="s">
        <v>16</v>
      </c>
      <c r="C1" s="4" t="s">
        <v>14</v>
      </c>
      <c r="D1" s="4" t="s">
        <v>17</v>
      </c>
      <c r="E1" s="4" t="s">
        <v>15</v>
      </c>
      <c r="G1" s="4" t="s">
        <v>11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</row>
    <row r="2" spans="1:18" x14ac:dyDescent="0.25">
      <c r="A2" s="2"/>
      <c r="B2" s="1">
        <f>C2+D2</f>
        <v>0</v>
      </c>
      <c r="C2">
        <f t="shared" ref="C2:C10" si="0" xml:space="preserve"> ($B$29+$C$29)*1.1*E2</f>
        <v>0</v>
      </c>
      <c r="D2" s="1">
        <f t="shared" ref="D2:D10" si="1">SUM(H2:Q2)*1.1*2</f>
        <v>0</v>
      </c>
      <c r="E2">
        <v>0</v>
      </c>
      <c r="G2" s="3" t="s">
        <v>0</v>
      </c>
      <c r="H2" s="1"/>
      <c r="I2" s="1"/>
      <c r="J2" s="1"/>
      <c r="L2" s="1"/>
      <c r="M2" s="1"/>
      <c r="N2" s="1"/>
      <c r="O2" s="1"/>
      <c r="P2" s="1"/>
      <c r="Q2" s="1"/>
    </row>
    <row r="3" spans="1:18" x14ac:dyDescent="0.25">
      <c r="A3" s="2"/>
      <c r="B3" s="1">
        <f t="shared" ref="B3:B10" si="2">C3+D3</f>
        <v>198.50600000000003</v>
      </c>
      <c r="C3">
        <f t="shared" si="0"/>
        <v>77</v>
      </c>
      <c r="D3" s="1">
        <f t="shared" si="1"/>
        <v>121.50600000000001</v>
      </c>
      <c r="E3">
        <v>14</v>
      </c>
      <c r="G3" s="3" t="s">
        <v>1</v>
      </c>
      <c r="H3" s="1">
        <f>3.1+0.57+1.14</f>
        <v>4.8099999999999996</v>
      </c>
      <c r="I3" s="1">
        <f>3.1+0.57</f>
        <v>3.67</v>
      </c>
      <c r="J3" s="1">
        <f>3.1+0.57</f>
        <v>3.67</v>
      </c>
      <c r="K3" s="1">
        <f>3.1+0.57+1.14</f>
        <v>4.8099999999999996</v>
      </c>
      <c r="L3" s="1">
        <f>3.1+2.85+1.3</f>
        <v>7.25</v>
      </c>
      <c r="M3" s="1">
        <f>3.1+2.85+1+5.2+1+1.3</f>
        <v>14.450000000000001</v>
      </c>
      <c r="N3" s="1">
        <f>3.1+2.85+1+5.2+1+3.42</f>
        <v>16.57</v>
      </c>
      <c r="O3" s="1"/>
      <c r="P3" s="1"/>
      <c r="Q3" s="1"/>
    </row>
    <row r="4" spans="1:18" x14ac:dyDescent="0.25">
      <c r="A4" s="2"/>
      <c r="B4" s="1">
        <f t="shared" si="2"/>
        <v>324.80799999999999</v>
      </c>
      <c r="C4">
        <f t="shared" si="0"/>
        <v>77</v>
      </c>
      <c r="D4" s="1">
        <f t="shared" si="1"/>
        <v>247.80800000000002</v>
      </c>
      <c r="E4">
        <v>14</v>
      </c>
      <c r="G4" s="3" t="s">
        <v>2</v>
      </c>
      <c r="H4" s="1">
        <f>3.1+2.85+1+5.2+1+0.25+1.14*3</f>
        <v>16.82</v>
      </c>
      <c r="I4" s="1">
        <f>3.1+2.85+1+5.2+1+0.25+1.14*2</f>
        <v>15.68</v>
      </c>
      <c r="J4" s="1">
        <f>3.1+2.85+1+5.2+1+0.25+1.14*1</f>
        <v>14.540000000000001</v>
      </c>
      <c r="K4" s="1">
        <f>3.1+2.85+1+5.2+1+0.25+1.2*1</f>
        <v>14.6</v>
      </c>
      <c r="L4" s="1">
        <f>3.1+2.85+1+5.2+1+0.25+1.2*2</f>
        <v>15.8</v>
      </c>
      <c r="M4" s="1">
        <f>3.1+2.85+1+5.2+1+0.25+1.2*3</f>
        <v>17</v>
      </c>
      <c r="N4" s="1">
        <f>3.1+2.85+1+5.2+1+0.25+1.2*4</f>
        <v>18.2</v>
      </c>
      <c r="O4" s="1"/>
      <c r="P4" s="1"/>
      <c r="Q4" s="1"/>
    </row>
    <row r="5" spans="1:18" x14ac:dyDescent="0.25">
      <c r="A5" s="2"/>
      <c r="B5" s="1">
        <f t="shared" si="2"/>
        <v>502.04000000000008</v>
      </c>
      <c r="C5">
        <f t="shared" si="0"/>
        <v>121</v>
      </c>
      <c r="D5" s="1">
        <f t="shared" si="1"/>
        <v>381.04000000000008</v>
      </c>
      <c r="E5">
        <v>22</v>
      </c>
      <c r="G5" s="3" t="s">
        <v>3</v>
      </c>
      <c r="H5" s="1">
        <f>3.1+2.85+1+5.2+1+1.2*4</f>
        <v>17.95</v>
      </c>
      <c r="I5" s="1">
        <f>3.1+2.85+1+5.2+1+1.2*3</f>
        <v>16.75</v>
      </c>
      <c r="J5" s="1">
        <f>3.1+2.85+1+5.2+1+1.2*2</f>
        <v>15.55</v>
      </c>
      <c r="K5" s="1">
        <f>3.1+2.85+1+5.2+1+1.2*1</f>
        <v>14.35</v>
      </c>
      <c r="L5" s="1">
        <f>3.1+2.85+1+5.2+0.15+1.15*1</f>
        <v>13.450000000000001</v>
      </c>
      <c r="M5" s="1">
        <f>3.1+2.85+1+5.2+0.15+1.15*2</f>
        <v>14.600000000000001</v>
      </c>
      <c r="N5" s="1">
        <f>3.1+2.85+1+5.2+5.9+1.15</f>
        <v>19.2</v>
      </c>
      <c r="O5" s="1">
        <f>3.1+2.85+1+5.2+5.9+1.2*1</f>
        <v>19.25</v>
      </c>
      <c r="P5" s="1">
        <f>3.1+2.85+1+5.2+5.9+1.2*2</f>
        <v>20.45</v>
      </c>
      <c r="Q5" s="1">
        <f>3.1+2.85+1+5.2+5.9+1.2*3</f>
        <v>21.65</v>
      </c>
      <c r="R5">
        <f>3.1+2.85+1+5.2+5.9+1.2*4</f>
        <v>22.85</v>
      </c>
    </row>
    <row r="6" spans="1:18" x14ac:dyDescent="0.25">
      <c r="A6" s="2"/>
      <c r="B6" s="1">
        <f t="shared" si="2"/>
        <v>419.56200000000007</v>
      </c>
      <c r="C6">
        <f t="shared" si="0"/>
        <v>77</v>
      </c>
      <c r="D6" s="1">
        <f t="shared" si="1"/>
        <v>342.56200000000007</v>
      </c>
      <c r="E6">
        <v>14</v>
      </c>
      <c r="G6" s="3" t="s">
        <v>4</v>
      </c>
      <c r="H6" s="1">
        <f>3.1+2.85+1+5.2+5.9+0.25+1.2*4</f>
        <v>23.1</v>
      </c>
      <c r="I6" s="1">
        <f>3.1+2.85+1+5.2+5.9+0.25+1.2*3</f>
        <v>21.9</v>
      </c>
      <c r="J6" s="1">
        <f>3.1+2.85+1+5.2+5.9+0.25+1.2*2</f>
        <v>20.7</v>
      </c>
      <c r="K6" s="1">
        <f>3.1+2.85+1+5.2+5.9+0.25+1.2*1</f>
        <v>19.5</v>
      </c>
      <c r="L6" s="1">
        <f>3.1+2.85+1+5.2+5.9+1.26</f>
        <v>19.310000000000002</v>
      </c>
      <c r="M6" s="1">
        <f>3.1+2.85+1+5.2+5.9+3.8+1.5*2</f>
        <v>24.85</v>
      </c>
      <c r="N6" s="1">
        <f>3.1+2.85+1+5.2+5.9+3.8+1.5*3</f>
        <v>26.35</v>
      </c>
      <c r="O6" s="1"/>
      <c r="P6" s="1"/>
      <c r="Q6" s="1"/>
    </row>
    <row r="7" spans="1:18" x14ac:dyDescent="0.25">
      <c r="A7" s="2"/>
      <c r="B7" s="1">
        <f t="shared" si="2"/>
        <v>466.18000000000006</v>
      </c>
      <c r="C7">
        <f t="shared" si="0"/>
        <v>77</v>
      </c>
      <c r="D7" s="1">
        <f t="shared" si="1"/>
        <v>389.18000000000006</v>
      </c>
      <c r="E7">
        <v>14</v>
      </c>
      <c r="G7" s="3" t="s">
        <v>5</v>
      </c>
      <c r="H7" s="1">
        <f>3.1+2.85+1+5.2+5.9+3.8+0.25+1.2*4</f>
        <v>26.900000000000002</v>
      </c>
      <c r="I7" s="1">
        <f>3.1+2.85+1+5.2+5.9+3.8+0.25+1.2*3</f>
        <v>25.700000000000003</v>
      </c>
      <c r="J7" s="1">
        <f>3.1+2.85+1+5.2+5.9+3.8+0.25+1.2*2</f>
        <v>24.5</v>
      </c>
      <c r="K7" s="1">
        <f>3.1+2.85+1+5.2+5.9+3.8+0.25+1.14*1</f>
        <v>23.240000000000002</v>
      </c>
      <c r="L7" s="1">
        <f>3.1+2.85+1+5.2+5.9+3.8+0.25+1.14*2</f>
        <v>24.380000000000003</v>
      </c>
      <c r="M7" s="1">
        <f>3.1+2.85+1+5.2+5.9+3.8+0.25+1.14*3</f>
        <v>25.520000000000003</v>
      </c>
      <c r="N7" s="1">
        <f>3.1+2.85+1+5.2+5.9+3.8+0.25+1.14*4</f>
        <v>26.66</v>
      </c>
      <c r="O7" s="1"/>
      <c r="P7" s="1"/>
      <c r="Q7" s="1"/>
    </row>
    <row r="8" spans="1:18" x14ac:dyDescent="0.25">
      <c r="A8" s="2"/>
      <c r="B8" s="1">
        <f t="shared" si="2"/>
        <v>396.39600000000013</v>
      </c>
      <c r="C8">
        <f t="shared" si="0"/>
        <v>66</v>
      </c>
      <c r="D8" s="1">
        <f t="shared" si="1"/>
        <v>330.39600000000013</v>
      </c>
      <c r="E8">
        <v>12</v>
      </c>
      <c r="G8" s="3" t="s">
        <v>6</v>
      </c>
      <c r="H8" s="1">
        <f>3.1+2.85+1+5.2+5.9+3.8+1.14*3</f>
        <v>25.270000000000003</v>
      </c>
      <c r="I8" s="1">
        <f>3.1+2.85+1+5.2+5.9+3.8+1.14*2</f>
        <v>24.130000000000003</v>
      </c>
      <c r="J8" s="1">
        <f>3.1+2.85+1+5.2+5.9+3.8+1.14*1</f>
        <v>22.990000000000002</v>
      </c>
      <c r="K8" s="1">
        <f>3.1+2.85+1+4.2+5.9+3.8+2.8+1.14*1</f>
        <v>24.790000000000003</v>
      </c>
      <c r="L8" s="1">
        <f>3.1+2.85+1+4.2+5.9+3.8+2.8+1.14*2</f>
        <v>25.930000000000003</v>
      </c>
      <c r="M8" s="1">
        <f>3.1+2.85+1+4.2+5.9+3.8+2.8+1.14*3</f>
        <v>27.07</v>
      </c>
      <c r="N8" s="1"/>
      <c r="O8" s="1"/>
      <c r="P8" s="1"/>
      <c r="Q8" s="1"/>
    </row>
    <row r="9" spans="1:18" x14ac:dyDescent="0.25">
      <c r="A9" s="2"/>
      <c r="B9" s="1">
        <f t="shared" si="2"/>
        <v>435.00600000000009</v>
      </c>
      <c r="C9">
        <f t="shared" si="0"/>
        <v>66</v>
      </c>
      <c r="D9" s="1">
        <f t="shared" si="1"/>
        <v>369.00600000000009</v>
      </c>
      <c r="E9">
        <v>12</v>
      </c>
      <c r="G9" s="3" t="s">
        <v>7</v>
      </c>
      <c r="H9" s="1">
        <f>3.1+2.85+1+4.2+5.9+3.8+2.8+0.25+1.14*3</f>
        <v>27.32</v>
      </c>
      <c r="I9" s="1">
        <f>3.1+2.85+1+4.2+5.9+3.8+2.8+0.25+1.14*2</f>
        <v>26.180000000000003</v>
      </c>
      <c r="J9" s="1">
        <f>3.1+2.85+1+4.2+5.9+3.8+2.8+0.25+1.14*1</f>
        <v>25.040000000000003</v>
      </c>
      <c r="K9" s="1">
        <f>3.1+2.85+1+4.2+5.9+3.8+2.8+3.8+1.14*1</f>
        <v>28.590000000000003</v>
      </c>
      <c r="L9" s="1">
        <f>3.1+2.85+1+4.2+5.9+3.8+2.8+3.8+1.14*2</f>
        <v>29.730000000000004</v>
      </c>
      <c r="M9" s="1">
        <f>3.1+2.85+1+4.2+5.9+3.8+2.8+3.8+1.14*3</f>
        <v>30.870000000000005</v>
      </c>
      <c r="N9" s="1"/>
      <c r="O9" s="1"/>
      <c r="P9" s="1"/>
      <c r="Q9" s="1"/>
    </row>
    <row r="10" spans="1:18" x14ac:dyDescent="0.25">
      <c r="A10" s="2"/>
      <c r="B10" s="1">
        <f t="shared" si="2"/>
        <v>477.29000000000008</v>
      </c>
      <c r="C10">
        <f t="shared" si="0"/>
        <v>66</v>
      </c>
      <c r="D10" s="1">
        <f t="shared" si="1"/>
        <v>411.29000000000008</v>
      </c>
      <c r="E10">
        <v>12</v>
      </c>
      <c r="G10" s="3" t="s">
        <v>8</v>
      </c>
      <c r="H10" s="1">
        <f>3.1+2.85+1+4.2+5.9+3.8+2.8+3.8+0.25+1.14*3</f>
        <v>31.120000000000005</v>
      </c>
      <c r="I10" s="1">
        <f>3.1+2.85+1+4.2+5.9+3.8+2.8+3.8+0.25+1.14*3</f>
        <v>31.120000000000005</v>
      </c>
      <c r="J10" s="1">
        <f>3.1+2.85+1+4.2+5.9+3.8+2.8+3.8+0.25+1.14*1</f>
        <v>28.840000000000003</v>
      </c>
      <c r="K10" s="1">
        <f>3.1+2.85+1+4.2+5.9+3.8+2.8+3.8+1.9+0.6</f>
        <v>29.950000000000003</v>
      </c>
      <c r="L10" s="1">
        <f>3.1+2.85+1+4.2+5.9+3.8+2.8+3.8+3.8+1.14*1</f>
        <v>32.39</v>
      </c>
      <c r="M10" s="1">
        <f>3.1+2.85+1+4.2+5.9+3.8+2.8+3.8+3.8+1.14*2</f>
        <v>33.53</v>
      </c>
      <c r="N10" s="1"/>
      <c r="O10" s="1"/>
      <c r="P10" s="1"/>
      <c r="Q10" s="1"/>
    </row>
    <row r="11" spans="1:18" x14ac:dyDescent="0.25">
      <c r="A11" s="2"/>
      <c r="B11" s="1">
        <f>SUM(B2:B10)</f>
        <v>3219.7880000000005</v>
      </c>
      <c r="D11" s="1"/>
      <c r="E11">
        <f>SUM(E2:E10)</f>
        <v>114</v>
      </c>
      <c r="G11" s="3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8" x14ac:dyDescent="0.25">
      <c r="A12" s="2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8" x14ac:dyDescent="0.25">
      <c r="A13" s="2"/>
      <c r="B13" s="2"/>
      <c r="C13" s="2"/>
    </row>
    <row r="14" spans="1:18" ht="30" x14ac:dyDescent="0.25">
      <c r="A14" t="s">
        <v>19</v>
      </c>
      <c r="B14" s="4" t="s">
        <v>16</v>
      </c>
      <c r="C14" s="4" t="s">
        <v>14</v>
      </c>
      <c r="D14" s="4" t="s">
        <v>17</v>
      </c>
      <c r="E14" s="4" t="s">
        <v>15</v>
      </c>
      <c r="G14" s="4" t="s">
        <v>11</v>
      </c>
      <c r="H14">
        <v>1</v>
      </c>
      <c r="I14">
        <v>2</v>
      </c>
      <c r="J14">
        <v>3</v>
      </c>
      <c r="K14">
        <v>4</v>
      </c>
      <c r="L14">
        <v>5</v>
      </c>
      <c r="M14">
        <v>6</v>
      </c>
      <c r="N14">
        <v>7</v>
      </c>
      <c r="O14">
        <v>8</v>
      </c>
      <c r="P14">
        <v>9</v>
      </c>
    </row>
    <row r="15" spans="1:18" x14ac:dyDescent="0.25">
      <c r="B15" s="1">
        <f>C15+D15</f>
        <v>117.54600000000002</v>
      </c>
      <c r="C15">
        <f t="shared" ref="C15:C24" si="3" xml:space="preserve"> ($B$29+$C$29)*1.1*E15</f>
        <v>66</v>
      </c>
      <c r="D15" s="1">
        <f t="shared" ref="D15:D24" si="4">SUM(H15:Q15)*1.1*2</f>
        <v>51.546000000000014</v>
      </c>
      <c r="E15" s="1">
        <v>12</v>
      </c>
      <c r="G15" s="3" t="s">
        <v>0</v>
      </c>
      <c r="H15">
        <f>2.85+0.6</f>
        <v>3.45</v>
      </c>
      <c r="I15">
        <f>2.85+1.8</f>
        <v>4.6500000000000004</v>
      </c>
      <c r="J15">
        <f>2.85+2.53+1.42</f>
        <v>6.8</v>
      </c>
      <c r="K15">
        <f>1.26+0.95</f>
        <v>2.21</v>
      </c>
      <c r="L15">
        <f>1.26+0.95</f>
        <v>2.21</v>
      </c>
      <c r="M15">
        <f>1.26+0.95+1.9</f>
        <v>4.1099999999999994</v>
      </c>
      <c r="O15" s="1"/>
      <c r="P15" s="1"/>
      <c r="Q15" s="1"/>
    </row>
    <row r="16" spans="1:18" x14ac:dyDescent="0.25">
      <c r="B16" s="1">
        <f t="shared" ref="B16:B24" si="5">C16+D16</f>
        <v>170.45600000000002</v>
      </c>
      <c r="C16">
        <f t="shared" si="3"/>
        <v>66</v>
      </c>
      <c r="D16" s="1">
        <f t="shared" si="4"/>
        <v>104.45600000000002</v>
      </c>
      <c r="E16" s="1">
        <v>12</v>
      </c>
      <c r="G16" s="3" t="s">
        <v>1</v>
      </c>
      <c r="H16">
        <f>1.26+0.2+0.95+1.9</f>
        <v>4.3100000000000005</v>
      </c>
      <c r="I16" s="1">
        <f>1.26+0.25+0.95</f>
        <v>2.46</v>
      </c>
      <c r="J16" s="1">
        <f>1.26+0.25+0.95</f>
        <v>2.46</v>
      </c>
      <c r="K16" s="1">
        <f>2.85+1+1.26+3.8+1+1.42*1</f>
        <v>11.33</v>
      </c>
      <c r="L16" s="1">
        <f>2.85+1+1.26+3.8+1+1.42*2</f>
        <v>12.75</v>
      </c>
      <c r="M16" s="1">
        <f>2.85+1+1.26+3.8+1+1.42*3</f>
        <v>14.17</v>
      </c>
      <c r="N16" s="1"/>
      <c r="O16" s="1"/>
      <c r="P16" s="1"/>
      <c r="Q16" s="1"/>
    </row>
    <row r="17" spans="2:17" x14ac:dyDescent="0.25">
      <c r="B17" s="1">
        <f t="shared" si="5"/>
        <v>254.80400000000003</v>
      </c>
      <c r="C17">
        <f t="shared" si="3"/>
        <v>66</v>
      </c>
      <c r="D17" s="1">
        <f t="shared" si="4"/>
        <v>188.80400000000003</v>
      </c>
      <c r="E17" s="1">
        <v>12</v>
      </c>
      <c r="G17" s="3" t="s">
        <v>2</v>
      </c>
      <c r="H17" s="1">
        <f>2.85+1+1.26+3.8+0.25+1+1.42*3</f>
        <v>14.42</v>
      </c>
      <c r="I17" s="1">
        <f>2.85+1+1.26+3.8+0.25+1+1.42*2</f>
        <v>13</v>
      </c>
      <c r="J17" s="1">
        <f>2.85+1+1.26+3.8+0.25+1+1.42*1</f>
        <v>11.58</v>
      </c>
      <c r="K17" s="1">
        <f>2.85+1+1.26+3.8+0.25+1+1.26</f>
        <v>11.42</v>
      </c>
      <c r="L17" s="1">
        <f>2.85+1+1.26+3.8+3.8+1+1.14*3</f>
        <v>17.130000000000003</v>
      </c>
      <c r="M17" s="1">
        <f>2.85+1+1.26+3.8+3.8+1+1.14*4</f>
        <v>18.27</v>
      </c>
      <c r="N17" s="1"/>
      <c r="O17" s="1"/>
      <c r="P17" s="1"/>
      <c r="Q17" s="1"/>
    </row>
    <row r="18" spans="2:17" x14ac:dyDescent="0.25">
      <c r="B18" s="1">
        <f t="shared" si="5"/>
        <v>346.59900000000005</v>
      </c>
      <c r="C18">
        <f t="shared" si="3"/>
        <v>77</v>
      </c>
      <c r="D18" s="1">
        <f t="shared" si="4"/>
        <v>269.59900000000005</v>
      </c>
      <c r="E18" s="1">
        <v>14</v>
      </c>
      <c r="G18" s="3" t="s">
        <v>3</v>
      </c>
      <c r="H18" s="1">
        <f>2.85+1+1.26+3.8+3.8+1+1.425*2+0.25+1.425*2</f>
        <v>19.660000000000004</v>
      </c>
      <c r="I18" s="1">
        <f>2.85+1+1.26+3.8+3.8+1+1.425*2+0.25+1.425</f>
        <v>18.235000000000003</v>
      </c>
      <c r="J18" s="1">
        <f>2.85+1+1.26+3.8+3.8+1+1.425*2+0.25</f>
        <v>16.810000000000002</v>
      </c>
      <c r="K18" s="1">
        <f>2.85+1+1.26+3.8+3.8+1+0.25+1.2*1</f>
        <v>15.16</v>
      </c>
      <c r="L18" s="1">
        <f>2.85+1+1.26+3.8+3.8+1+0.25+1.2*2</f>
        <v>16.36</v>
      </c>
      <c r="M18" s="1">
        <f>2.85+1+1.26+3.8+3.8+1+0.25+1.2*3</f>
        <v>17.560000000000002</v>
      </c>
      <c r="N18" s="1">
        <f>2.85+1+1.26+3.8+3.8+1+0.25+1.2*4</f>
        <v>18.760000000000002</v>
      </c>
      <c r="O18" s="1"/>
      <c r="P18" s="1"/>
      <c r="Q18" s="1"/>
    </row>
    <row r="19" spans="2:17" x14ac:dyDescent="0.25">
      <c r="B19" s="1">
        <f t="shared" si="5"/>
        <v>443.60800000000006</v>
      </c>
      <c r="C19">
        <f t="shared" si="3"/>
        <v>99</v>
      </c>
      <c r="D19" s="1">
        <f t="shared" si="4"/>
        <v>344.60800000000006</v>
      </c>
      <c r="E19" s="1">
        <v>18</v>
      </c>
      <c r="G19" s="3" t="s">
        <v>4</v>
      </c>
      <c r="H19" s="1">
        <f>2.85+1+1.26+3.8+3.8+1+1.2*4</f>
        <v>18.510000000000002</v>
      </c>
      <c r="I19" s="1">
        <f>2.85+1+1.26+3.8+3.8+1+1.2*3</f>
        <v>17.310000000000002</v>
      </c>
      <c r="J19" s="1">
        <f>2.85+1+1.26+3.8+3.8+1+1.2*2</f>
        <v>16.11</v>
      </c>
      <c r="K19" s="1">
        <f>2.85+1+1.26+3.8+3.8+1+1.2*1</f>
        <v>14.91</v>
      </c>
      <c r="L19" s="1">
        <f>2.85+1+1.26+3.8+3.8+0.15+1.15*1</f>
        <v>14.010000000000002</v>
      </c>
      <c r="M19" s="1">
        <f>2.85+1+1.26+3.8+3.8+0.15+1.15*2</f>
        <v>15.16</v>
      </c>
      <c r="N19" s="1">
        <f>2.85+1+1.26+3.8+3.8+4.5+1.5*1</f>
        <v>18.71</v>
      </c>
      <c r="O19" s="1">
        <f>2.85+1+1.26+3.8+3.8+4.5+1.5*2</f>
        <v>20.21</v>
      </c>
      <c r="P19" s="1">
        <f>2.85+1+1.26+3.8+3.8+4.5+1.5*3</f>
        <v>21.71</v>
      </c>
      <c r="Q19" s="1"/>
    </row>
    <row r="20" spans="2:17" x14ac:dyDescent="0.25">
      <c r="B20" s="1">
        <f t="shared" si="5"/>
        <v>468.5560000000001</v>
      </c>
      <c r="C20">
        <f t="shared" si="3"/>
        <v>88</v>
      </c>
      <c r="D20" s="1">
        <f t="shared" si="4"/>
        <v>380.5560000000001</v>
      </c>
      <c r="E20" s="1">
        <v>16</v>
      </c>
      <c r="G20" s="3" t="s">
        <v>5</v>
      </c>
      <c r="H20" s="1">
        <f>2.85+1+1.26+3.8+3.8+4.5+0.25+1.2*4</f>
        <v>22.26</v>
      </c>
      <c r="I20" s="1">
        <f>2.85+1+1.26+3.8+3.8+4.5+0.25+1.2*3</f>
        <v>21.060000000000002</v>
      </c>
      <c r="J20" s="1">
        <f>2.85+1+1.26+3.8+3.8+4.5+0.25+1.2*2</f>
        <v>19.86</v>
      </c>
      <c r="K20" s="1">
        <f>2.85+1+1.26+3.8+3.8+4.5+0.25+1.2*1</f>
        <v>18.66</v>
      </c>
      <c r="L20" s="1">
        <f>2.85+1+1.26+3.8+3.8+4.5+0.25+1.3</f>
        <v>18.760000000000002</v>
      </c>
      <c r="M20" s="1">
        <f>2.85+1+1.26+3.8+3.8+4.5+0.25+1.3*2</f>
        <v>20.060000000000002</v>
      </c>
      <c r="N20" s="1">
        <f>2.85+1+1.26+3.8+2.8+4.5+5.2+1+1.5*2</f>
        <v>25.41</v>
      </c>
      <c r="O20" s="1">
        <f>2.85+1+1.26+3.8+2.8+4.5+5.2+1+1.5*3</f>
        <v>26.91</v>
      </c>
      <c r="P20" s="1"/>
      <c r="Q20" s="1"/>
    </row>
    <row r="21" spans="2:17" x14ac:dyDescent="0.25">
      <c r="B21" s="1">
        <f t="shared" si="5"/>
        <v>480.74400000000003</v>
      </c>
      <c r="C21">
        <f t="shared" si="3"/>
        <v>77</v>
      </c>
      <c r="D21" s="1">
        <f t="shared" si="4"/>
        <v>403.74400000000003</v>
      </c>
      <c r="E21" s="1">
        <v>14</v>
      </c>
      <c r="G21" s="3" t="s">
        <v>6</v>
      </c>
      <c r="H21" s="1">
        <f>2.85+1+1.26+3.8+2.8+4.5+5.2+1+1.5*2+0.25+1.5*2</f>
        <v>28.66</v>
      </c>
      <c r="I21" s="1">
        <f>2.85+1+1.26+3.8+2.8+4.5+5.2+1+1.5*2+0.25+1.5*1</f>
        <v>27.16</v>
      </c>
      <c r="J21" s="1">
        <f>2.85+1+1.26+3.8+2.8+4.5+5.2+1+1.5*2+0.25</f>
        <v>25.66</v>
      </c>
      <c r="K21" s="1">
        <f>2.85+1+1.26+3.8+2.8+4.5+5.2+1+0.25+1.14*1</f>
        <v>23.8</v>
      </c>
      <c r="L21" s="1">
        <f>2.85+1+1.26+3.8+2.8+4.5+5.2+1+0.25+1.14*2</f>
        <v>24.94</v>
      </c>
      <c r="M21" s="1">
        <f>2.85+1+1.26+3.8+2.8+4.5+5.2+1+0.25+1.14*3</f>
        <v>26.08</v>
      </c>
      <c r="N21" s="1">
        <f>2.85+1+1.26+3.8+2.8+4.5+5.2+1+0.25+1.14*4</f>
        <v>27.22</v>
      </c>
      <c r="O21" s="1"/>
      <c r="P21" s="1"/>
      <c r="Q21" s="1"/>
    </row>
    <row r="22" spans="2:17" x14ac:dyDescent="0.25">
      <c r="B22" s="1">
        <f t="shared" si="5"/>
        <v>403.78800000000001</v>
      </c>
      <c r="C22">
        <f t="shared" si="3"/>
        <v>66</v>
      </c>
      <c r="D22" s="1">
        <f t="shared" si="4"/>
        <v>337.78800000000001</v>
      </c>
      <c r="E22" s="1">
        <v>12</v>
      </c>
      <c r="G22" s="3" t="s">
        <v>7</v>
      </c>
      <c r="H22" s="1">
        <f>2.85+1+1.26+3.8+2.8+4.5+5.2+1+1.14*3</f>
        <v>25.83</v>
      </c>
      <c r="I22" s="1">
        <f>2.85+1+1.26+3.8+2.8+4.5+5.2+1+1.14*2</f>
        <v>24.69</v>
      </c>
      <c r="J22" s="1">
        <f>2.85+1+1.26+3.8+2.8+4.5+5.2+1+1.14*1</f>
        <v>23.55</v>
      </c>
      <c r="K22" s="1">
        <f>2.85+1+1.26+3.8+2.8+4.5+5.2+2.8+1.14*1</f>
        <v>25.35</v>
      </c>
      <c r="L22" s="1">
        <f>2.85+1+1.26+3.8+2.8+4.5+5.2+2.8+1.14*2</f>
        <v>26.490000000000002</v>
      </c>
      <c r="M22" s="1">
        <f>2.85+1+1.26+3.8+2.8+4.5+5.2+2.8+1.14*3</f>
        <v>27.630000000000003</v>
      </c>
      <c r="N22" s="1"/>
      <c r="O22" s="1"/>
      <c r="P22" s="1"/>
      <c r="Q22" s="1"/>
    </row>
    <row r="23" spans="2:17" x14ac:dyDescent="0.25">
      <c r="B23" s="1">
        <f t="shared" si="5"/>
        <v>442.39800000000002</v>
      </c>
      <c r="C23">
        <f t="shared" si="3"/>
        <v>66</v>
      </c>
      <c r="D23" s="1">
        <f t="shared" si="4"/>
        <v>376.39800000000002</v>
      </c>
      <c r="E23" s="1">
        <v>12</v>
      </c>
      <c r="G23" s="3" t="s">
        <v>8</v>
      </c>
      <c r="H23" s="1">
        <f>2.85+1+1.26+3.8+2.8+4.5+5.2+2.8+0.25+1.14*3</f>
        <v>27.880000000000003</v>
      </c>
      <c r="I23" s="1">
        <f>2.85+1+1.26+3.8+2.8+4.5+5.2+2.8+0.25+1.14*2</f>
        <v>26.740000000000002</v>
      </c>
      <c r="J23" s="1">
        <f>2.85+1+1.26+3.8+2.8+4.5+5.2+2.8+0.25+1.14*1</f>
        <v>25.6</v>
      </c>
      <c r="K23">
        <f>2.85+1+1.26+3.8+2.8+4.5+5.2+2.8+3.8+1.14*1</f>
        <v>29.150000000000002</v>
      </c>
      <c r="L23" s="1">
        <f>2.85+1+1.26+3.8+2.8+4.5+5.2+2.8+3.8+1.14*2</f>
        <v>30.290000000000003</v>
      </c>
      <c r="M23" s="1">
        <f>2.85+1+1.26+3.8+2.8+4.5+5.2+2.8+3.8+1.14*3</f>
        <v>31.43</v>
      </c>
      <c r="N23" s="1"/>
      <c r="O23" s="1"/>
      <c r="P23" s="1"/>
      <c r="Q23" s="1"/>
    </row>
    <row r="24" spans="2:17" x14ac:dyDescent="0.25">
      <c r="B24" s="1">
        <f t="shared" si="5"/>
        <v>482.17400000000009</v>
      </c>
      <c r="C24">
        <f t="shared" si="3"/>
        <v>66</v>
      </c>
      <c r="D24" s="1">
        <f t="shared" si="4"/>
        <v>416.17400000000009</v>
      </c>
      <c r="E24" s="1">
        <v>12</v>
      </c>
      <c r="G24" s="3" t="s">
        <v>9</v>
      </c>
      <c r="H24" s="1">
        <f>2.85+1+1.26+3.8+2.8+4.5+5.2+2.8+3.8+0.25+1.14*3</f>
        <v>31.68</v>
      </c>
      <c r="I24" s="1">
        <f>2.85+1+1.26+3.8+2.8+4.5+5.2+2.8+3.8+0.25+1.14*2</f>
        <v>30.540000000000003</v>
      </c>
      <c r="J24" s="1">
        <f>2.85+1+1.26+3.8+2.8+4.5+5.2+2.8+3.8+0.25+1.14*1</f>
        <v>29.400000000000002</v>
      </c>
      <c r="K24" s="1">
        <f>2.85+1+1.26+3.8+2.8+4.5+5.2+2.8+3.8+1.9+0.6</f>
        <v>30.51</v>
      </c>
      <c r="L24" s="1">
        <f>2.85+1+1.26+3.8+2.8+4.5+5.2+2.8+3.8+3.8+1.14*1</f>
        <v>32.950000000000003</v>
      </c>
      <c r="M24" s="1">
        <f>2.85+1+1.26+3.8+2.8+4.5+5.2+2.8+3.8+3.8+1.14*2</f>
        <v>34.090000000000003</v>
      </c>
      <c r="N24" s="1"/>
      <c r="O24" s="1"/>
      <c r="P24" s="1"/>
      <c r="Q24" s="1"/>
    </row>
    <row r="25" spans="2:17" x14ac:dyDescent="0.25">
      <c r="B25" s="1">
        <f>SUM(B15:B24)</f>
        <v>3610.6730000000002</v>
      </c>
      <c r="D25" s="1"/>
      <c r="E25" s="1">
        <f>SUM(E15:E24)</f>
        <v>134</v>
      </c>
      <c r="F25" s="1"/>
      <c r="G25" s="3"/>
    </row>
    <row r="28" spans="2:17" ht="30" x14ac:dyDescent="0.25">
      <c r="B28" s="4" t="s">
        <v>12</v>
      </c>
      <c r="C28" s="4" t="s">
        <v>13</v>
      </c>
      <c r="D28" t="s">
        <v>21</v>
      </c>
      <c r="E28" t="s">
        <v>20</v>
      </c>
      <c r="F28" t="s">
        <v>22</v>
      </c>
      <c r="G28" s="3" t="s">
        <v>23</v>
      </c>
      <c r="H28" t="s">
        <v>24</v>
      </c>
      <c r="I28" t="s">
        <v>25</v>
      </c>
    </row>
    <row r="29" spans="2:17" x14ac:dyDescent="0.25">
      <c r="B29">
        <v>3</v>
      </c>
      <c r="C29">
        <v>2</v>
      </c>
      <c r="D29">
        <v>8.67</v>
      </c>
      <c r="E29">
        <v>38.53</v>
      </c>
      <c r="F29">
        <v>8.9499999999999993</v>
      </c>
      <c r="G29">
        <f>(D29+E29)/2 *1.1+F29</f>
        <v>34.910000000000004</v>
      </c>
      <c r="H29">
        <f>FLOOR(305/G29, 1)</f>
        <v>8</v>
      </c>
      <c r="I29">
        <f>305*E11/H29</f>
        <v>4346.25</v>
      </c>
    </row>
    <row r="30" spans="2:17" x14ac:dyDescent="0.25">
      <c r="D30">
        <v>3.21</v>
      </c>
      <c r="E30">
        <v>39.090000000000003</v>
      </c>
      <c r="F30">
        <v>5.85</v>
      </c>
      <c r="G30">
        <f>(D30+E30)/2 *1.1+F30</f>
        <v>29.115000000000002</v>
      </c>
      <c r="H30">
        <f>FLOOR(305/G30, 1)</f>
        <v>10</v>
      </c>
      <c r="I30">
        <f>305*E25/H30</f>
        <v>4087</v>
      </c>
    </row>
    <row r="32" spans="2:17" ht="30" x14ac:dyDescent="0.25">
      <c r="B32" s="4" t="s">
        <v>26</v>
      </c>
      <c r="C32" s="2"/>
    </row>
    <row r="33" spans="1:11" x14ac:dyDescent="0.25">
      <c r="B33" s="1">
        <f>B11+B25</f>
        <v>6830.4610000000011</v>
      </c>
    </row>
    <row r="35" spans="1:11" x14ac:dyDescent="0.25">
      <c r="A35" s="10"/>
      <c r="B35" s="5"/>
      <c r="C35" s="5"/>
      <c r="D35" s="5"/>
      <c r="E35" s="5"/>
      <c r="F35" s="5"/>
      <c r="G35" s="5"/>
      <c r="H35" s="5"/>
      <c r="I35" s="5"/>
      <c r="J35" s="5"/>
      <c r="K35" s="11"/>
    </row>
    <row r="36" spans="1:11" x14ac:dyDescent="0.25">
      <c r="A36" s="12"/>
      <c r="B36" s="8" t="s">
        <v>27</v>
      </c>
      <c r="C36" s="8" t="s">
        <v>29</v>
      </c>
      <c r="D36" s="8"/>
      <c r="E36" s="8"/>
      <c r="F36" s="8"/>
      <c r="G36" s="8"/>
      <c r="H36" s="8"/>
      <c r="I36" s="8"/>
      <c r="J36" s="8"/>
      <c r="K36" s="13"/>
    </row>
    <row r="37" spans="1:11" x14ac:dyDescent="0.25">
      <c r="A37" s="12"/>
      <c r="B37" s="7">
        <v>1</v>
      </c>
      <c r="C37" s="7">
        <v>2</v>
      </c>
      <c r="D37" s="7">
        <v>3</v>
      </c>
      <c r="E37" s="7">
        <v>4</v>
      </c>
      <c r="F37" s="7">
        <v>5</v>
      </c>
      <c r="G37" s="7">
        <v>6</v>
      </c>
      <c r="H37" s="7">
        <v>7</v>
      </c>
      <c r="I37" s="7">
        <v>8</v>
      </c>
      <c r="J37" s="7">
        <v>9</v>
      </c>
      <c r="K37" s="13"/>
    </row>
    <row r="38" spans="1:11" x14ac:dyDescent="0.25">
      <c r="A38" s="12"/>
      <c r="B38" s="8"/>
      <c r="C38" s="8">
        <v>5.7</v>
      </c>
      <c r="D38" s="8">
        <v>6</v>
      </c>
      <c r="E38" s="8">
        <v>6</v>
      </c>
      <c r="F38" s="9">
        <v>6</v>
      </c>
      <c r="G38" s="9">
        <v>3</v>
      </c>
      <c r="H38" s="9">
        <v>2</v>
      </c>
      <c r="I38" s="9">
        <v>2</v>
      </c>
      <c r="J38" s="9">
        <v>5.5</v>
      </c>
      <c r="K38" s="13"/>
    </row>
    <row r="39" spans="1:11" x14ac:dyDescent="0.25">
      <c r="A39" s="12"/>
      <c r="B39" s="8"/>
      <c r="C39" s="8">
        <v>2</v>
      </c>
      <c r="D39" s="8">
        <v>2</v>
      </c>
      <c r="E39" s="8">
        <v>6</v>
      </c>
      <c r="F39" s="9">
        <v>2</v>
      </c>
      <c r="G39" s="9">
        <v>5.7</v>
      </c>
      <c r="H39" s="9">
        <v>2</v>
      </c>
      <c r="I39" s="9">
        <v>2</v>
      </c>
      <c r="J39" s="9">
        <v>2.9</v>
      </c>
      <c r="K39" s="13"/>
    </row>
    <row r="40" spans="1:11" x14ac:dyDescent="0.25">
      <c r="A40" s="12"/>
      <c r="B40" s="8"/>
      <c r="C40" s="9">
        <v>3.5</v>
      </c>
      <c r="D40" s="9">
        <v>1</v>
      </c>
      <c r="E40" s="9">
        <v>2</v>
      </c>
      <c r="F40" s="9">
        <v>2</v>
      </c>
      <c r="G40" s="9">
        <v>2</v>
      </c>
      <c r="H40" s="9">
        <v>1</v>
      </c>
      <c r="I40" s="9">
        <v>4.2</v>
      </c>
      <c r="J40" s="9">
        <v>1.9</v>
      </c>
      <c r="K40" s="13"/>
    </row>
    <row r="41" spans="1:11" x14ac:dyDescent="0.25">
      <c r="A41" s="12"/>
      <c r="B41" s="8"/>
      <c r="C41" s="9">
        <v>3.5</v>
      </c>
      <c r="D41" s="9">
        <v>2.5</v>
      </c>
      <c r="E41" s="9">
        <v>2</v>
      </c>
      <c r="F41" s="9">
        <v>4</v>
      </c>
      <c r="G41" s="9">
        <v>2</v>
      </c>
      <c r="H41" s="9">
        <v>4.2</v>
      </c>
      <c r="I41" s="9">
        <v>4.2</v>
      </c>
      <c r="J41" s="9">
        <v>2</v>
      </c>
      <c r="K41" s="13"/>
    </row>
    <row r="42" spans="1:11" x14ac:dyDescent="0.25">
      <c r="A42" s="12"/>
      <c r="B42" s="8"/>
      <c r="C42" s="9">
        <v>2</v>
      </c>
      <c r="D42" s="9">
        <v>2</v>
      </c>
      <c r="E42" s="9">
        <v>1</v>
      </c>
      <c r="F42" s="9">
        <v>1</v>
      </c>
      <c r="G42" s="8"/>
      <c r="H42" s="9">
        <v>4.2</v>
      </c>
      <c r="I42" s="8"/>
      <c r="J42" s="9">
        <v>2</v>
      </c>
      <c r="K42" s="13"/>
    </row>
    <row r="43" spans="1:11" x14ac:dyDescent="0.25">
      <c r="A43" s="12"/>
      <c r="B43" s="8"/>
      <c r="C43" s="8"/>
      <c r="D43" s="8"/>
      <c r="E43" s="9">
        <v>2.5</v>
      </c>
      <c r="F43" s="8"/>
      <c r="G43" s="8"/>
      <c r="H43" s="8"/>
      <c r="I43" s="8"/>
      <c r="J43" s="8"/>
      <c r="K43" s="13"/>
    </row>
    <row r="44" spans="1:11" x14ac:dyDescent="0.25">
      <c r="A44" s="12"/>
      <c r="B44" s="7">
        <f>SUM(B38:B43)</f>
        <v>0</v>
      </c>
      <c r="C44" s="7">
        <f t="shared" ref="C44:I44" si="6">SUM(C38:C43)</f>
        <v>16.7</v>
      </c>
      <c r="D44" s="7">
        <f t="shared" si="6"/>
        <v>13.5</v>
      </c>
      <c r="E44" s="7">
        <f t="shared" si="6"/>
        <v>19.5</v>
      </c>
      <c r="F44" s="7">
        <f t="shared" si="6"/>
        <v>15</v>
      </c>
      <c r="G44" s="7">
        <f t="shared" si="6"/>
        <v>12.7</v>
      </c>
      <c r="H44" s="7">
        <f t="shared" si="6"/>
        <v>13.399999999999999</v>
      </c>
      <c r="I44" s="7">
        <f t="shared" si="6"/>
        <v>12.399999999999999</v>
      </c>
      <c r="J44" s="7">
        <f>SUM(J38:J43)</f>
        <v>14.3</v>
      </c>
      <c r="K44" s="13"/>
    </row>
    <row r="45" spans="1:11" x14ac:dyDescent="0.25">
      <c r="A45" s="12"/>
      <c r="B45" s="8"/>
      <c r="C45" s="8"/>
      <c r="D45" s="8"/>
      <c r="E45" s="8"/>
      <c r="F45" s="8"/>
      <c r="G45" s="8"/>
      <c r="H45" s="8"/>
      <c r="I45" s="8"/>
      <c r="J45" s="8"/>
      <c r="K45" s="13"/>
    </row>
    <row r="46" spans="1:11" x14ac:dyDescent="0.25">
      <c r="A46" s="12" t="s">
        <v>28</v>
      </c>
      <c r="B46" s="8">
        <f>SUM(B44:K44)</f>
        <v>117.50000000000001</v>
      </c>
      <c r="C46" s="8"/>
      <c r="D46" s="8"/>
      <c r="E46" s="8"/>
      <c r="F46" s="8"/>
      <c r="G46" s="8"/>
      <c r="H46" s="8"/>
      <c r="I46" s="8"/>
      <c r="J46" s="8"/>
      <c r="K46" s="13"/>
    </row>
    <row r="47" spans="1:11" x14ac:dyDescent="0.25">
      <c r="A47" s="12"/>
      <c r="B47" s="8"/>
      <c r="C47" s="8"/>
      <c r="D47" s="8"/>
      <c r="E47" s="8"/>
      <c r="F47" s="8"/>
      <c r="G47" s="8"/>
      <c r="H47" s="8"/>
      <c r="I47" s="8"/>
      <c r="J47" s="8"/>
      <c r="K47" s="13"/>
    </row>
    <row r="48" spans="1:11" x14ac:dyDescent="0.25">
      <c r="A48" s="12"/>
      <c r="B48" s="8"/>
      <c r="C48" s="8"/>
      <c r="D48" s="8"/>
      <c r="E48" s="8"/>
      <c r="F48" s="8"/>
      <c r="G48" s="8"/>
      <c r="H48" s="8"/>
      <c r="I48" s="8"/>
      <c r="J48" s="8"/>
      <c r="K48" s="13"/>
    </row>
    <row r="49" spans="1:20" x14ac:dyDescent="0.25">
      <c r="A49" s="12"/>
      <c r="B49" s="8" t="s">
        <v>29</v>
      </c>
      <c r="C49" s="8">
        <v>118</v>
      </c>
      <c r="D49" s="8"/>
      <c r="E49" s="8"/>
      <c r="F49" s="8"/>
      <c r="G49" s="8"/>
      <c r="H49" s="8"/>
      <c r="I49" s="8"/>
      <c r="J49" s="8"/>
      <c r="K49" s="13"/>
    </row>
    <row r="50" spans="1:20" x14ac:dyDescent="0.25">
      <c r="A50" s="12"/>
      <c r="B50" s="8" t="s">
        <v>30</v>
      </c>
      <c r="C50" s="8">
        <v>128</v>
      </c>
      <c r="D50" s="8"/>
      <c r="E50" s="8"/>
      <c r="F50" s="8"/>
      <c r="G50" s="8"/>
      <c r="H50" s="8"/>
      <c r="I50" s="8"/>
      <c r="J50" s="8"/>
      <c r="K50" s="13"/>
    </row>
    <row r="51" spans="1:20" x14ac:dyDescent="0.25">
      <c r="A51" s="12"/>
      <c r="B51" s="8"/>
      <c r="C51" s="8"/>
      <c r="D51" s="8"/>
      <c r="E51" s="8"/>
      <c r="F51" s="8"/>
      <c r="G51" s="8"/>
      <c r="H51" s="8"/>
      <c r="I51" s="8"/>
      <c r="J51" s="8"/>
      <c r="K51" s="13"/>
    </row>
    <row r="52" spans="1:20" x14ac:dyDescent="0.25">
      <c r="A52" s="10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11"/>
    </row>
    <row r="53" spans="1:20" x14ac:dyDescent="0.25">
      <c r="A53" s="12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13"/>
    </row>
    <row r="54" spans="1:20" x14ac:dyDescent="0.25">
      <c r="A54" s="12"/>
      <c r="B54" s="8" t="s">
        <v>31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13"/>
    </row>
    <row r="55" spans="1:20" x14ac:dyDescent="0.25">
      <c r="A55" s="12"/>
      <c r="B55" s="8" t="s">
        <v>29</v>
      </c>
      <c r="C55" s="8">
        <v>1</v>
      </c>
      <c r="D55" s="8">
        <v>1</v>
      </c>
      <c r="E55" s="8">
        <v>3.1</v>
      </c>
      <c r="F55" s="8">
        <v>2.85</v>
      </c>
      <c r="G55" s="8">
        <v>5.2</v>
      </c>
      <c r="H55" s="8">
        <v>5.9</v>
      </c>
      <c r="I55" s="8">
        <v>3.8</v>
      </c>
      <c r="J55" s="8">
        <v>1</v>
      </c>
      <c r="K55" s="8">
        <v>1</v>
      </c>
      <c r="L55" s="8">
        <v>3.8</v>
      </c>
      <c r="M55" s="8">
        <v>1</v>
      </c>
      <c r="N55" s="8">
        <v>1</v>
      </c>
      <c r="O55" s="8">
        <v>3.8</v>
      </c>
      <c r="P55" s="8">
        <v>1</v>
      </c>
      <c r="Q55" s="8">
        <v>1</v>
      </c>
      <c r="R55" s="8">
        <v>1.9</v>
      </c>
      <c r="S55" s="8">
        <v>5</v>
      </c>
      <c r="T55" s="13"/>
    </row>
    <row r="56" spans="1:20" x14ac:dyDescent="0.25">
      <c r="A56" s="12"/>
      <c r="B56" s="8" t="s">
        <v>32</v>
      </c>
      <c r="C56" s="8">
        <f>SUM(C55:S55)</f>
        <v>43.349999999999994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13"/>
    </row>
    <row r="57" spans="1:20" x14ac:dyDescent="0.25">
      <c r="A57" s="12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3"/>
    </row>
    <row r="58" spans="1:20" x14ac:dyDescent="0.25">
      <c r="A58" s="12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3"/>
    </row>
    <row r="59" spans="1:20" x14ac:dyDescent="0.25">
      <c r="A59" s="12"/>
      <c r="B59" s="8" t="s">
        <v>30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3"/>
    </row>
    <row r="60" spans="1:20" x14ac:dyDescent="0.25">
      <c r="A60" s="12"/>
      <c r="B60" s="8" t="s">
        <v>32</v>
      </c>
      <c r="C60" s="8">
        <v>40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3"/>
    </row>
    <row r="61" spans="1:20" x14ac:dyDescent="0.25">
      <c r="A61" s="12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3"/>
    </row>
    <row r="62" spans="1:20" x14ac:dyDescent="0.25">
      <c r="A62" s="12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13"/>
    </row>
    <row r="63" spans="1:20" x14ac:dyDescent="0.25">
      <c r="A63" s="12"/>
      <c r="B63" s="8" t="s">
        <v>34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3"/>
    </row>
    <row r="64" spans="1:20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15"/>
    </row>
    <row r="66" spans="2:4" x14ac:dyDescent="0.25">
      <c r="B66" t="s">
        <v>35</v>
      </c>
    </row>
    <row r="67" spans="2:4" x14ac:dyDescent="0.25">
      <c r="B67" t="s">
        <v>36</v>
      </c>
      <c r="C67">
        <f>CEILING(E11/48,1)</f>
        <v>3</v>
      </c>
      <c r="D67">
        <f>E11/48</f>
        <v>2.375</v>
      </c>
    </row>
    <row r="68" spans="2:4" x14ac:dyDescent="0.25">
      <c r="B68" t="s">
        <v>30</v>
      </c>
      <c r="C68">
        <f>CEILING(E25/48,1)</f>
        <v>3</v>
      </c>
      <c r="D68">
        <f>E25/48</f>
        <v>2.7916666666666665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Здание 2</vt:lpstr>
      <vt:lpstr>Здание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2022-12-19T10:24:23Z</dcterms:modified>
</cp:coreProperties>
</file>