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ersonal\учеба\Магистратура\3 семестр\Управление проектами (3)\дз 4 - диаграмма Ганта\"/>
    </mc:Choice>
  </mc:AlternateContent>
  <xr:revisionPtr revIDLastSave="0" documentId="13_ncr:1_{4BCBF694-D47C-4FA1-AF15-1EE04F145858}" xr6:coauthVersionLast="47" xr6:coauthVersionMax="47" xr10:uidLastSave="{00000000-0000-0000-0000-000000000000}"/>
  <bookViews>
    <workbookView xWindow="-120" yWindow="-120" windowWidth="29040" windowHeight="15720" tabRatio="872" firstSheet="4" activeTab="17" xr2:uid="{00000000-000D-0000-FFFF-FFFF00000000}"/>
  </bookViews>
  <sheets>
    <sheet name="Основной лист" sheetId="1" r:id="rId1"/>
    <sheet name="Лист1_НИР" sheetId="2" r:id="rId2"/>
    <sheet name="Лист2_ОКР" sheetId="3" r:id="rId3"/>
    <sheet name="Лист3_ИИ" sheetId="4" r:id="rId4"/>
    <sheet name="Лист4_ПД" sheetId="5" r:id="rId5"/>
    <sheet name="Лист5_ОБР" sheetId="19" r:id="rId6"/>
    <sheet name="Лист6_СМР" sheetId="6" r:id="rId7"/>
    <sheet name="Лист7_ПНР" sheetId="7" r:id="rId8"/>
    <sheet name="Лист8_ЛИЦ" sheetId="8" r:id="rId9"/>
    <sheet name="Лист9_CAPEX_Прочее" sheetId="9" r:id="rId10"/>
    <sheet name="Лист10_АП" sheetId="10" r:id="rId11"/>
    <sheet name="Лист11_ФОТ" sheetId="11" r:id="rId12"/>
    <sheet name="Лист12_СМ" sheetId="13" r:id="rId13"/>
    <sheet name="Лист13_ПРЦ" sheetId="18" r:id="rId14"/>
    <sheet name="Лист14_ЭР" sheetId="14" r:id="rId15"/>
    <sheet name="Лист15_МРК" sheetId="15" r:id="rId16"/>
    <sheet name="Лист16_АДМ" sheetId="16" r:id="rId17"/>
    <sheet name="Лист17_OPEX_Прочее" sheetId="17" r:id="rId18"/>
  </sheet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3" l="1"/>
  <c r="B24" i="13"/>
  <c r="B23" i="13"/>
  <c r="B4" i="2"/>
  <c r="B7" i="15"/>
  <c r="B6" i="15"/>
  <c r="B5" i="15"/>
  <c r="B4" i="15"/>
  <c r="B4" i="14"/>
  <c r="B4" i="18"/>
  <c r="B4" i="10"/>
  <c r="B5" i="10"/>
  <c r="B6" i="10"/>
  <c r="B4" i="8"/>
  <c r="B22" i="13"/>
  <c r="B21" i="13"/>
  <c r="B20" i="13"/>
  <c r="B19" i="13"/>
  <c r="B18" i="13"/>
  <c r="B17" i="13"/>
  <c r="B4" i="13"/>
  <c r="B16" i="13"/>
  <c r="B15" i="13"/>
  <c r="B14" i="13"/>
  <c r="B13" i="13"/>
  <c r="B12" i="13"/>
  <c r="B11" i="13"/>
  <c r="B10" i="13"/>
  <c r="B8" i="13"/>
  <c r="B7" i="13"/>
  <c r="B5" i="13"/>
  <c r="B9" i="13"/>
  <c r="B6" i="13"/>
  <c r="B35" i="19"/>
  <c r="B27" i="1"/>
  <c r="B35" i="18"/>
  <c r="B39" i="1"/>
  <c r="B35" i="10"/>
  <c r="B36" i="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E35" i="11"/>
  <c r="B37" i="1"/>
  <c r="D35" i="11"/>
  <c r="C35" i="11"/>
  <c r="B35" i="11"/>
  <c r="B35" i="17"/>
  <c r="B43" i="1"/>
  <c r="B35" i="16"/>
  <c r="B42" i="1"/>
  <c r="B35" i="15"/>
  <c r="B41" i="1"/>
  <c r="B35" i="14"/>
  <c r="B40" i="1"/>
  <c r="B35" i="13"/>
  <c r="B38" i="1"/>
  <c r="B35" i="9"/>
  <c r="B31" i="1"/>
  <c r="B35" i="8"/>
  <c r="B30" i="1"/>
  <c r="B35" i="7"/>
  <c r="B29" i="1"/>
  <c r="B35" i="6"/>
  <c r="B28" i="1"/>
  <c r="B35" i="5"/>
  <c r="B26" i="1"/>
  <c r="B35" i="4"/>
  <c r="B25" i="1"/>
  <c r="B35" i="3"/>
  <c r="B24" i="1"/>
  <c r="B35" i="2"/>
  <c r="B23" i="1"/>
  <c r="B44" i="1"/>
  <c r="D13" i="1"/>
  <c r="D14" i="1"/>
  <c r="D15" i="1"/>
  <c r="D16" i="1"/>
  <c r="D17" i="1"/>
  <c r="D18" i="1"/>
  <c r="D48" i="1"/>
  <c r="B32" i="1"/>
  <c r="B46" i="1"/>
  <c r="D50" i="1"/>
</calcChain>
</file>

<file path=xl/sharedStrings.xml><?xml version="1.0" encoding="utf-8"?>
<sst xmlns="http://schemas.openxmlformats.org/spreadsheetml/2006/main" count="630" uniqueCount="144">
  <si>
    <t>указывается наименование проекта</t>
  </si>
  <si>
    <t>План доходов и расходов</t>
  </si>
  <si>
    <t>Расходы</t>
  </si>
  <si>
    <t>Выручка от реализации</t>
  </si>
  <si>
    <t>Объем реализации, единиц в год</t>
  </si>
  <si>
    <t>Продукция</t>
  </si>
  <si>
    <t>Выручка всего, тыс. руб. в год</t>
  </si>
  <si>
    <t>Должность</t>
  </si>
  <si>
    <t>ФИО</t>
  </si>
  <si>
    <t>Подпись</t>
  </si>
  <si>
    <t>CAPEX (затраты на покупку основных фондов, тыс. руб.)</t>
  </si>
  <si>
    <t>OPEX (операционные затраты на производство и реализацию продукта, тыс. руб.)</t>
  </si>
  <si>
    <t>Итого выручка:</t>
  </si>
  <si>
    <t>Итого CAPEX:</t>
  </si>
  <si>
    <t>Итого OPEX:</t>
  </si>
  <si>
    <t>Итого расходы:</t>
  </si>
  <si>
    <t>НИР (Лист 1_НИР)</t>
  </si>
  <si>
    <t>ОКР (Лист 2_ОКР)</t>
  </si>
  <si>
    <t>Инженерные изыскания (Лист 3_ИИ)</t>
  </si>
  <si>
    <t>Проектная документация (Лист 4_ПД)</t>
  </si>
  <si>
    <t>Лист1_НИР</t>
  </si>
  <si>
    <t>Наименование статьи затрат</t>
  </si>
  <si>
    <t>[…]</t>
  </si>
  <si>
    <t>Сумма затрат, тыс. руб.</t>
  </si>
  <si>
    <t>Итого затраты по НИР:</t>
  </si>
  <si>
    <t>Лист2_ОКР</t>
  </si>
  <si>
    <t>Итого затраты по ОКР:</t>
  </si>
  <si>
    <t>Итого затраты по ИИ:</t>
  </si>
  <si>
    <t>Итого затраты по ПД:</t>
  </si>
  <si>
    <t>Итого затраты по СМР:</t>
  </si>
  <si>
    <t>Итого затраты по ПНР:</t>
  </si>
  <si>
    <t>Лист3_Инженерные изыскания</t>
  </si>
  <si>
    <t>Лист4_Проектная документация</t>
  </si>
  <si>
    <t>Итого затраты по CAPEX_Прочее:</t>
  </si>
  <si>
    <t>Итого затраты по СМ:</t>
  </si>
  <si>
    <t>Затраты всего, тыс. руб.</t>
  </si>
  <si>
    <t>Итого прибыль с учетом расходов по операционной деятельности до вычета расходов по выплате процентов, налогов, износа и начисленной амортизации:</t>
  </si>
  <si>
    <t>Итого прибыль с учетом капитальных расходов и расходов по операционной деятельности до вычета расходов по выплате процентов, налогов, износа и начисленной амортизации по операционной деятельности, но с учетом CAPEX:</t>
  </si>
  <si>
    <t>Итого затраты по АП:</t>
  </si>
  <si>
    <t>Стоимость единицы продукции, тыс. руб.</t>
  </si>
  <si>
    <t>Итого затраты по ЛИЦ:</t>
  </si>
  <si>
    <t>Итого затраты по ЭР:</t>
  </si>
  <si>
    <t>Итого затраты по МРК:</t>
  </si>
  <si>
    <t>Итого затраты по АДМ:</t>
  </si>
  <si>
    <t>Итого затраты по OPEX_Прочее:</t>
  </si>
  <si>
    <t>Факт на руки, тыс. руб. в мес.</t>
  </si>
  <si>
    <t>ФОТ, тыс. руб. в мес.</t>
  </si>
  <si>
    <t>ФОТ с начислениями, тыс. руб. в год</t>
  </si>
  <si>
    <t>ФОТ с начислениями, тыс. руб. в мес.</t>
  </si>
  <si>
    <t>Итого затраты:</t>
  </si>
  <si>
    <t>Итого затраты по ПРЦ:</t>
  </si>
  <si>
    <t>Приобретение оборудования (Лист 5_ОБР)</t>
  </si>
  <si>
    <t>Строительно-монтажные работы (Лист 6_СМР)</t>
  </si>
  <si>
    <t>Пуско-наладочные работы (Лист 7_ПНР)</t>
  </si>
  <si>
    <t>Приобретение лицензий (Лист 8_ЛИЦ)</t>
  </si>
  <si>
    <t>Прочие расходы (Лист 9_CAPEX_Прочее)</t>
  </si>
  <si>
    <t>Арендные платежи (Лист 10_АП)</t>
  </si>
  <si>
    <t>Фонд оплаты труда (Лист 11_ФОТ)</t>
  </si>
  <si>
    <t>Закупки сырья и материалов (Лист 12_СМ)</t>
  </si>
  <si>
    <t>Процессинг (Лист 13_ПРЦ)</t>
  </si>
  <si>
    <t>Энергоресурсы (Лист 14_ЭР)</t>
  </si>
  <si>
    <t>Затраты на продвижение продукции (Лист 15_МРК)</t>
  </si>
  <si>
    <t>Административные издержки (Лист 16_АДМ)</t>
  </si>
  <si>
    <t>Прочие расходы (Лист 17_OPEX_Прочее)</t>
  </si>
  <si>
    <t>Лист5_Приобретение оборудования</t>
  </si>
  <si>
    <t>Итого затраты по ОБР:</t>
  </si>
  <si>
    <t>Лист6_Строительно-монтажные работы</t>
  </si>
  <si>
    <t>Лист7_Пуско-наладочные работы</t>
  </si>
  <si>
    <t>Лист8_Приобретение лицензий</t>
  </si>
  <si>
    <t>Лист9_CAPEX_Прочее</t>
  </si>
  <si>
    <t>Лист10_Арендные платежи</t>
  </si>
  <si>
    <t>Лист11_Фонд оплаты труда с начислениями</t>
  </si>
  <si>
    <t>Лист12_Закупки сырья и материалов</t>
  </si>
  <si>
    <t>Лист13_Процессинг</t>
  </si>
  <si>
    <t>Лист14_Энергоресурсы</t>
  </si>
  <si>
    <t>Лист15_Затраты на продвижение продукции (маркетинг)</t>
  </si>
  <si>
    <t>Лист16_Административные расходы</t>
  </si>
  <si>
    <t>Лист17_OPEX_Прочее</t>
  </si>
  <si>
    <t>Форма № фпп9р3</t>
  </si>
  <si>
    <t>«06» ноября 2023 года</t>
  </si>
  <si>
    <t>Проект: Сеть кафе быстрого питания "Этот вкус клубники"</t>
  </si>
  <si>
    <t>Теплоизоляция помещения</t>
  </si>
  <si>
    <t>Установка освещения</t>
  </si>
  <si>
    <t>Установка оборудования</t>
  </si>
  <si>
    <t>Установка натяжных потолков</t>
  </si>
  <si>
    <t>1С:Предприятие Клиентская лицензия на 5 рабочих мест</t>
  </si>
  <si>
    <t>Патент продукта на 1 объект торговли</t>
  </si>
  <si>
    <t>Аренда помещения</t>
  </si>
  <si>
    <t>Аренда 1С кассы</t>
  </si>
  <si>
    <t>Аренда iiko</t>
  </si>
  <si>
    <t>Управляющий</t>
  </si>
  <si>
    <t>Сотрудник зала 1</t>
  </si>
  <si>
    <t>Сотрудник зала 2</t>
  </si>
  <si>
    <t>Главный бухгалтер</t>
  </si>
  <si>
    <t>Уборщик</t>
  </si>
  <si>
    <t>Курьер</t>
  </si>
  <si>
    <t>Мука</t>
  </si>
  <si>
    <t>Яйца Куриные</t>
  </si>
  <si>
    <t>Сахар</t>
  </si>
  <si>
    <t>Соль</t>
  </si>
  <si>
    <t>Перец</t>
  </si>
  <si>
    <t>Специи</t>
  </si>
  <si>
    <t>Майонез</t>
  </si>
  <si>
    <t>Сметана</t>
  </si>
  <si>
    <t>Сыр</t>
  </si>
  <si>
    <t>Кетчуп</t>
  </si>
  <si>
    <t>Чай в пакетиках</t>
  </si>
  <si>
    <t>Мясо Говядина</t>
  </si>
  <si>
    <t>Шоколад молочный</t>
  </si>
  <si>
    <t>Орехи</t>
  </si>
  <si>
    <t>Мясо Свинное</t>
  </si>
  <si>
    <t>Топпинги</t>
  </si>
  <si>
    <t>Филиное куре</t>
  </si>
  <si>
    <t>Латук</t>
  </si>
  <si>
    <t>Касса для курьера Эвотор 5i</t>
  </si>
  <si>
    <t>Настройка рекламы в Яндекс</t>
  </si>
  <si>
    <t>Бесплатная дегустация</t>
  </si>
  <si>
    <t>Наружная реклама на билбордах</t>
  </si>
  <si>
    <t>Реклама на радио в дневное время</t>
  </si>
  <si>
    <t>Блин с ветчиной</t>
  </si>
  <si>
    <t>Блин с орехами и шоколадом</t>
  </si>
  <si>
    <t>Двойной блин цезарь</t>
  </si>
  <si>
    <t>Кака-коля</t>
  </si>
  <si>
    <t>Блин обычный с сыром</t>
  </si>
  <si>
    <t>Охранная система "Пиджак"</t>
  </si>
  <si>
    <t>Оплата ЖКХ</t>
  </si>
  <si>
    <t>Ежегодная премия сотрудникам</t>
  </si>
  <si>
    <t>Поиск секретной формулы Крабсбургера</t>
  </si>
  <si>
    <t>Анализ лучших практик организации охраны труда</t>
  </si>
  <si>
    <t>Промоутер</t>
  </si>
  <si>
    <t>Обучение младшего персонала</t>
  </si>
  <si>
    <t>Обучение старшего персонала</t>
  </si>
  <si>
    <t>Документирование продукции по ГОСТ</t>
  </si>
  <si>
    <t>Документирование рабочей зоны</t>
  </si>
  <si>
    <t>Стояк Юрий Константинович</t>
  </si>
  <si>
    <t>Управляющий директор</t>
  </si>
  <si>
    <t>Анализ лучших практик противопожарной безопасности</t>
  </si>
  <si>
    <t>Организация корпоративных событий для сотрудников</t>
  </si>
  <si>
    <t>Рыба</t>
  </si>
  <si>
    <t>Сливочный сыр</t>
  </si>
  <si>
    <t>Масло Сливочное</t>
  </si>
  <si>
    <t>Расходы на основное оборудование</t>
  </si>
  <si>
    <t>Расходы на дополнительное оборудование</t>
  </si>
  <si>
    <t>Stoy@k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</si>
</sst>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horizontal="left" vertical="center"/>
    </xf>
    <xf numFmtId="0" fontId="0" fillId="0" borderId="14" xfId="0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3" xfId="0" applyBorder="1" applyAlignment="1">
      <alignment vertical="center"/>
    </xf>
    <xf numFmtId="0" fontId="0" fillId="2" borderId="20" xfId="0" applyFill="1" applyBorder="1" applyAlignment="1">
      <alignment horizontal="left"/>
    </xf>
    <xf numFmtId="0" fontId="0" fillId="0" borderId="0" xfId="0" applyFill="1"/>
    <xf numFmtId="0" fontId="0" fillId="2" borderId="20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/>
    <xf numFmtId="0" fontId="0" fillId="0" borderId="0" xfId="0" applyFill="1" applyAlignment="1">
      <alignment horizontal="left" vertical="center" indent="1"/>
    </xf>
    <xf numFmtId="0" fontId="0" fillId="0" borderId="10" xfId="0" applyFill="1" applyBorder="1" applyAlignment="1">
      <alignment vertical="center"/>
    </xf>
    <xf numFmtId="0" fontId="0" fillId="2" borderId="2" xfId="0" applyFill="1" applyBorder="1" applyAlignment="1">
      <alignment horizontal="right"/>
    </xf>
    <xf numFmtId="0" fontId="6" fillId="0" borderId="9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vertical="center"/>
    </xf>
    <xf numFmtId="0" fontId="0" fillId="0" borderId="15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/>
    </xf>
    <xf numFmtId="0" fontId="0" fillId="0" borderId="12" xfId="0" applyFill="1" applyBorder="1" applyAlignment="1">
      <alignment horizontal="left" vertical="center"/>
    </xf>
    <xf numFmtId="0" fontId="6" fillId="0" borderId="19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/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9" xfId="0" applyFont="1" applyBorder="1"/>
    <xf numFmtId="0" fontId="0" fillId="3" borderId="30" xfId="0" applyFont="1" applyFill="1" applyBorder="1" applyAlignment="1">
      <alignment horizontal="left"/>
    </xf>
    <xf numFmtId="0" fontId="0" fillId="3" borderId="30" xfId="0" applyFont="1" applyFill="1" applyBorder="1" applyAlignment="1">
      <alignment horizontal="right" vertical="center"/>
    </xf>
    <xf numFmtId="0" fontId="0" fillId="3" borderId="31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0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" fillId="0" borderId="0" xfId="71"/>
  </cellXfs>
  <cellStyles count="72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oy@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19" zoomScale="85" zoomScaleNormal="85" zoomScalePageLayoutView="150" workbookViewId="0">
      <selection activeCell="B56" sqref="B56"/>
    </sheetView>
  </sheetViews>
  <sheetFormatPr defaultColWidth="11" defaultRowHeight="15.75" x14ac:dyDescent="0.25"/>
  <cols>
    <col min="1" max="1" width="44.875" style="14" customWidth="1"/>
    <col min="2" max="2" width="21.5" customWidth="1"/>
    <col min="3" max="4" width="21.625" customWidth="1"/>
  </cols>
  <sheetData>
    <row r="1" spans="1:4" x14ac:dyDescent="0.25">
      <c r="D1" s="1" t="s">
        <v>78</v>
      </c>
    </row>
    <row r="3" spans="1:4" x14ac:dyDescent="0.25">
      <c r="A3" s="67" t="s">
        <v>79</v>
      </c>
      <c r="B3" s="67"/>
      <c r="C3" s="67"/>
      <c r="D3" s="2"/>
    </row>
    <row r="4" spans="1:4" ht="18.75" x14ac:dyDescent="0.25">
      <c r="A4" s="3"/>
      <c r="B4" s="2"/>
      <c r="C4" s="2"/>
      <c r="D4" s="2"/>
    </row>
    <row r="5" spans="1:4" ht="18.75" x14ac:dyDescent="0.25">
      <c r="A5" s="4"/>
      <c r="B5" s="2"/>
      <c r="C5" s="2"/>
      <c r="D5" s="2"/>
    </row>
    <row r="6" spans="1:4" ht="18.75" x14ac:dyDescent="0.25">
      <c r="A6" s="68" t="s">
        <v>80</v>
      </c>
      <c r="B6" s="68"/>
      <c r="C6" s="68"/>
      <c r="D6" s="68"/>
    </row>
    <row r="7" spans="1:4" x14ac:dyDescent="0.25">
      <c r="A7" s="69" t="s">
        <v>0</v>
      </c>
      <c r="B7" s="69"/>
      <c r="C7" s="69"/>
      <c r="D7" s="69"/>
    </row>
    <row r="8" spans="1:4" ht="18.75" x14ac:dyDescent="0.25">
      <c r="A8" s="5"/>
      <c r="B8" s="2"/>
      <c r="C8" s="2"/>
      <c r="D8" s="2"/>
    </row>
    <row r="9" spans="1:4" x14ac:dyDescent="0.25">
      <c r="A9" s="70" t="s">
        <v>1</v>
      </c>
      <c r="B9" s="70"/>
      <c r="C9" s="70"/>
      <c r="D9" s="70"/>
    </row>
    <row r="10" spans="1:4" ht="16.5" thickBot="1" x14ac:dyDescent="0.3"/>
    <row r="11" spans="1:4" x14ac:dyDescent="0.25">
      <c r="A11" s="71" t="s">
        <v>3</v>
      </c>
      <c r="B11" s="72"/>
      <c r="C11" s="72"/>
      <c r="D11" s="73"/>
    </row>
    <row r="12" spans="1:4" ht="31.5" x14ac:dyDescent="0.25">
      <c r="A12" s="9" t="s">
        <v>5</v>
      </c>
      <c r="B12" s="7" t="s">
        <v>4</v>
      </c>
      <c r="C12" s="7" t="s">
        <v>39</v>
      </c>
      <c r="D12" s="10" t="s">
        <v>6</v>
      </c>
    </row>
    <row r="13" spans="1:4" x14ac:dyDescent="0.25">
      <c r="A13" s="15" t="s">
        <v>119</v>
      </c>
      <c r="B13" s="6">
        <v>41427</v>
      </c>
      <c r="C13" s="6">
        <v>0.20899999999999999</v>
      </c>
      <c r="D13" s="11">
        <f xml:space="preserve"> B13*C13</f>
        <v>8658.2430000000004</v>
      </c>
    </row>
    <row r="14" spans="1:4" x14ac:dyDescent="0.25">
      <c r="A14" s="15" t="s">
        <v>120</v>
      </c>
      <c r="B14" s="6">
        <v>8252</v>
      </c>
      <c r="C14" s="6">
        <v>0.249</v>
      </c>
      <c r="D14" s="11">
        <f t="shared" ref="D14:D17" si="0" xml:space="preserve"> B14*C14</f>
        <v>2054.748</v>
      </c>
    </row>
    <row r="15" spans="1:4" x14ac:dyDescent="0.25">
      <c r="A15" s="15" t="s">
        <v>121</v>
      </c>
      <c r="B15" s="6">
        <v>4142</v>
      </c>
      <c r="C15" s="6">
        <v>0.35</v>
      </c>
      <c r="D15" s="11">
        <f t="shared" si="0"/>
        <v>1449.6999999999998</v>
      </c>
    </row>
    <row r="16" spans="1:4" x14ac:dyDescent="0.25">
      <c r="A16" s="15" t="s">
        <v>122</v>
      </c>
      <c r="B16" s="6">
        <v>33142</v>
      </c>
      <c r="C16" s="6">
        <v>0.159</v>
      </c>
      <c r="D16" s="11">
        <f t="shared" si="0"/>
        <v>5269.5780000000004</v>
      </c>
    </row>
    <row r="17" spans="1:5" x14ac:dyDescent="0.25">
      <c r="A17" s="15" t="s">
        <v>123</v>
      </c>
      <c r="B17" s="6">
        <v>33100</v>
      </c>
      <c r="C17" s="6">
        <v>0.08</v>
      </c>
      <c r="D17" s="11">
        <f t="shared" si="0"/>
        <v>2648</v>
      </c>
    </row>
    <row r="18" spans="1:5" ht="16.5" thickBot="1" x14ac:dyDescent="0.3">
      <c r="A18" s="62" t="s">
        <v>12</v>
      </c>
      <c r="B18" s="63"/>
      <c r="C18" s="64"/>
      <c r="D18" s="36">
        <f>D13+D14+D15+D16+D17</f>
        <v>20080.269</v>
      </c>
    </row>
    <row r="19" spans="1:5" ht="16.5" thickBot="1" x14ac:dyDescent="0.3">
      <c r="A19" s="28"/>
      <c r="B19" s="21"/>
      <c r="C19" s="21"/>
      <c r="D19" s="21"/>
    </row>
    <row r="20" spans="1:5" x14ac:dyDescent="0.25">
      <c r="A20" s="29" t="s">
        <v>2</v>
      </c>
      <c r="B20" s="30"/>
      <c r="C20" s="21"/>
      <c r="D20" s="21"/>
    </row>
    <row r="21" spans="1:5" x14ac:dyDescent="0.25">
      <c r="A21" s="65" t="s">
        <v>10</v>
      </c>
      <c r="B21" s="66"/>
      <c r="C21" s="21"/>
      <c r="D21" s="21"/>
    </row>
    <row r="22" spans="1:5" s="21" customFormat="1" x14ac:dyDescent="0.25">
      <c r="A22" s="25"/>
      <c r="B22" s="26" t="s">
        <v>35</v>
      </c>
      <c r="E22"/>
    </row>
    <row r="23" spans="1:5" x14ac:dyDescent="0.25">
      <c r="A23" s="31" t="s">
        <v>16</v>
      </c>
      <c r="B23" s="32">
        <f>Лист1_НИР!B35</f>
        <v>750</v>
      </c>
      <c r="C23" s="21"/>
      <c r="D23" s="21"/>
    </row>
    <row r="24" spans="1:5" x14ac:dyDescent="0.25">
      <c r="A24" s="31" t="s">
        <v>17</v>
      </c>
      <c r="B24" s="32">
        <f>Лист2_ОКР!B35</f>
        <v>0</v>
      </c>
      <c r="C24" s="21"/>
      <c r="D24" s="21"/>
    </row>
    <row r="25" spans="1:5" x14ac:dyDescent="0.25">
      <c r="A25" s="31" t="s">
        <v>18</v>
      </c>
      <c r="B25" s="32">
        <f>Лист3_ИИ!B35</f>
        <v>0</v>
      </c>
      <c r="C25" s="21"/>
      <c r="D25" s="33"/>
    </row>
    <row r="26" spans="1:5" x14ac:dyDescent="0.25">
      <c r="A26" s="34" t="s">
        <v>19</v>
      </c>
      <c r="B26" s="32">
        <f>Лист4_ПД!B35</f>
        <v>630</v>
      </c>
      <c r="C26" s="21"/>
      <c r="D26" s="33"/>
    </row>
    <row r="27" spans="1:5" x14ac:dyDescent="0.25">
      <c r="A27" s="34" t="s">
        <v>51</v>
      </c>
      <c r="B27" s="32">
        <f>SUM(Лист5_ОБР!B35)</f>
        <v>0</v>
      </c>
      <c r="C27" s="21"/>
      <c r="D27" s="33"/>
    </row>
    <row r="28" spans="1:5" x14ac:dyDescent="0.25">
      <c r="A28" s="34" t="s">
        <v>52</v>
      </c>
      <c r="B28" s="32">
        <f>Лист6_СМР!B35</f>
        <v>365</v>
      </c>
      <c r="C28" s="21"/>
      <c r="D28" s="33"/>
    </row>
    <row r="29" spans="1:5" x14ac:dyDescent="0.25">
      <c r="A29" s="34" t="s">
        <v>53</v>
      </c>
      <c r="B29" s="32">
        <f>Лист7_ПНР!B35</f>
        <v>70</v>
      </c>
      <c r="C29" s="21"/>
      <c r="D29" s="33"/>
    </row>
    <row r="30" spans="1:5" x14ac:dyDescent="0.25">
      <c r="A30" s="34" t="s">
        <v>54</v>
      </c>
      <c r="B30" s="32">
        <f>Лист8_ЛИЦ!B35</f>
        <v>344.24700000000001</v>
      </c>
      <c r="C30" s="21"/>
      <c r="D30" s="33"/>
    </row>
    <row r="31" spans="1:5" x14ac:dyDescent="0.25">
      <c r="A31" s="34" t="s">
        <v>55</v>
      </c>
      <c r="B31" s="32">
        <f>Лист9_CAPEX_Прочее!B35</f>
        <v>0</v>
      </c>
      <c r="C31" s="21"/>
      <c r="D31" s="21"/>
    </row>
    <row r="32" spans="1:5" ht="16.5" thickBot="1" x14ac:dyDescent="0.3">
      <c r="A32" s="27" t="s">
        <v>13</v>
      </c>
      <c r="B32" s="36">
        <f>SUM(B23:B31)</f>
        <v>2159.2469999999998</v>
      </c>
      <c r="C32" s="21"/>
      <c r="D32" s="21"/>
    </row>
    <row r="33" spans="1:5" ht="16.5" thickBot="1" x14ac:dyDescent="0.3">
      <c r="A33" s="24"/>
      <c r="B33" s="18"/>
      <c r="C33" s="18"/>
      <c r="D33" s="18"/>
    </row>
    <row r="34" spans="1:5" s="23" customFormat="1" ht="30" customHeight="1" x14ac:dyDescent="0.25">
      <c r="A34" s="60" t="s">
        <v>11</v>
      </c>
      <c r="B34" s="61"/>
      <c r="E34"/>
    </row>
    <row r="35" spans="1:5" s="23" customFormat="1" ht="15" customHeight="1" x14ac:dyDescent="0.25">
      <c r="A35" s="38"/>
      <c r="B35" s="26" t="s">
        <v>35</v>
      </c>
      <c r="E35"/>
    </row>
    <row r="36" spans="1:5" x14ac:dyDescent="0.25">
      <c r="A36" s="15" t="s">
        <v>56</v>
      </c>
      <c r="B36" s="11">
        <f>Лист10_АП!B35</f>
        <v>1524</v>
      </c>
    </row>
    <row r="37" spans="1:5" x14ac:dyDescent="0.25">
      <c r="A37" s="15" t="s">
        <v>57</v>
      </c>
      <c r="B37" s="55">
        <f>Лист11_ФОТ!E35</f>
        <v>4378.469759999999</v>
      </c>
    </row>
    <row r="38" spans="1:5" x14ac:dyDescent="0.25">
      <c r="A38" s="15" t="s">
        <v>58</v>
      </c>
      <c r="B38" s="11">
        <f>Лист12_СМ!B35</f>
        <v>1814.28</v>
      </c>
    </row>
    <row r="39" spans="1:5" x14ac:dyDescent="0.25">
      <c r="A39" s="15" t="s">
        <v>59</v>
      </c>
      <c r="B39" s="11">
        <f>Лист13_ПРЦ!B35</f>
        <v>176.39999999999998</v>
      </c>
    </row>
    <row r="40" spans="1:5" x14ac:dyDescent="0.25">
      <c r="A40" s="15" t="s">
        <v>60</v>
      </c>
      <c r="B40" s="11">
        <f>Лист14_ЭР!B35</f>
        <v>180</v>
      </c>
    </row>
    <row r="41" spans="1:5" x14ac:dyDescent="0.25">
      <c r="A41" s="15" t="s">
        <v>61</v>
      </c>
      <c r="B41" s="11">
        <f>Лист15_МРК!B35</f>
        <v>2222</v>
      </c>
    </row>
    <row r="42" spans="1:5" x14ac:dyDescent="0.25">
      <c r="A42" s="15" t="s">
        <v>62</v>
      </c>
      <c r="B42" s="11">
        <f>Лист16_АДМ!B35</f>
        <v>1270</v>
      </c>
    </row>
    <row r="43" spans="1:5" x14ac:dyDescent="0.25">
      <c r="A43" s="15" t="s">
        <v>63</v>
      </c>
      <c r="B43" s="11">
        <f>Лист17_OPEX_Прочее!B35</f>
        <v>700</v>
      </c>
    </row>
    <row r="44" spans="1:5" ht="16.5" thickBot="1" x14ac:dyDescent="0.3">
      <c r="A44" s="39" t="s">
        <v>14</v>
      </c>
      <c r="B44" s="36">
        <f>SUM(B36:B43)</f>
        <v>12265.149759999998</v>
      </c>
    </row>
    <row r="45" spans="1:5" ht="16.5" thickBot="1" x14ac:dyDescent="0.3">
      <c r="A45" s="17"/>
      <c r="B45" s="17"/>
      <c r="C45" s="17"/>
      <c r="D45" s="18"/>
    </row>
    <row r="46" spans="1:5" ht="16.5" thickBot="1" x14ac:dyDescent="0.3">
      <c r="A46" s="40" t="s">
        <v>15</v>
      </c>
      <c r="B46" s="41">
        <f>B32+B44</f>
        <v>14424.396759999998</v>
      </c>
    </row>
    <row r="47" spans="1:5" ht="16.5" thickBot="1" x14ac:dyDescent="0.3">
      <c r="A47" s="17"/>
      <c r="B47" s="17"/>
      <c r="C47" s="17"/>
      <c r="D47" s="18"/>
    </row>
    <row r="48" spans="1:5" ht="45" customHeight="1" thickBot="1" x14ac:dyDescent="0.3">
      <c r="A48" s="57" t="s">
        <v>36</v>
      </c>
      <c r="B48" s="58"/>
      <c r="C48" s="59"/>
      <c r="D48" s="37">
        <f>(D18-B44)</f>
        <v>7815.1192400000018</v>
      </c>
    </row>
    <row r="49" spans="1:4" ht="16.5" thickBot="1" x14ac:dyDescent="0.3">
      <c r="A49" s="24"/>
      <c r="B49" s="18"/>
      <c r="C49" s="18"/>
      <c r="D49" s="18"/>
    </row>
    <row r="50" spans="1:4" ht="45" customHeight="1" thickBot="1" x14ac:dyDescent="0.3">
      <c r="A50" s="57" t="s">
        <v>37</v>
      </c>
      <c r="B50" s="58"/>
      <c r="C50" s="59"/>
      <c r="D50" s="37">
        <f>(D18-B46)</f>
        <v>5655.8722400000024</v>
      </c>
    </row>
    <row r="51" spans="1:4" x14ac:dyDescent="0.25">
      <c r="A51" s="16"/>
      <c r="B51" s="8"/>
      <c r="C51" s="8"/>
      <c r="D51" s="8"/>
    </row>
    <row r="53" spans="1:4" x14ac:dyDescent="0.25">
      <c r="A53" s="14" t="s">
        <v>7</v>
      </c>
      <c r="B53" t="s">
        <v>135</v>
      </c>
    </row>
    <row r="54" spans="1:4" x14ac:dyDescent="0.25">
      <c r="A54" s="14" t="s">
        <v>8</v>
      </c>
      <c r="B54" t="s">
        <v>134</v>
      </c>
    </row>
    <row r="55" spans="1:4" x14ac:dyDescent="0.25">
      <c r="A55" s="14" t="s">
        <v>9</v>
      </c>
      <c r="B55" s="74" t="s">
        <v>143</v>
      </c>
      <c r="C55" s="12"/>
    </row>
  </sheetData>
  <mergeCells count="10">
    <mergeCell ref="A3:C3"/>
    <mergeCell ref="A6:D6"/>
    <mergeCell ref="A7:D7"/>
    <mergeCell ref="A9:D9"/>
    <mergeCell ref="A11:D11"/>
    <mergeCell ref="A50:C50"/>
    <mergeCell ref="A48:C48"/>
    <mergeCell ref="A34:B34"/>
    <mergeCell ref="A18:C18"/>
    <mergeCell ref="A21:B21"/>
  </mergeCells>
  <hyperlinks>
    <hyperlink ref="B55" r:id="rId1" xr:uid="{8A444322-AFEE-40BB-8582-38DA0E01CA99}"/>
  </hyperlinks>
  <pageMargins left="0.75" right="0.75" top="1" bottom="1" header="0.5" footer="0.5"/>
  <pageSetup paperSize="8" orientation="landscape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5"/>
  <sheetViews>
    <sheetView workbookViewId="0">
      <selection activeCell="K35" sqref="K3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69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22</v>
      </c>
      <c r="B4" s="6">
        <v>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s="23" customFormat="1" ht="32.25" thickBot="1" x14ac:dyDescent="0.3">
      <c r="A35" s="22" t="s">
        <v>33</v>
      </c>
      <c r="B35" s="43">
        <f>SUM(B4:B33)</f>
        <v>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5"/>
  <sheetViews>
    <sheetView workbookViewId="0">
      <selection activeCell="A6" sqref="A6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70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87</v>
      </c>
      <c r="B4" s="6">
        <f>90 * 12</f>
        <v>1080</v>
      </c>
    </row>
    <row r="5" spans="1:2" x14ac:dyDescent="0.25">
      <c r="A5" s="15" t="s">
        <v>88</v>
      </c>
      <c r="B5" s="6">
        <f>20 * 12</f>
        <v>240</v>
      </c>
    </row>
    <row r="6" spans="1:2" x14ac:dyDescent="0.25">
      <c r="A6" s="15" t="s">
        <v>89</v>
      </c>
      <c r="B6" s="6">
        <f>17 * 12</f>
        <v>204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38</v>
      </c>
      <c r="B35" s="42">
        <f>SUM(B4:B33)</f>
        <v>1524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5"/>
  <sheetViews>
    <sheetView workbookViewId="0">
      <selection activeCell="B11" sqref="B11"/>
    </sheetView>
  </sheetViews>
  <sheetFormatPr defaultColWidth="11" defaultRowHeight="15.75" x14ac:dyDescent="0.25"/>
  <cols>
    <col min="1" max="1" width="22.625" style="44" customWidth="1"/>
    <col min="2" max="5" width="10.375" style="44" customWidth="1"/>
  </cols>
  <sheetData>
    <row r="1" spans="1:5" x14ac:dyDescent="0.25">
      <c r="A1" s="44" t="s">
        <v>71</v>
      </c>
    </row>
    <row r="3" spans="1:5" ht="63" x14ac:dyDescent="0.25">
      <c r="A3" s="45" t="s">
        <v>21</v>
      </c>
      <c r="B3" s="45" t="s">
        <v>45</v>
      </c>
      <c r="C3" s="45" t="s">
        <v>46</v>
      </c>
      <c r="D3" s="45" t="s">
        <v>48</v>
      </c>
      <c r="E3" s="45" t="s">
        <v>47</v>
      </c>
    </row>
    <row r="4" spans="1:5" x14ac:dyDescent="0.25">
      <c r="A4" s="46" t="s">
        <v>91</v>
      </c>
      <c r="B4" s="47">
        <v>33</v>
      </c>
      <c r="C4" s="47">
        <f>B4*1.13</f>
        <v>37.29</v>
      </c>
      <c r="D4" s="47">
        <f>C4*1.302</f>
        <v>48.551580000000001</v>
      </c>
      <c r="E4" s="48">
        <f>D4*12</f>
        <v>582.61896000000002</v>
      </c>
    </row>
    <row r="5" spans="1:5" x14ac:dyDescent="0.25">
      <c r="A5" s="46" t="s">
        <v>92</v>
      </c>
      <c r="B5" s="47">
        <v>33</v>
      </c>
      <c r="C5" s="47">
        <f t="shared" ref="C5:C33" si="0">B5*1.13</f>
        <v>37.29</v>
      </c>
      <c r="D5" s="47">
        <f t="shared" ref="D5:D33" si="1">C5*1.302</f>
        <v>48.551580000000001</v>
      </c>
      <c r="E5" s="48">
        <f t="shared" ref="E5:E33" si="2">D5*12</f>
        <v>582.61896000000002</v>
      </c>
    </row>
    <row r="6" spans="1:5" x14ac:dyDescent="0.25">
      <c r="A6" s="46" t="s">
        <v>90</v>
      </c>
      <c r="B6" s="47">
        <v>60</v>
      </c>
      <c r="C6" s="47">
        <f t="shared" si="0"/>
        <v>67.8</v>
      </c>
      <c r="D6" s="47">
        <f t="shared" si="1"/>
        <v>88.275599999999997</v>
      </c>
      <c r="E6" s="48">
        <f t="shared" si="2"/>
        <v>1059.3072</v>
      </c>
    </row>
    <row r="7" spans="1:5" x14ac:dyDescent="0.25">
      <c r="A7" s="46" t="s">
        <v>93</v>
      </c>
      <c r="B7" s="47">
        <v>55</v>
      </c>
      <c r="C7" s="47">
        <f t="shared" si="0"/>
        <v>62.149999999999991</v>
      </c>
      <c r="D7" s="47">
        <f t="shared" si="1"/>
        <v>80.919299999999993</v>
      </c>
      <c r="E7" s="48">
        <f t="shared" si="2"/>
        <v>971.03159999999991</v>
      </c>
    </row>
    <row r="8" spans="1:5" x14ac:dyDescent="0.25">
      <c r="A8" s="46" t="s">
        <v>94</v>
      </c>
      <c r="B8" s="47">
        <v>24</v>
      </c>
      <c r="C8" s="47">
        <f t="shared" si="0"/>
        <v>27.119999999999997</v>
      </c>
      <c r="D8" s="47">
        <f t="shared" si="1"/>
        <v>35.31024</v>
      </c>
      <c r="E8" s="48">
        <f t="shared" si="2"/>
        <v>423.72288000000003</v>
      </c>
    </row>
    <row r="9" spans="1:5" x14ac:dyDescent="0.25">
      <c r="A9" s="46" t="s">
        <v>95</v>
      </c>
      <c r="B9" s="47">
        <v>25</v>
      </c>
      <c r="C9" s="47">
        <f t="shared" si="0"/>
        <v>28.249999999999996</v>
      </c>
      <c r="D9" s="47">
        <f t="shared" si="1"/>
        <v>36.781499999999994</v>
      </c>
      <c r="E9" s="48">
        <f t="shared" si="2"/>
        <v>441.37799999999993</v>
      </c>
    </row>
    <row r="10" spans="1:5" x14ac:dyDescent="0.25">
      <c r="A10" s="46" t="s">
        <v>129</v>
      </c>
      <c r="B10" s="47">
        <v>18</v>
      </c>
      <c r="C10" s="47">
        <f t="shared" si="0"/>
        <v>20.339999999999996</v>
      </c>
      <c r="D10" s="47">
        <f t="shared" si="1"/>
        <v>26.482679999999995</v>
      </c>
      <c r="E10" s="48">
        <f t="shared" si="2"/>
        <v>317.79215999999997</v>
      </c>
    </row>
    <row r="11" spans="1:5" x14ac:dyDescent="0.25">
      <c r="A11" s="46" t="s">
        <v>22</v>
      </c>
      <c r="B11" s="47">
        <v>0</v>
      </c>
      <c r="C11" s="47">
        <f t="shared" si="0"/>
        <v>0</v>
      </c>
      <c r="D11" s="47">
        <f t="shared" si="1"/>
        <v>0</v>
      </c>
      <c r="E11" s="48">
        <f t="shared" si="2"/>
        <v>0</v>
      </c>
    </row>
    <row r="12" spans="1:5" x14ac:dyDescent="0.25">
      <c r="A12" s="46" t="s">
        <v>22</v>
      </c>
      <c r="B12" s="47">
        <v>0</v>
      </c>
      <c r="C12" s="47">
        <f t="shared" si="0"/>
        <v>0</v>
      </c>
      <c r="D12" s="47">
        <f t="shared" si="1"/>
        <v>0</v>
      </c>
      <c r="E12" s="48">
        <f t="shared" si="2"/>
        <v>0</v>
      </c>
    </row>
    <row r="13" spans="1:5" x14ac:dyDescent="0.25">
      <c r="A13" s="46" t="s">
        <v>22</v>
      </c>
      <c r="B13" s="47">
        <v>0</v>
      </c>
      <c r="C13" s="47">
        <f t="shared" si="0"/>
        <v>0</v>
      </c>
      <c r="D13" s="47">
        <f t="shared" si="1"/>
        <v>0</v>
      </c>
      <c r="E13" s="48">
        <f t="shared" si="2"/>
        <v>0</v>
      </c>
    </row>
    <row r="14" spans="1:5" x14ac:dyDescent="0.25">
      <c r="A14" s="46" t="s">
        <v>22</v>
      </c>
      <c r="B14" s="47">
        <v>0</v>
      </c>
      <c r="C14" s="47">
        <f t="shared" si="0"/>
        <v>0</v>
      </c>
      <c r="D14" s="47">
        <f t="shared" si="1"/>
        <v>0</v>
      </c>
      <c r="E14" s="48">
        <f t="shared" si="2"/>
        <v>0</v>
      </c>
    </row>
    <row r="15" spans="1:5" x14ac:dyDescent="0.25">
      <c r="A15" s="46" t="s">
        <v>22</v>
      </c>
      <c r="B15" s="47">
        <v>0</v>
      </c>
      <c r="C15" s="47">
        <f t="shared" si="0"/>
        <v>0</v>
      </c>
      <c r="D15" s="47">
        <f t="shared" si="1"/>
        <v>0</v>
      </c>
      <c r="E15" s="48">
        <f t="shared" si="2"/>
        <v>0</v>
      </c>
    </row>
    <row r="16" spans="1:5" x14ac:dyDescent="0.25">
      <c r="A16" s="46" t="s">
        <v>22</v>
      </c>
      <c r="B16" s="47">
        <v>0</v>
      </c>
      <c r="C16" s="47">
        <f t="shared" si="0"/>
        <v>0</v>
      </c>
      <c r="D16" s="47">
        <f t="shared" si="1"/>
        <v>0</v>
      </c>
      <c r="E16" s="48">
        <f t="shared" si="2"/>
        <v>0</v>
      </c>
    </row>
    <row r="17" spans="1:5" x14ac:dyDescent="0.25">
      <c r="A17" s="46" t="s">
        <v>22</v>
      </c>
      <c r="B17" s="47">
        <v>0</v>
      </c>
      <c r="C17" s="47">
        <f t="shared" si="0"/>
        <v>0</v>
      </c>
      <c r="D17" s="47">
        <f t="shared" si="1"/>
        <v>0</v>
      </c>
      <c r="E17" s="48">
        <f t="shared" si="2"/>
        <v>0</v>
      </c>
    </row>
    <row r="18" spans="1:5" x14ac:dyDescent="0.25">
      <c r="A18" s="46" t="s">
        <v>22</v>
      </c>
      <c r="B18" s="47">
        <v>0</v>
      </c>
      <c r="C18" s="47">
        <f t="shared" si="0"/>
        <v>0</v>
      </c>
      <c r="D18" s="47">
        <f t="shared" si="1"/>
        <v>0</v>
      </c>
      <c r="E18" s="48">
        <f t="shared" si="2"/>
        <v>0</v>
      </c>
    </row>
    <row r="19" spans="1:5" x14ac:dyDescent="0.25">
      <c r="A19" s="46" t="s">
        <v>22</v>
      </c>
      <c r="B19" s="47">
        <v>0</v>
      </c>
      <c r="C19" s="47">
        <f t="shared" si="0"/>
        <v>0</v>
      </c>
      <c r="D19" s="47">
        <f t="shared" si="1"/>
        <v>0</v>
      </c>
      <c r="E19" s="48">
        <f t="shared" si="2"/>
        <v>0</v>
      </c>
    </row>
    <row r="20" spans="1:5" x14ac:dyDescent="0.25">
      <c r="A20" s="46" t="s">
        <v>22</v>
      </c>
      <c r="B20" s="47">
        <v>0</v>
      </c>
      <c r="C20" s="47">
        <f t="shared" si="0"/>
        <v>0</v>
      </c>
      <c r="D20" s="47">
        <f t="shared" si="1"/>
        <v>0</v>
      </c>
      <c r="E20" s="48">
        <f t="shared" si="2"/>
        <v>0</v>
      </c>
    </row>
    <row r="21" spans="1:5" x14ac:dyDescent="0.25">
      <c r="A21" s="46" t="s">
        <v>22</v>
      </c>
      <c r="B21" s="47">
        <v>0</v>
      </c>
      <c r="C21" s="47">
        <f t="shared" si="0"/>
        <v>0</v>
      </c>
      <c r="D21" s="47">
        <f t="shared" si="1"/>
        <v>0</v>
      </c>
      <c r="E21" s="48">
        <f t="shared" si="2"/>
        <v>0</v>
      </c>
    </row>
    <row r="22" spans="1:5" x14ac:dyDescent="0.25">
      <c r="A22" s="46" t="s">
        <v>22</v>
      </c>
      <c r="B22" s="47">
        <v>0</v>
      </c>
      <c r="C22" s="47">
        <f t="shared" si="0"/>
        <v>0</v>
      </c>
      <c r="D22" s="47">
        <f t="shared" si="1"/>
        <v>0</v>
      </c>
      <c r="E22" s="48">
        <f t="shared" si="2"/>
        <v>0</v>
      </c>
    </row>
    <row r="23" spans="1:5" x14ac:dyDescent="0.25">
      <c r="A23" s="46" t="s">
        <v>22</v>
      </c>
      <c r="B23" s="47">
        <v>0</v>
      </c>
      <c r="C23" s="47">
        <f t="shared" si="0"/>
        <v>0</v>
      </c>
      <c r="D23" s="47">
        <f t="shared" si="1"/>
        <v>0</v>
      </c>
      <c r="E23" s="48">
        <f t="shared" si="2"/>
        <v>0</v>
      </c>
    </row>
    <row r="24" spans="1:5" x14ac:dyDescent="0.25">
      <c r="A24" s="46" t="s">
        <v>22</v>
      </c>
      <c r="B24" s="47">
        <v>0</v>
      </c>
      <c r="C24" s="47">
        <f t="shared" si="0"/>
        <v>0</v>
      </c>
      <c r="D24" s="47">
        <f t="shared" si="1"/>
        <v>0</v>
      </c>
      <c r="E24" s="48">
        <f t="shared" si="2"/>
        <v>0</v>
      </c>
    </row>
    <row r="25" spans="1:5" x14ac:dyDescent="0.25">
      <c r="A25" s="46" t="s">
        <v>22</v>
      </c>
      <c r="B25" s="47">
        <v>0</v>
      </c>
      <c r="C25" s="47">
        <f t="shared" si="0"/>
        <v>0</v>
      </c>
      <c r="D25" s="47">
        <f t="shared" si="1"/>
        <v>0</v>
      </c>
      <c r="E25" s="48">
        <f t="shared" si="2"/>
        <v>0</v>
      </c>
    </row>
    <row r="26" spans="1:5" x14ac:dyDescent="0.25">
      <c r="A26" s="46" t="s">
        <v>22</v>
      </c>
      <c r="B26" s="47">
        <v>0</v>
      </c>
      <c r="C26" s="47">
        <f t="shared" si="0"/>
        <v>0</v>
      </c>
      <c r="D26" s="47">
        <f t="shared" si="1"/>
        <v>0</v>
      </c>
      <c r="E26" s="48">
        <f t="shared" si="2"/>
        <v>0</v>
      </c>
    </row>
    <row r="27" spans="1:5" x14ac:dyDescent="0.25">
      <c r="A27" s="46" t="s">
        <v>22</v>
      </c>
      <c r="B27" s="47">
        <v>0</v>
      </c>
      <c r="C27" s="47">
        <f t="shared" si="0"/>
        <v>0</v>
      </c>
      <c r="D27" s="47">
        <f t="shared" si="1"/>
        <v>0</v>
      </c>
      <c r="E27" s="48">
        <f t="shared" si="2"/>
        <v>0</v>
      </c>
    </row>
    <row r="28" spans="1:5" x14ac:dyDescent="0.25">
      <c r="A28" s="46" t="s">
        <v>22</v>
      </c>
      <c r="B28" s="47">
        <v>0</v>
      </c>
      <c r="C28" s="47">
        <f t="shared" si="0"/>
        <v>0</v>
      </c>
      <c r="D28" s="47">
        <f t="shared" si="1"/>
        <v>0</v>
      </c>
      <c r="E28" s="48">
        <f t="shared" si="2"/>
        <v>0</v>
      </c>
    </row>
    <row r="29" spans="1:5" x14ac:dyDescent="0.25">
      <c r="A29" s="46" t="s">
        <v>22</v>
      </c>
      <c r="B29" s="47">
        <v>0</v>
      </c>
      <c r="C29" s="47">
        <f t="shared" si="0"/>
        <v>0</v>
      </c>
      <c r="D29" s="47">
        <f t="shared" si="1"/>
        <v>0</v>
      </c>
      <c r="E29" s="48">
        <f t="shared" si="2"/>
        <v>0</v>
      </c>
    </row>
    <row r="30" spans="1:5" x14ac:dyDescent="0.25">
      <c r="A30" s="46" t="s">
        <v>22</v>
      </c>
      <c r="B30" s="47">
        <v>0</v>
      </c>
      <c r="C30" s="47">
        <f t="shared" si="0"/>
        <v>0</v>
      </c>
      <c r="D30" s="47">
        <f t="shared" si="1"/>
        <v>0</v>
      </c>
      <c r="E30" s="48">
        <f t="shared" si="2"/>
        <v>0</v>
      </c>
    </row>
    <row r="31" spans="1:5" x14ac:dyDescent="0.25">
      <c r="A31" s="46" t="s">
        <v>22</v>
      </c>
      <c r="B31" s="47">
        <v>0</v>
      </c>
      <c r="C31" s="47">
        <f t="shared" si="0"/>
        <v>0</v>
      </c>
      <c r="D31" s="47">
        <f t="shared" si="1"/>
        <v>0</v>
      </c>
      <c r="E31" s="48">
        <f t="shared" si="2"/>
        <v>0</v>
      </c>
    </row>
    <row r="32" spans="1:5" x14ac:dyDescent="0.25">
      <c r="A32" s="46" t="s">
        <v>22</v>
      </c>
      <c r="B32" s="47">
        <v>0</v>
      </c>
      <c r="C32" s="47">
        <f t="shared" si="0"/>
        <v>0</v>
      </c>
      <c r="D32" s="47">
        <f t="shared" si="1"/>
        <v>0</v>
      </c>
      <c r="E32" s="48">
        <f t="shared" si="2"/>
        <v>0</v>
      </c>
    </row>
    <row r="33" spans="1:5" x14ac:dyDescent="0.25">
      <c r="A33" s="46" t="s">
        <v>22</v>
      </c>
      <c r="B33" s="47">
        <v>0</v>
      </c>
      <c r="C33" s="47">
        <f t="shared" si="0"/>
        <v>0</v>
      </c>
      <c r="D33" s="47">
        <f t="shared" si="1"/>
        <v>0</v>
      </c>
      <c r="E33" s="48">
        <f t="shared" si="2"/>
        <v>0</v>
      </c>
    </row>
    <row r="34" spans="1:5" ht="16.5" thickBot="1" x14ac:dyDescent="0.3">
      <c r="A34" s="49"/>
      <c r="B34" s="50"/>
      <c r="C34" s="50"/>
      <c r="D34" s="50"/>
      <c r="E34" s="51"/>
    </row>
    <row r="35" spans="1:5" ht="16.5" thickBot="1" x14ac:dyDescent="0.3">
      <c r="A35" s="52" t="s">
        <v>49</v>
      </c>
      <c r="B35" s="53">
        <f t="shared" ref="B35:D35" si="3">SUM(B4:B33)</f>
        <v>248</v>
      </c>
      <c r="C35" s="53">
        <f t="shared" si="3"/>
        <v>280.23999999999995</v>
      </c>
      <c r="D35" s="53">
        <f t="shared" si="3"/>
        <v>364.87248</v>
      </c>
      <c r="E35" s="54">
        <f>SUM(E4:E33)</f>
        <v>4378.469759999999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5"/>
  <sheetViews>
    <sheetView workbookViewId="0">
      <selection activeCell="D29" sqref="D29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72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96</v>
      </c>
      <c r="B4" s="6">
        <f>100 * 0.108 * 12</f>
        <v>129.60000000000002</v>
      </c>
    </row>
    <row r="5" spans="1:2" x14ac:dyDescent="0.25">
      <c r="A5" s="15" t="s">
        <v>97</v>
      </c>
      <c r="B5" s="6">
        <f>30 * 0.109 * 12</f>
        <v>39.24</v>
      </c>
    </row>
    <row r="6" spans="1:2" x14ac:dyDescent="0.25">
      <c r="A6" s="15" t="s">
        <v>98</v>
      </c>
      <c r="B6" s="6">
        <f>20 * 0.082 * 12</f>
        <v>19.68</v>
      </c>
    </row>
    <row r="7" spans="1:2" x14ac:dyDescent="0.25">
      <c r="A7" s="15" t="s">
        <v>99</v>
      </c>
      <c r="B7" s="6">
        <f>15 * 0.071 * 12</f>
        <v>12.78</v>
      </c>
    </row>
    <row r="8" spans="1:2" x14ac:dyDescent="0.25">
      <c r="A8" s="15" t="s">
        <v>100</v>
      </c>
      <c r="B8" s="6">
        <f>15 * 0.375 * 12</f>
        <v>67.5</v>
      </c>
    </row>
    <row r="9" spans="1:2" x14ac:dyDescent="0.25">
      <c r="A9" s="15" t="s">
        <v>101</v>
      </c>
      <c r="B9" s="6">
        <f>15 * 0.079 * 12</f>
        <v>14.22</v>
      </c>
    </row>
    <row r="10" spans="1:2" x14ac:dyDescent="0.25">
      <c r="A10" s="15" t="s">
        <v>112</v>
      </c>
      <c r="B10" s="6">
        <f>50*0.209 * 12</f>
        <v>125.39999999999999</v>
      </c>
    </row>
    <row r="11" spans="1:2" x14ac:dyDescent="0.25">
      <c r="A11" s="15" t="s">
        <v>110</v>
      </c>
      <c r="B11" s="6">
        <f>30*0.369 * 12</f>
        <v>132.84</v>
      </c>
    </row>
    <row r="12" spans="1:2" x14ac:dyDescent="0.25">
      <c r="A12" s="15" t="s">
        <v>107</v>
      </c>
      <c r="B12" s="6">
        <f>20*0.51 * 12</f>
        <v>122.39999999999999</v>
      </c>
    </row>
    <row r="13" spans="1:2" x14ac:dyDescent="0.25">
      <c r="A13" s="15" t="s">
        <v>113</v>
      </c>
      <c r="B13" s="6">
        <f>25 * 0.075 * 12</f>
        <v>22.5</v>
      </c>
    </row>
    <row r="14" spans="1:2" x14ac:dyDescent="0.25">
      <c r="A14" s="15" t="s">
        <v>102</v>
      </c>
      <c r="B14" s="6">
        <f>15 *0.109 * 12</f>
        <v>19.62</v>
      </c>
    </row>
    <row r="15" spans="1:2" x14ac:dyDescent="0.25">
      <c r="A15" s="15" t="s">
        <v>103</v>
      </c>
      <c r="B15" s="6">
        <f>12*0.109 * 12</f>
        <v>15.696000000000002</v>
      </c>
    </row>
    <row r="16" spans="1:2" x14ac:dyDescent="0.25">
      <c r="A16" s="15" t="s">
        <v>104</v>
      </c>
      <c r="B16" s="6">
        <f>20 * 0.279 * 12</f>
        <v>66.960000000000008</v>
      </c>
    </row>
    <row r="17" spans="1:2" x14ac:dyDescent="0.25">
      <c r="A17" s="15" t="s">
        <v>105</v>
      </c>
      <c r="B17" s="6">
        <f>8*0.109 * 12</f>
        <v>10.464</v>
      </c>
    </row>
    <row r="18" spans="1:2" x14ac:dyDescent="0.25">
      <c r="A18" s="15" t="s">
        <v>106</v>
      </c>
      <c r="B18" s="6">
        <f>10 * 0.439 * 12</f>
        <v>52.679999999999993</v>
      </c>
    </row>
    <row r="19" spans="1:2" x14ac:dyDescent="0.25">
      <c r="A19" s="15" t="s">
        <v>122</v>
      </c>
      <c r="B19" s="6">
        <f>150 * 0.12 * 12</f>
        <v>216</v>
      </c>
    </row>
    <row r="20" spans="1:2" x14ac:dyDescent="0.25">
      <c r="A20" s="15" t="s">
        <v>108</v>
      </c>
      <c r="B20" s="6">
        <f>30 * 0.189 * 12</f>
        <v>68.039999999999992</v>
      </c>
    </row>
    <row r="21" spans="1:2" x14ac:dyDescent="0.25">
      <c r="A21" s="15" t="s">
        <v>109</v>
      </c>
      <c r="B21" s="6">
        <f>20 * 0.344 * 12</f>
        <v>82.559999999999988</v>
      </c>
    </row>
    <row r="22" spans="1:2" x14ac:dyDescent="0.25">
      <c r="A22" s="15" t="s">
        <v>111</v>
      </c>
      <c r="B22" s="6">
        <f>25 * 0.325 * 12</f>
        <v>97.5</v>
      </c>
    </row>
    <row r="23" spans="1:2" x14ac:dyDescent="0.25">
      <c r="A23" s="15" t="s">
        <v>138</v>
      </c>
      <c r="B23" s="6">
        <f>20 * 0.75 * 12</f>
        <v>180</v>
      </c>
    </row>
    <row r="24" spans="1:2" x14ac:dyDescent="0.25">
      <c r="A24" s="15" t="s">
        <v>139</v>
      </c>
      <c r="B24" s="6">
        <f>20*0.6*12</f>
        <v>144</v>
      </c>
    </row>
    <row r="25" spans="1:2" x14ac:dyDescent="0.25">
      <c r="A25" s="15" t="s">
        <v>140</v>
      </c>
      <c r="B25" s="6">
        <f>15*0.97*12</f>
        <v>174.6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34</v>
      </c>
      <c r="B35" s="42">
        <f>SUM(B4:B33)</f>
        <v>1814.28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5"/>
  <sheetViews>
    <sheetView workbookViewId="0">
      <selection activeCell="B5" sqref="B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73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114</v>
      </c>
      <c r="B4" s="6">
        <f>14.7 * 12</f>
        <v>176.39999999999998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50</v>
      </c>
      <c r="B35" s="42">
        <f>SUM(B4:B33)</f>
        <v>176.39999999999998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5"/>
  <sheetViews>
    <sheetView workbookViewId="0">
      <selection activeCell="B5" sqref="B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74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125</v>
      </c>
      <c r="B4" s="6">
        <f>15 * 12</f>
        <v>180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41</v>
      </c>
      <c r="B35" s="42">
        <f>SUM(B4:B33)</f>
        <v>180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5"/>
  <sheetViews>
    <sheetView workbookViewId="0">
      <selection activeCell="B7" sqref="B7"/>
    </sheetView>
  </sheetViews>
  <sheetFormatPr defaultColWidth="11" defaultRowHeight="15.75" x14ac:dyDescent="0.25"/>
  <cols>
    <col min="1" max="1" width="51.5" bestFit="1" customWidth="1"/>
    <col min="2" max="2" width="21.875" customWidth="1"/>
  </cols>
  <sheetData>
    <row r="1" spans="1:2" x14ac:dyDescent="0.25">
      <c r="A1" t="s">
        <v>75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115</v>
      </c>
      <c r="B4" s="6">
        <f>70 * 12</f>
        <v>840</v>
      </c>
    </row>
    <row r="5" spans="1:2" x14ac:dyDescent="0.25">
      <c r="A5" s="15" t="s">
        <v>116</v>
      </c>
      <c r="B5" s="6">
        <f>8 * 4</f>
        <v>32</v>
      </c>
    </row>
    <row r="6" spans="1:2" x14ac:dyDescent="0.25">
      <c r="A6" s="15" t="s">
        <v>117</v>
      </c>
      <c r="B6" s="6">
        <f>150 * 3</f>
        <v>450</v>
      </c>
    </row>
    <row r="7" spans="1:2" x14ac:dyDescent="0.25">
      <c r="A7" s="15" t="s">
        <v>118</v>
      </c>
      <c r="B7" s="6">
        <f>150 * 6</f>
        <v>900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42</v>
      </c>
      <c r="B35" s="42">
        <f>SUM(B4:B33)</f>
        <v>2222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5"/>
  <sheetViews>
    <sheetView workbookViewId="0">
      <selection activeCell="B6" sqref="B6"/>
    </sheetView>
  </sheetViews>
  <sheetFormatPr defaultColWidth="11" defaultRowHeight="15.75" x14ac:dyDescent="0.25"/>
  <cols>
    <col min="1" max="1" width="39.25" bestFit="1" customWidth="1"/>
    <col min="2" max="2" width="21.875" customWidth="1"/>
  </cols>
  <sheetData>
    <row r="1" spans="1:2" x14ac:dyDescent="0.25">
      <c r="A1" t="s">
        <v>76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141</v>
      </c>
      <c r="B4" s="6">
        <v>900</v>
      </c>
    </row>
    <row r="5" spans="1:2" x14ac:dyDescent="0.25">
      <c r="A5" s="15" t="s">
        <v>142</v>
      </c>
      <c r="B5" s="6">
        <v>370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43</v>
      </c>
      <c r="B35" s="42">
        <f>SUM(B4:B33)</f>
        <v>1270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5"/>
  <sheetViews>
    <sheetView tabSelected="1" workbookViewId="0">
      <selection activeCell="B6" sqref="B6"/>
    </sheetView>
  </sheetViews>
  <sheetFormatPr defaultColWidth="11" defaultRowHeight="15.75" x14ac:dyDescent="0.25"/>
  <cols>
    <col min="1" max="1" width="50.375" bestFit="1" customWidth="1"/>
    <col min="2" max="2" width="21.875" customWidth="1"/>
  </cols>
  <sheetData>
    <row r="1" spans="1:2" x14ac:dyDescent="0.25">
      <c r="A1" t="s">
        <v>77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126</v>
      </c>
      <c r="B4" s="6">
        <v>400</v>
      </c>
    </row>
    <row r="5" spans="1:2" x14ac:dyDescent="0.25">
      <c r="A5" s="15" t="s">
        <v>137</v>
      </c>
      <c r="B5" s="6">
        <v>300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/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s="23" customFormat="1" ht="16.5" thickBot="1" x14ac:dyDescent="0.3">
      <c r="A35" s="22" t="s">
        <v>44</v>
      </c>
      <c r="B35" s="43">
        <f>SUM(B4:B33)</f>
        <v>700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zoomScale="115" zoomScaleNormal="115" zoomScalePageLayoutView="150" workbookViewId="0">
      <selection activeCell="A7" sqref="A7"/>
    </sheetView>
  </sheetViews>
  <sheetFormatPr defaultColWidth="11" defaultRowHeight="15.75" x14ac:dyDescent="0.25"/>
  <cols>
    <col min="1" max="1" width="50.625" bestFit="1" customWidth="1"/>
    <col min="2" max="2" width="21.875" customWidth="1"/>
  </cols>
  <sheetData>
    <row r="1" spans="1:2" x14ac:dyDescent="0.25">
      <c r="A1" t="s">
        <v>20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127</v>
      </c>
      <c r="B4" s="6">
        <f>400</f>
        <v>400</v>
      </c>
    </row>
    <row r="5" spans="1:2" x14ac:dyDescent="0.25">
      <c r="A5" s="15" t="s">
        <v>128</v>
      </c>
      <c r="B5" s="6">
        <v>200</v>
      </c>
    </row>
    <row r="6" spans="1:2" x14ac:dyDescent="0.25">
      <c r="A6" s="15" t="s">
        <v>136</v>
      </c>
      <c r="B6" s="6">
        <v>150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4" x14ac:dyDescent="0.25">
      <c r="A33" s="15" t="s">
        <v>22</v>
      </c>
      <c r="B33" s="6">
        <v>0</v>
      </c>
    </row>
    <row r="34" spans="1:4" ht="16.5" thickBot="1" x14ac:dyDescent="0.3">
      <c r="A34" s="19"/>
      <c r="B34" s="13"/>
    </row>
    <row r="35" spans="1:4" ht="16.5" thickBot="1" x14ac:dyDescent="0.3">
      <c r="A35" s="20" t="s">
        <v>24</v>
      </c>
      <c r="B35" s="35">
        <f>SUM(B4:B33)</f>
        <v>750</v>
      </c>
      <c r="D35" s="14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zoomScaleNormal="100" zoomScalePageLayoutView="150" workbookViewId="0">
      <selection activeCell="A4" sqref="A4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25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22</v>
      </c>
      <c r="B4" s="6">
        <v>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26</v>
      </c>
      <c r="B35" s="35">
        <f>SUM(B4:B33)</f>
        <v>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workbookViewId="0">
      <selection activeCell="A4" sqref="A4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31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22</v>
      </c>
      <c r="B4" s="6">
        <v>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27</v>
      </c>
      <c r="B35" s="42">
        <f>SUM(B4:B33)</f>
        <v>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>
      <selection activeCell="B8" sqref="B8"/>
    </sheetView>
  </sheetViews>
  <sheetFormatPr defaultColWidth="11" defaultRowHeight="15.75" x14ac:dyDescent="0.25"/>
  <cols>
    <col min="1" max="1" width="35.375" bestFit="1" customWidth="1"/>
    <col min="2" max="2" width="21.875" customWidth="1"/>
  </cols>
  <sheetData>
    <row r="1" spans="1:2" x14ac:dyDescent="0.25">
      <c r="A1" t="s">
        <v>32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130</v>
      </c>
      <c r="B4" s="6">
        <v>100</v>
      </c>
    </row>
    <row r="5" spans="1:2" x14ac:dyDescent="0.25">
      <c r="A5" s="15" t="s">
        <v>131</v>
      </c>
      <c r="B5" s="6">
        <v>250</v>
      </c>
    </row>
    <row r="6" spans="1:2" x14ac:dyDescent="0.25">
      <c r="A6" s="15" t="s">
        <v>132</v>
      </c>
      <c r="B6" s="6">
        <v>140</v>
      </c>
    </row>
    <row r="7" spans="1:2" x14ac:dyDescent="0.25">
      <c r="A7" s="15" t="s">
        <v>133</v>
      </c>
      <c r="B7" s="6">
        <v>140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28</v>
      </c>
      <c r="B35" s="42">
        <f>SUM(B4:B33)</f>
        <v>630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"/>
  <sheetViews>
    <sheetView workbookViewId="0">
      <selection activeCell="A4" sqref="A4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64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22</v>
      </c>
      <c r="B4" s="6">
        <v>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65</v>
      </c>
      <c r="B35" s="42">
        <f>SUM(B4:B33)</f>
        <v>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"/>
  <sheetViews>
    <sheetView workbookViewId="0">
      <selection activeCell="B8" sqref="B8"/>
    </sheetView>
  </sheetViews>
  <sheetFormatPr defaultColWidth="11" defaultRowHeight="15.75" x14ac:dyDescent="0.25"/>
  <cols>
    <col min="1" max="1" width="36" bestFit="1" customWidth="1"/>
    <col min="2" max="2" width="21.875" customWidth="1"/>
  </cols>
  <sheetData>
    <row r="1" spans="1:2" x14ac:dyDescent="0.25">
      <c r="A1" t="s">
        <v>66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81</v>
      </c>
      <c r="B4" s="6">
        <v>110</v>
      </c>
    </row>
    <row r="5" spans="1:2" x14ac:dyDescent="0.25">
      <c r="A5" s="15" t="s">
        <v>82</v>
      </c>
      <c r="B5" s="6">
        <v>90</v>
      </c>
    </row>
    <row r="6" spans="1:2" x14ac:dyDescent="0.25">
      <c r="A6" s="56" t="s">
        <v>84</v>
      </c>
      <c r="B6" s="6">
        <v>70</v>
      </c>
    </row>
    <row r="7" spans="1:2" x14ac:dyDescent="0.25">
      <c r="A7" s="15" t="s">
        <v>124</v>
      </c>
      <c r="B7" s="6">
        <v>95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29</v>
      </c>
      <c r="B35" s="42">
        <f>SUM(B4:B33)</f>
        <v>365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"/>
  <sheetViews>
    <sheetView workbookViewId="0">
      <selection activeCell="B5" sqref="B5"/>
    </sheetView>
  </sheetViews>
  <sheetFormatPr defaultColWidth="11" defaultRowHeight="15.75" x14ac:dyDescent="0.25"/>
  <cols>
    <col min="1" max="1" width="26" customWidth="1"/>
    <col min="2" max="2" width="21.875" customWidth="1"/>
  </cols>
  <sheetData>
    <row r="1" spans="1:2" x14ac:dyDescent="0.25">
      <c r="A1" t="s">
        <v>67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83</v>
      </c>
      <c r="B4" s="6">
        <v>70</v>
      </c>
    </row>
    <row r="5" spans="1:2" x14ac:dyDescent="0.25">
      <c r="A5" s="15" t="s">
        <v>22</v>
      </c>
      <c r="B5" s="6">
        <v>0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30</v>
      </c>
      <c r="B35" s="42">
        <f>SUM(B4:B33)</f>
        <v>70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5"/>
  <sheetViews>
    <sheetView workbookViewId="0">
      <selection activeCell="B5" sqref="B5"/>
    </sheetView>
  </sheetViews>
  <sheetFormatPr defaultColWidth="11" defaultRowHeight="15.75" x14ac:dyDescent="0.25"/>
  <cols>
    <col min="1" max="1" width="52.625" bestFit="1" customWidth="1"/>
    <col min="2" max="2" width="21.875" customWidth="1"/>
  </cols>
  <sheetData>
    <row r="1" spans="1:2" x14ac:dyDescent="0.25">
      <c r="A1" t="s">
        <v>68</v>
      </c>
    </row>
    <row r="3" spans="1:2" x14ac:dyDescent="0.25">
      <c r="A3" t="s">
        <v>21</v>
      </c>
      <c r="B3" t="s">
        <v>23</v>
      </c>
    </row>
    <row r="4" spans="1:2" x14ac:dyDescent="0.25">
      <c r="A4" s="15" t="s">
        <v>85</v>
      </c>
      <c r="B4" s="6">
        <f xml:space="preserve"> 23.8 * 12</f>
        <v>285.60000000000002</v>
      </c>
    </row>
    <row r="5" spans="1:2" x14ac:dyDescent="0.25">
      <c r="A5" s="15" t="s">
        <v>86</v>
      </c>
      <c r="B5" s="6">
        <v>58.646999999999998</v>
      </c>
    </row>
    <row r="6" spans="1:2" x14ac:dyDescent="0.25">
      <c r="A6" s="15" t="s">
        <v>22</v>
      </c>
      <c r="B6" s="6">
        <v>0</v>
      </c>
    </row>
    <row r="7" spans="1:2" x14ac:dyDescent="0.25">
      <c r="A7" s="15" t="s">
        <v>22</v>
      </c>
      <c r="B7" s="6">
        <v>0</v>
      </c>
    </row>
    <row r="8" spans="1:2" x14ac:dyDescent="0.25">
      <c r="A8" s="15" t="s">
        <v>22</v>
      </c>
      <c r="B8" s="6">
        <v>0</v>
      </c>
    </row>
    <row r="9" spans="1:2" x14ac:dyDescent="0.25">
      <c r="A9" s="15" t="s">
        <v>22</v>
      </c>
      <c r="B9" s="6">
        <v>0</v>
      </c>
    </row>
    <row r="10" spans="1:2" x14ac:dyDescent="0.25">
      <c r="A10" s="15" t="s">
        <v>22</v>
      </c>
      <c r="B10" s="6">
        <v>0</v>
      </c>
    </row>
    <row r="11" spans="1:2" x14ac:dyDescent="0.25">
      <c r="A11" s="15" t="s">
        <v>22</v>
      </c>
      <c r="B11" s="6">
        <v>0</v>
      </c>
    </row>
    <row r="12" spans="1:2" x14ac:dyDescent="0.25">
      <c r="A12" s="15" t="s">
        <v>22</v>
      </c>
      <c r="B12" s="6">
        <v>0</v>
      </c>
    </row>
    <row r="13" spans="1:2" x14ac:dyDescent="0.25">
      <c r="A13" s="15" t="s">
        <v>22</v>
      </c>
      <c r="B13" s="6">
        <v>0</v>
      </c>
    </row>
    <row r="14" spans="1:2" x14ac:dyDescent="0.25">
      <c r="A14" s="15" t="s">
        <v>22</v>
      </c>
      <c r="B14" s="6">
        <v>0</v>
      </c>
    </row>
    <row r="15" spans="1:2" x14ac:dyDescent="0.25">
      <c r="A15" s="15" t="s">
        <v>22</v>
      </c>
      <c r="B15" s="6">
        <v>0</v>
      </c>
    </row>
    <row r="16" spans="1:2" x14ac:dyDescent="0.25">
      <c r="A16" s="15" t="s">
        <v>22</v>
      </c>
      <c r="B16" s="6">
        <v>0</v>
      </c>
    </row>
    <row r="17" spans="1:2" x14ac:dyDescent="0.25">
      <c r="A17" s="15" t="s">
        <v>22</v>
      </c>
      <c r="B17" s="6">
        <v>0</v>
      </c>
    </row>
    <row r="18" spans="1:2" x14ac:dyDescent="0.25">
      <c r="A18" s="15" t="s">
        <v>22</v>
      </c>
      <c r="B18" s="6">
        <v>0</v>
      </c>
    </row>
    <row r="19" spans="1:2" x14ac:dyDescent="0.25">
      <c r="A19" s="15" t="s">
        <v>22</v>
      </c>
      <c r="B19" s="6">
        <v>0</v>
      </c>
    </row>
    <row r="20" spans="1:2" x14ac:dyDescent="0.25">
      <c r="A20" s="15" t="s">
        <v>22</v>
      </c>
      <c r="B20" s="6">
        <v>0</v>
      </c>
    </row>
    <row r="21" spans="1:2" x14ac:dyDescent="0.25">
      <c r="A21" s="15" t="s">
        <v>22</v>
      </c>
      <c r="B21" s="6">
        <v>0</v>
      </c>
    </row>
    <row r="22" spans="1:2" x14ac:dyDescent="0.25">
      <c r="A22" s="15" t="s">
        <v>22</v>
      </c>
      <c r="B22" s="6">
        <v>0</v>
      </c>
    </row>
    <row r="23" spans="1:2" x14ac:dyDescent="0.25">
      <c r="A23" s="15" t="s">
        <v>22</v>
      </c>
      <c r="B23" s="6">
        <v>0</v>
      </c>
    </row>
    <row r="24" spans="1:2" x14ac:dyDescent="0.25">
      <c r="A24" s="15" t="s">
        <v>22</v>
      </c>
      <c r="B24" s="6">
        <v>0</v>
      </c>
    </row>
    <row r="25" spans="1:2" x14ac:dyDescent="0.25">
      <c r="A25" s="15" t="s">
        <v>22</v>
      </c>
      <c r="B25" s="6">
        <v>0</v>
      </c>
    </row>
    <row r="26" spans="1:2" x14ac:dyDescent="0.25">
      <c r="A26" s="15" t="s">
        <v>22</v>
      </c>
      <c r="B26" s="6">
        <v>0</v>
      </c>
    </row>
    <row r="27" spans="1:2" x14ac:dyDescent="0.25">
      <c r="A27" s="15" t="s">
        <v>22</v>
      </c>
      <c r="B27" s="6">
        <v>0</v>
      </c>
    </row>
    <row r="28" spans="1:2" x14ac:dyDescent="0.25">
      <c r="A28" s="15" t="s">
        <v>22</v>
      </c>
      <c r="B28" s="6">
        <v>0</v>
      </c>
    </row>
    <row r="29" spans="1:2" x14ac:dyDescent="0.25">
      <c r="A29" s="15" t="s">
        <v>22</v>
      </c>
      <c r="B29" s="6">
        <v>0</v>
      </c>
    </row>
    <row r="30" spans="1:2" x14ac:dyDescent="0.25">
      <c r="A30" s="15" t="s">
        <v>22</v>
      </c>
      <c r="B30" s="6">
        <v>0</v>
      </c>
    </row>
    <row r="31" spans="1:2" x14ac:dyDescent="0.25">
      <c r="A31" s="15" t="s">
        <v>22</v>
      </c>
      <c r="B31" s="6">
        <v>0</v>
      </c>
    </row>
    <row r="32" spans="1:2" x14ac:dyDescent="0.25">
      <c r="A32" s="15" t="s">
        <v>22</v>
      </c>
      <c r="B32" s="6">
        <v>0</v>
      </c>
    </row>
    <row r="33" spans="1:2" x14ac:dyDescent="0.25">
      <c r="A33" s="15" t="s">
        <v>22</v>
      </c>
      <c r="B33" s="6">
        <v>0</v>
      </c>
    </row>
    <row r="34" spans="1:2" ht="16.5" thickBot="1" x14ac:dyDescent="0.3">
      <c r="A34" s="19"/>
      <c r="B34" s="13"/>
    </row>
    <row r="35" spans="1:2" ht="16.5" thickBot="1" x14ac:dyDescent="0.3">
      <c r="A35" s="20" t="s">
        <v>40</v>
      </c>
      <c r="B35" s="42">
        <f>SUM(B4:B33)</f>
        <v>344.24700000000001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Основной лист</vt:lpstr>
      <vt:lpstr>Лист1_НИР</vt:lpstr>
      <vt:lpstr>Лист2_ОКР</vt:lpstr>
      <vt:lpstr>Лист3_ИИ</vt:lpstr>
      <vt:lpstr>Лист4_ПД</vt:lpstr>
      <vt:lpstr>Лист5_ОБР</vt:lpstr>
      <vt:lpstr>Лист6_СМР</vt:lpstr>
      <vt:lpstr>Лист7_ПНР</vt:lpstr>
      <vt:lpstr>Лист8_ЛИЦ</vt:lpstr>
      <vt:lpstr>Лист9_CAPEX_Прочее</vt:lpstr>
      <vt:lpstr>Лист10_АП</vt:lpstr>
      <vt:lpstr>Лист11_ФОТ</vt:lpstr>
      <vt:lpstr>Лист12_СМ</vt:lpstr>
      <vt:lpstr>Лист13_ПРЦ</vt:lpstr>
      <vt:lpstr>Лист14_ЭР</vt:lpstr>
      <vt:lpstr>Лист15_МРК</vt:lpstr>
      <vt:lpstr>Лист16_АДМ</vt:lpstr>
      <vt:lpstr>Лист17_OPEX_Прочее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Афонин;Стояк;Бурдуковский;Лесковец</dc:creator>
  <cp:lastModifiedBy>Ilihon</cp:lastModifiedBy>
  <cp:lastPrinted>2023-11-06T15:47:05Z</cp:lastPrinted>
  <dcterms:created xsi:type="dcterms:W3CDTF">2021-10-06T08:15:51Z</dcterms:created>
  <dcterms:modified xsi:type="dcterms:W3CDTF">2023-11-06T15:52:35Z</dcterms:modified>
</cp:coreProperties>
</file>