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"/>
    </mc:Choice>
  </mc:AlternateContent>
  <bookViews>
    <workbookView xWindow="-15" yWindow="-15" windowWidth="19200" windowHeight="16800"/>
  </bookViews>
  <sheets>
    <sheet name="ТИТУЛЬНИК" sheetId="79" r:id="rId1"/>
    <sheet name="СХЕМА" sheetId="70" r:id="rId2"/>
    <sheet name="процедура" sheetId="106" r:id="rId3"/>
    <sheet name="СХЕМЫ КНК_44,45" sheetId="85" r:id="rId4"/>
    <sheet name="СХЕМЫ КНК_38,1" sheetId="101" r:id="rId5"/>
    <sheet name="Ремонтные работы 11675г" sheetId="109" r:id="rId6"/>
  </sheets>
  <definedNames>
    <definedName name="верх_послед_МГРП">СХЕМА!$K$28</definedName>
    <definedName name="верх_след_МГРП">СХЕМА!$R$28</definedName>
    <definedName name="Два_Vнкт">СХЕМА!$BA$16</definedName>
    <definedName name="забой">СХЕМА!$AT$22</definedName>
    <definedName name="м">СХЕМА!$K$39</definedName>
    <definedName name="низ_послед_МГРП">СХЕМА!$K$27</definedName>
    <definedName name="НКТ">СХЕМА!$W$19</definedName>
    <definedName name="номер_послед_МГРП">СХЕМА!$K$25</definedName>
    <definedName name="_xlnm.Print_Area" localSheetId="2">процедура!$A$1:$C$128</definedName>
    <definedName name="_xlnm.Print_Area" localSheetId="1">СХЕМА!$A$1:$AW$34</definedName>
    <definedName name="_xlnm.Print_Area" localSheetId="0">ТИТУЛЬНИК!$A$1:$K$60</definedName>
    <definedName name="объем_НКТ">СХЕМА!$AX$16</definedName>
    <definedName name="объем_скв">СХЕМА!$AC$19+СХЕМА!$AC$18</definedName>
    <definedName name="раб_объем">СХЕМА!$AX$23</definedName>
    <definedName name="раствор_глушения">СХЕМА!$AN$14</definedName>
    <definedName name="стингер">СХЕМА!$S$18</definedName>
  </definedNames>
  <calcPr calcId="162913" refMode="R1C1" calcOnSave="0"/>
</workbook>
</file>

<file path=xl/calcChain.xml><?xml version="1.0" encoding="utf-8"?>
<calcChain xmlns="http://schemas.openxmlformats.org/spreadsheetml/2006/main">
  <c r="B28" i="79" l="1"/>
  <c r="J64" i="106" l="1"/>
  <c r="AC23" i="70" l="1"/>
  <c r="AT22" i="70" l="1"/>
  <c r="AU28" i="70"/>
  <c r="AT28" i="70"/>
  <c r="AJ28" i="70"/>
  <c r="AI28" i="70"/>
  <c r="AB28" i="70"/>
  <c r="AA28" i="70"/>
  <c r="T28" i="70"/>
  <c r="S28" i="70"/>
  <c r="L28" i="70"/>
  <c r="M28" i="70"/>
  <c r="W21" i="70"/>
  <c r="W19" i="70" s="1"/>
  <c r="W22" i="70"/>
  <c r="Z28" i="70"/>
  <c r="R28" i="70"/>
  <c r="E84" i="106"/>
  <c r="F84" i="106" s="1"/>
  <c r="AS28" i="70"/>
  <c r="AT23" i="70" s="1"/>
  <c r="AU36" i="70"/>
  <c r="AH28" i="70"/>
  <c r="K28" i="70"/>
  <c r="E81" i="106"/>
  <c r="F81" i="106" s="1"/>
  <c r="H81" i="106" s="1"/>
  <c r="J110" i="106"/>
  <c r="I34" i="70"/>
  <c r="G93" i="106"/>
  <c r="E64" i="106"/>
  <c r="F64" i="106" s="1"/>
  <c r="Q23" i="70"/>
  <c r="AA23" i="70" s="1"/>
  <c r="AX22" i="70" s="1"/>
  <c r="AN7" i="70"/>
  <c r="AN11" i="70" s="1"/>
  <c r="AX11" i="70" s="1"/>
  <c r="E23" i="106"/>
  <c r="F23" i="106"/>
  <c r="H23" i="106" s="1"/>
  <c r="BB94" i="70"/>
  <c r="J38" i="70"/>
  <c r="AN8" i="70"/>
  <c r="AA19" i="70"/>
  <c r="AC19" i="70" s="1"/>
  <c r="AX16" i="70" s="1"/>
  <c r="Q18" i="70"/>
  <c r="AA18" i="70"/>
  <c r="AC18" i="70" s="1"/>
  <c r="Q17" i="70"/>
  <c r="AA17" i="70" s="1"/>
  <c r="AC17" i="70" s="1"/>
  <c r="AX14" i="70" s="1"/>
  <c r="E37" i="106"/>
  <c r="F37" i="106" s="1"/>
  <c r="H37" i="106" s="1"/>
  <c r="L36" i="70"/>
  <c r="J37" i="70" s="1"/>
  <c r="K39" i="70" s="1"/>
  <c r="AT36" i="70" s="1"/>
  <c r="AS36" i="70" s="1"/>
  <c r="AR36" i="70" s="1"/>
  <c r="AQ36" i="70" s="1"/>
  <c r="AP36" i="70" s="1"/>
  <c r="AO36" i="70" s="1"/>
  <c r="AN36" i="70" s="1"/>
  <c r="AM36" i="70" s="1"/>
  <c r="AL36" i="70" s="1"/>
  <c r="AK36" i="70" s="1"/>
  <c r="AJ36" i="70" s="1"/>
  <c r="AI36" i="70" s="1"/>
  <c r="AH36" i="70" s="1"/>
  <c r="AG36" i="70" s="1"/>
  <c r="AF36" i="70" s="1"/>
  <c r="AE36" i="70" s="1"/>
  <c r="AD36" i="70" s="1"/>
  <c r="AC36" i="70" s="1"/>
  <c r="AB36" i="70" s="1"/>
  <c r="AA36" i="70" s="1"/>
  <c r="Z36" i="70" s="1"/>
  <c r="Y36" i="70" s="1"/>
  <c r="X36" i="70" s="1"/>
  <c r="W36" i="70" s="1"/>
  <c r="V36" i="70" s="1"/>
  <c r="U36" i="70" s="1"/>
  <c r="T36" i="70" s="1"/>
  <c r="S36" i="70" s="1"/>
  <c r="R36" i="70" s="1"/>
  <c r="Q36" i="70" s="1"/>
  <c r="P36" i="70" s="1"/>
  <c r="O36" i="70" s="1"/>
  <c r="N36" i="70" s="1"/>
  <c r="M36" i="70" s="1"/>
  <c r="G96" i="106"/>
  <c r="G86" i="106"/>
  <c r="J61" i="106"/>
  <c r="E61" i="106"/>
  <c r="F61" i="106" s="1"/>
  <c r="H61" i="106" s="1"/>
  <c r="J57" i="106"/>
  <c r="G122" i="106"/>
  <c r="E122" i="106"/>
  <c r="F122" i="106" s="1"/>
  <c r="H122" i="106" s="1"/>
  <c r="G121" i="106"/>
  <c r="E121" i="106"/>
  <c r="F121" i="106" s="1"/>
  <c r="G120" i="106"/>
  <c r="E120" i="106"/>
  <c r="F120" i="106"/>
  <c r="H120" i="106" s="1"/>
  <c r="G119" i="106"/>
  <c r="E119" i="106"/>
  <c r="F119" i="106" s="1"/>
  <c r="H119" i="106" s="1"/>
  <c r="G118" i="106"/>
  <c r="E118" i="106"/>
  <c r="F118" i="106"/>
  <c r="H118" i="106" s="1"/>
  <c r="G117" i="106"/>
  <c r="E117" i="106"/>
  <c r="F117" i="106" s="1"/>
  <c r="H117" i="106" s="1"/>
  <c r="G116" i="106"/>
  <c r="E116" i="106"/>
  <c r="F116" i="106" s="1"/>
  <c r="H116" i="106"/>
  <c r="G115" i="106"/>
  <c r="E115" i="106"/>
  <c r="F115" i="106" s="1"/>
  <c r="H115" i="106" s="1"/>
  <c r="G114" i="106"/>
  <c r="E114" i="106"/>
  <c r="F114" i="106" s="1"/>
  <c r="H114" i="106" s="1"/>
  <c r="G113" i="106"/>
  <c r="E113" i="106"/>
  <c r="F113" i="106" s="1"/>
  <c r="H113" i="106" s="1"/>
  <c r="G112" i="106"/>
  <c r="E112" i="106"/>
  <c r="F112" i="106" s="1"/>
  <c r="H112" i="106"/>
  <c r="G111" i="106"/>
  <c r="E111" i="106"/>
  <c r="F111" i="106" s="1"/>
  <c r="H111" i="106" s="1"/>
  <c r="G110" i="106"/>
  <c r="G109" i="106"/>
  <c r="E109" i="106"/>
  <c r="F109" i="106"/>
  <c r="H109" i="106" s="1"/>
  <c r="G108" i="106"/>
  <c r="G107" i="106"/>
  <c r="E107" i="106"/>
  <c r="F107" i="106" s="1"/>
  <c r="H107" i="106" s="1"/>
  <c r="G106" i="106"/>
  <c r="G105" i="106"/>
  <c r="E105" i="106"/>
  <c r="F105" i="106" s="1"/>
  <c r="H105" i="106" s="1"/>
  <c r="G104" i="106"/>
  <c r="G103" i="106"/>
  <c r="G102" i="106"/>
  <c r="G101" i="106"/>
  <c r="E101" i="106"/>
  <c r="F101" i="106" s="1"/>
  <c r="H101" i="106" s="1"/>
  <c r="G100" i="106"/>
  <c r="E100" i="106"/>
  <c r="F100" i="106" s="1"/>
  <c r="G99" i="106"/>
  <c r="G98" i="106"/>
  <c r="G97" i="106"/>
  <c r="E97" i="106"/>
  <c r="F97" i="106" s="1"/>
  <c r="H97" i="106" s="1"/>
  <c r="G95" i="106"/>
  <c r="E95" i="106"/>
  <c r="F95" i="106"/>
  <c r="H95" i="106" s="1"/>
  <c r="G94" i="106"/>
  <c r="E94" i="106"/>
  <c r="F94" i="106" s="1"/>
  <c r="G92" i="106"/>
  <c r="G91" i="106"/>
  <c r="E91" i="106"/>
  <c r="F91" i="106" s="1"/>
  <c r="H91" i="106" s="1"/>
  <c r="G90" i="106"/>
  <c r="E90" i="106"/>
  <c r="F90" i="106" s="1"/>
  <c r="I89" i="106"/>
  <c r="E89" i="106" s="1"/>
  <c r="F89" i="106" s="1"/>
  <c r="H89" i="106" s="1"/>
  <c r="G89" i="106"/>
  <c r="L88" i="106"/>
  <c r="G88" i="106"/>
  <c r="G87" i="106"/>
  <c r="G85" i="106"/>
  <c r="E85" i="106"/>
  <c r="F85" i="106" s="1"/>
  <c r="H85" i="106" s="1"/>
  <c r="G84" i="106"/>
  <c r="G83" i="106"/>
  <c r="G82" i="106"/>
  <c r="G81" i="106"/>
  <c r="G80" i="106"/>
  <c r="E80" i="106"/>
  <c r="F80" i="106" s="1"/>
  <c r="H80" i="106" s="1"/>
  <c r="G79" i="106"/>
  <c r="E79" i="106"/>
  <c r="F79" i="106" s="1"/>
  <c r="H79" i="106" s="1"/>
  <c r="G78" i="106"/>
  <c r="G77" i="106"/>
  <c r="E77" i="106"/>
  <c r="F77" i="106" s="1"/>
  <c r="H77" i="106" s="1"/>
  <c r="G76" i="106"/>
  <c r="E76" i="106"/>
  <c r="F76" i="106" s="1"/>
  <c r="H76" i="106" s="1"/>
  <c r="G75" i="106"/>
  <c r="E75" i="106"/>
  <c r="F75" i="106" s="1"/>
  <c r="H75" i="106" s="1"/>
  <c r="G74" i="106"/>
  <c r="E74" i="106"/>
  <c r="F74" i="106" s="1"/>
  <c r="H74" i="106" s="1"/>
  <c r="G73" i="106"/>
  <c r="E73" i="106"/>
  <c r="F73" i="106"/>
  <c r="H73" i="106" s="1"/>
  <c r="G72" i="106"/>
  <c r="G71" i="106"/>
  <c r="E71" i="106"/>
  <c r="F71" i="106" s="1"/>
  <c r="H71" i="106" s="1"/>
  <c r="G70" i="106"/>
  <c r="E70" i="106"/>
  <c r="F70" i="106" s="1"/>
  <c r="H70" i="106"/>
  <c r="G69" i="106"/>
  <c r="G68" i="106"/>
  <c r="G67" i="106"/>
  <c r="G66" i="106"/>
  <c r="E66" i="106"/>
  <c r="F66" i="106"/>
  <c r="H66" i="106" s="1"/>
  <c r="G65" i="106"/>
  <c r="G64" i="106"/>
  <c r="G63" i="106"/>
  <c r="G62" i="106"/>
  <c r="E62" i="106"/>
  <c r="F62" i="106"/>
  <c r="H62" i="106" s="1"/>
  <c r="G61" i="106"/>
  <c r="G60" i="106"/>
  <c r="E60" i="106"/>
  <c r="F60" i="106" s="1"/>
  <c r="G59" i="106"/>
  <c r="E59" i="106"/>
  <c r="F59" i="106"/>
  <c r="G58" i="106"/>
  <c r="E58" i="106"/>
  <c r="F58" i="106" s="1"/>
  <c r="G57" i="106"/>
  <c r="G56" i="106"/>
  <c r="E56" i="106"/>
  <c r="F56" i="106" s="1"/>
  <c r="H56" i="106"/>
  <c r="G55" i="106"/>
  <c r="E55" i="106"/>
  <c r="F55" i="106" s="1"/>
  <c r="H55" i="106" s="1"/>
  <c r="G54" i="106"/>
  <c r="E54" i="106"/>
  <c r="F54" i="106" s="1"/>
  <c r="G53" i="106"/>
  <c r="E53" i="106"/>
  <c r="F53" i="106" s="1"/>
  <c r="H53" i="106" s="1"/>
  <c r="G52" i="106"/>
  <c r="E52" i="106"/>
  <c r="F52" i="106"/>
  <c r="H52" i="106" s="1"/>
  <c r="G51" i="106"/>
  <c r="G50" i="106"/>
  <c r="G49" i="106"/>
  <c r="E49" i="106"/>
  <c r="F49" i="106" s="1"/>
  <c r="H49" i="106" s="1"/>
  <c r="G48" i="106"/>
  <c r="E48" i="106"/>
  <c r="F48" i="106" s="1"/>
  <c r="H48" i="106" s="1"/>
  <c r="G47" i="106"/>
  <c r="E47" i="106"/>
  <c r="F47" i="106" s="1"/>
  <c r="G46" i="106"/>
  <c r="E46" i="106"/>
  <c r="F46" i="106"/>
  <c r="H46" i="106" s="1"/>
  <c r="G45" i="106"/>
  <c r="E45" i="106"/>
  <c r="F45" i="106" s="1"/>
  <c r="H45" i="106" s="1"/>
  <c r="G44" i="106"/>
  <c r="E44" i="106"/>
  <c r="F44" i="106" s="1"/>
  <c r="H44" i="106" s="1"/>
  <c r="G43" i="106"/>
  <c r="E43" i="106"/>
  <c r="F43" i="106" s="1"/>
  <c r="H43" i="106"/>
  <c r="G42" i="106"/>
  <c r="E42" i="106"/>
  <c r="F42" i="106" s="1"/>
  <c r="H42" i="106" s="1"/>
  <c r="G41" i="106"/>
  <c r="E41" i="106"/>
  <c r="F41" i="106" s="1"/>
  <c r="H41" i="106" s="1"/>
  <c r="G40" i="106"/>
  <c r="E40" i="106"/>
  <c r="F40" i="106" s="1"/>
  <c r="H40" i="106"/>
  <c r="G39" i="106"/>
  <c r="E39" i="106"/>
  <c r="F39" i="106" s="1"/>
  <c r="H39" i="106" s="1"/>
  <c r="G38" i="106"/>
  <c r="E38" i="106"/>
  <c r="F38" i="106" s="1"/>
  <c r="H38" i="106" s="1"/>
  <c r="G37" i="106"/>
  <c r="G36" i="106"/>
  <c r="E36" i="106"/>
  <c r="F36" i="106" s="1"/>
  <c r="H36" i="106" s="1"/>
  <c r="G35" i="106"/>
  <c r="E35" i="106"/>
  <c r="F35" i="106" s="1"/>
  <c r="H35" i="106" s="1"/>
  <c r="G34" i="106"/>
  <c r="E34" i="106"/>
  <c r="F34" i="106"/>
  <c r="H34" i="106" s="1"/>
  <c r="G33" i="106"/>
  <c r="E33" i="106"/>
  <c r="F33" i="106" s="1"/>
  <c r="H33" i="106" s="1"/>
  <c r="G32" i="106"/>
  <c r="E32" i="106"/>
  <c r="F32" i="106"/>
  <c r="H32" i="106" s="1"/>
  <c r="G31" i="106"/>
  <c r="E31" i="106"/>
  <c r="F31" i="106" s="1"/>
  <c r="H31" i="106" s="1"/>
  <c r="G30" i="106"/>
  <c r="E30" i="106"/>
  <c r="F30" i="106" s="1"/>
  <c r="H30" i="106" s="1"/>
  <c r="G29" i="106"/>
  <c r="E29" i="106"/>
  <c r="F29" i="106" s="1"/>
  <c r="H29" i="106"/>
  <c r="G28" i="106"/>
  <c r="E28" i="106"/>
  <c r="F28" i="106" s="1"/>
  <c r="H28" i="106" s="1"/>
  <c r="G27" i="106"/>
  <c r="E27" i="106"/>
  <c r="F27" i="106" s="1"/>
  <c r="H27" i="106" s="1"/>
  <c r="G26" i="106"/>
  <c r="E26" i="106"/>
  <c r="F26" i="106" s="1"/>
  <c r="G25" i="106"/>
  <c r="G24" i="106"/>
  <c r="E24" i="106"/>
  <c r="F24" i="106" s="1"/>
  <c r="H24" i="106" s="1"/>
  <c r="G23" i="106"/>
  <c r="G22" i="106"/>
  <c r="E22" i="106"/>
  <c r="F22" i="106" s="1"/>
  <c r="H22" i="106" s="1"/>
  <c r="G21" i="106"/>
  <c r="E21" i="106"/>
  <c r="F21" i="106"/>
  <c r="H21" i="106" s="1"/>
  <c r="G20" i="106"/>
  <c r="E20" i="106"/>
  <c r="F20" i="106" s="1"/>
  <c r="G19" i="106"/>
  <c r="E19" i="106"/>
  <c r="F19" i="106" s="1"/>
  <c r="H19" i="106" s="1"/>
  <c r="G18" i="106"/>
  <c r="E18" i="106"/>
  <c r="F18" i="106"/>
  <c r="H18" i="106" s="1"/>
  <c r="G17" i="106"/>
  <c r="E17" i="106"/>
  <c r="F17" i="106" s="1"/>
  <c r="H17" i="106" s="1"/>
  <c r="G16" i="106"/>
  <c r="E16" i="106"/>
  <c r="F16" i="106"/>
  <c r="H16" i="106" s="1"/>
  <c r="G15" i="106"/>
  <c r="E15" i="106"/>
  <c r="F15" i="106" s="1"/>
  <c r="H15" i="106" s="1"/>
  <c r="G14" i="106"/>
  <c r="E14" i="106"/>
  <c r="F14" i="106"/>
  <c r="H14" i="106" s="1"/>
  <c r="G13" i="106"/>
  <c r="E13" i="106"/>
  <c r="F13" i="106" s="1"/>
  <c r="H13" i="106" s="1"/>
  <c r="G12" i="106"/>
  <c r="E12" i="106"/>
  <c r="F12" i="106" s="1"/>
  <c r="H12" i="106" s="1"/>
  <c r="G11" i="106"/>
  <c r="E11" i="106"/>
  <c r="F11" i="106" s="1"/>
  <c r="G10" i="106"/>
  <c r="E10" i="106"/>
  <c r="F10" i="106"/>
  <c r="H10" i="106" s="1"/>
  <c r="G9" i="106"/>
  <c r="E9" i="106"/>
  <c r="F9" i="106" s="1"/>
  <c r="H9" i="106" s="1"/>
  <c r="G8" i="106"/>
  <c r="E8" i="106"/>
  <c r="F8" i="106" s="1"/>
  <c r="H8" i="106" s="1"/>
  <c r="G7" i="106"/>
  <c r="E7" i="106"/>
  <c r="F7" i="106"/>
  <c r="H7" i="106" s="1"/>
  <c r="G6" i="106"/>
  <c r="E6" i="106"/>
  <c r="F6" i="106" s="1"/>
  <c r="H6" i="106" s="1"/>
  <c r="G5" i="106"/>
  <c r="E5" i="106"/>
  <c r="F5" i="106" s="1"/>
  <c r="H5" i="106"/>
  <c r="G4" i="106"/>
  <c r="E4" i="106"/>
  <c r="F4" i="106" s="1"/>
  <c r="H4" i="106" s="1"/>
  <c r="G3" i="106"/>
  <c r="E3" i="106"/>
  <c r="F3" i="106" s="1"/>
  <c r="H3" i="106" s="1"/>
  <c r="G2" i="106"/>
  <c r="E2" i="106"/>
  <c r="F2" i="106" s="1"/>
  <c r="H2" i="106" s="1"/>
  <c r="G1" i="106"/>
  <c r="E1" i="106"/>
  <c r="F1" i="106"/>
  <c r="H1" i="106" s="1"/>
  <c r="H26" i="106"/>
  <c r="H59" i="106"/>
  <c r="H47" i="106"/>
  <c r="H54" i="106"/>
  <c r="H121" i="106"/>
  <c r="H90" i="106"/>
  <c r="H100" i="106"/>
  <c r="E83" i="106"/>
  <c r="F83" i="106"/>
  <c r="H83" i="106" s="1"/>
  <c r="E25" i="106"/>
  <c r="F25" i="106"/>
  <c r="H25" i="106" s="1"/>
  <c r="E67" i="106"/>
  <c r="F67" i="106"/>
  <c r="H67" i="106" s="1"/>
  <c r="E72" i="106"/>
  <c r="F72" i="106"/>
  <c r="H72" i="106" s="1"/>
  <c r="E78" i="106"/>
  <c r="F78" i="106"/>
  <c r="H78" i="106" s="1"/>
  <c r="B39" i="79"/>
  <c r="AK3" i="70"/>
  <c r="E69" i="106"/>
  <c r="F69" i="106" s="1"/>
  <c r="H69" i="106" s="1"/>
  <c r="AN9" i="70"/>
  <c r="V3" i="70"/>
  <c r="I108" i="106"/>
  <c r="E108" i="106"/>
  <c r="F108" i="106" s="1"/>
  <c r="H108" i="106" s="1"/>
  <c r="E102" i="106"/>
  <c r="F102" i="106" s="1"/>
  <c r="H102" i="106" s="1"/>
  <c r="I104" i="106"/>
  <c r="E104" i="106" s="1"/>
  <c r="F104" i="106" s="1"/>
  <c r="H104" i="106" s="1"/>
  <c r="E106" i="106"/>
  <c r="F106" i="106" s="1"/>
  <c r="H106" i="106" s="1"/>
  <c r="E103" i="106"/>
  <c r="F103" i="106" s="1"/>
  <c r="H103" i="106" s="1"/>
  <c r="H58" i="106"/>
  <c r="H94" i="106"/>
  <c r="AX20" i="70"/>
  <c r="BA20" i="70"/>
  <c r="H11" i="106"/>
  <c r="H60" i="106"/>
  <c r="I93" i="106"/>
  <c r="E50" i="106"/>
  <c r="F50" i="106" s="1"/>
  <c r="H50" i="106" s="1"/>
  <c r="E82" i="106"/>
  <c r="F82" i="106" s="1"/>
  <c r="H82" i="106" s="1"/>
  <c r="I65" i="106"/>
  <c r="E65" i="106"/>
  <c r="F65" i="106" s="1"/>
  <c r="H65" i="106" s="1"/>
  <c r="E51" i="106"/>
  <c r="F51" i="106" s="1"/>
  <c r="H51" i="106" s="1"/>
  <c r="E99" i="106"/>
  <c r="F99" i="106" s="1"/>
  <c r="H99" i="106" s="1"/>
  <c r="J68" i="106"/>
  <c r="E68" i="106" s="1"/>
  <c r="F68" i="106" s="1"/>
  <c r="H68" i="106" s="1"/>
  <c r="J88" i="106"/>
  <c r="E88" i="106"/>
  <c r="F88" i="106" s="1"/>
  <c r="H88" i="106" s="1"/>
  <c r="E63" i="106"/>
  <c r="F63" i="106" s="1"/>
  <c r="H63" i="106" s="1"/>
  <c r="U19" i="70"/>
  <c r="S20" i="70" s="1"/>
  <c r="U20" i="70" s="1"/>
  <c r="S21" i="70" s="1"/>
  <c r="U21" i="70" s="1"/>
  <c r="S22" i="70" s="1"/>
  <c r="U22" i="70" s="1"/>
  <c r="AX17" i="70" s="1"/>
  <c r="AX23" i="70" s="1"/>
  <c r="L110" i="106"/>
  <c r="E110" i="106"/>
  <c r="F110" i="106" s="1"/>
  <c r="H110" i="106" s="1"/>
  <c r="AX15" i="70"/>
  <c r="AX18" i="70" s="1"/>
  <c r="AX13" i="70" s="1"/>
  <c r="H84" i="106"/>
  <c r="J92" i="106"/>
  <c r="E92" i="106" s="1"/>
  <c r="F92" i="106" s="1"/>
  <c r="H92" i="106" s="1"/>
  <c r="BA16" i="70"/>
  <c r="E87" i="106" l="1"/>
  <c r="F87" i="106" s="1"/>
  <c r="H87" i="106" s="1"/>
  <c r="H64" i="106"/>
  <c r="H20" i="106"/>
  <c r="J98" i="106"/>
  <c r="E98" i="106" s="1"/>
  <c r="F98" i="106" s="1"/>
  <c r="H98" i="106" s="1"/>
  <c r="E57" i="106"/>
  <c r="F57" i="106" s="1"/>
  <c r="H57" i="106" s="1"/>
  <c r="E86" i="106" l="1"/>
  <c r="F86" i="106" s="1"/>
  <c r="H86" i="106" s="1"/>
  <c r="E96" i="106" l="1"/>
  <c r="F96" i="106" s="1"/>
  <c r="H96" i="106" s="1"/>
  <c r="K93" i="106"/>
  <c r="E93" i="106" s="1"/>
  <c r="F93" i="106" s="1"/>
  <c r="H93" i="106" s="1"/>
</calcChain>
</file>

<file path=xl/sharedStrings.xml><?xml version="1.0" encoding="utf-8"?>
<sst xmlns="http://schemas.openxmlformats.org/spreadsheetml/2006/main" count="620" uniqueCount="450">
  <si>
    <t xml:space="preserve"> </t>
  </si>
  <si>
    <t>№ скважины:</t>
  </si>
  <si>
    <t>Месторождение:</t>
  </si>
  <si>
    <t>Кондуктор</t>
  </si>
  <si>
    <t>Направление</t>
  </si>
  <si>
    <t>СХЕМА СКВАЖИНЫ</t>
  </si>
  <si>
    <t>Дополнительная информация</t>
  </si>
  <si>
    <t>Стол ротора</t>
  </si>
  <si>
    <t>Наруж.
диаметр</t>
  </si>
  <si>
    <t>Внутр.
диаметр</t>
  </si>
  <si>
    <t>Категория скважины по опасности</t>
  </si>
  <si>
    <t>Тип КГ</t>
  </si>
  <si>
    <t>Экспл. колонна</t>
  </si>
  <si>
    <t>Ожидаемый дебит</t>
  </si>
  <si>
    <t>на глубине</t>
  </si>
  <si>
    <t>Подвеска НКТ 89мм</t>
  </si>
  <si>
    <t>гермет.</t>
  </si>
  <si>
    <t>ГНКТ</t>
  </si>
  <si>
    <t>Ø  седла</t>
  </si>
  <si>
    <t>Ø  шара</t>
  </si>
  <si>
    <t>Макс. ожидаемое Р на устье скв.</t>
  </si>
  <si>
    <t>Макс. допустимое Р опр-ки ЭК</t>
  </si>
  <si>
    <t>Р в межколонном пространстве</t>
  </si>
  <si>
    <t>Начало / окончание бурения</t>
  </si>
  <si>
    <t>Содержание H2S</t>
  </si>
  <si>
    <t>Газовый фактор</t>
  </si>
  <si>
    <t>БП 80х70</t>
  </si>
  <si>
    <t>Мероприятия по предотвращению аварий, инцидентов и несчастных случаев:</t>
  </si>
  <si>
    <t>Мероприятия при нахождении рядом с ремонтируемой скважиной работающих скважин</t>
  </si>
  <si>
    <t>№</t>
  </si>
  <si>
    <t>Мероприятия</t>
  </si>
  <si>
    <t>Ответственный</t>
  </si>
  <si>
    <t>Провести устный инструктаж бригаде по проведению ремонта с соседними работающими скважинами.</t>
  </si>
  <si>
    <t>Мастер ГНКТ</t>
  </si>
  <si>
    <t>В схеме расстановки бригадного хозяйства обозначить опасные зоны работающих скважин (определить с Заказчиком при оформлении наряд-допуска)</t>
  </si>
  <si>
    <t>Оградить работающие скважины по периметру сигнальной лентой (по одной слева, справа) в радиусе 3 метра.</t>
  </si>
  <si>
    <t>При монтаже или демонтаже подъёмного агрегата для ремонта скважины, соседние с ремонтируемой (по одной слева, справа), эксплуатирующиеся глубинными штанговыми насосами, скважины остановить. Необходимость остановки определить с Заказчиком при приёмке скважины, отразить в наряд-допуске.</t>
  </si>
  <si>
    <t>Представитель «Заказчика»</t>
  </si>
  <si>
    <t>Установить предупреждающие знаки на соседних работающих скважинах (по одной слева¸ справа) «Внимание! Скважина работает!»</t>
  </si>
  <si>
    <t>Не допускать проведения монтажных, погрузо-разгрузочных работ в радиусе не менее 3 метров от работающих скважин</t>
  </si>
  <si>
    <t>При проведении работ по отбору проб, замеру динамических уровней и т.д в обязательном порядке информировать мастера бригады КРС о проведении данных работ.</t>
  </si>
  <si>
    <t>Не допускать складирования на запорной арматуре и площадках для исследования ремонтируемой скважины, а также соседних скважин инструмента, оборудования, электрокабелей, труб и т.д. и т.п.</t>
  </si>
  <si>
    <t>При расстановке оборудования бригады не загромождать доступ к соседним работающим скважинам.</t>
  </si>
  <si>
    <t>При обнаружении на соседних скважинах пропусков нефти, газа или воды немедленно закрыть устье ремонтируемой скважины, остановить работы и сообщить о происшествии в ЦДНГ/ЦППД.</t>
  </si>
  <si>
    <t>Установка экранирующих устройств на соседних с ремонтируемой скважиной определяется наряд-допуском, выданным Заказчиком.</t>
  </si>
  <si>
    <t>Мероприятия по предотвращению аварий (ГНВП и открытых фонтанов)</t>
  </si>
  <si>
    <t>Перед началом ремонта и перед каждой сменой проводить дополнительный инструктаж по предупреждению газонефтеводопроявлений с Проведением ежесменных учебных тревог «Выброс» с записью в вахтовом журнале.</t>
  </si>
  <si>
    <t>Ежедневно, перед началом работ проверять комплектность и работоспособность противовыбросового оборудования, с отметкой в журнале ежесменного осмотра оборудования.</t>
  </si>
  <si>
    <t>При перерывах в работе запрещается оставлять устье скважины открытым.</t>
  </si>
  <si>
    <t>Перед началом работ по капитальному ремонту скважин иметь в наличии в исправном состоянии средства пожаротушения в соответствии с перечнем.</t>
  </si>
  <si>
    <t>Заказчик</t>
  </si>
  <si>
    <t>До начала работ, а также на все время выполнения работ, всю технику, принимающую участие в технологических операциях, оборудовать искрогасителями.</t>
  </si>
  <si>
    <t>Мероприятия по охране окружающей среды:</t>
  </si>
  <si>
    <t>При производстве работ не допускается попадания нефтесодержащей жидкости и солевого раствора на рельеф.</t>
  </si>
  <si>
    <t>Утилизацию технологических отходов производить по договору с Заказчиком.</t>
  </si>
  <si>
    <t>ТБО, образующиеся в процессе производства работ складировать в специальные контейнеры, обозначенные надписью «ТБО»</t>
  </si>
  <si>
    <t>Ежесменно проверять состояние запорной арматуры на нефтяных и водяных ёмкостях.</t>
  </si>
  <si>
    <t>При допущенных розливах нефти и задавочной жидкости в кратчайшие сроки необходимо провести мероприятия по устранению розлива, с утилизацией нефтесодержащего материала.</t>
  </si>
  <si>
    <t>ЦЕЛЬ ПРОГРАММЫ</t>
  </si>
  <si>
    <t>ПОРЯДОК ПРОВЕДЕНИЯ РАБОТ</t>
  </si>
  <si>
    <t>Ознакомить бригаду с планом работ и режимными параметрами дизайна по промывке и СПО. Провести инструктаж по промышленной безопасности</t>
  </si>
  <si>
    <t>Принять скважину у Заказчика по акту (состояние ф/арматуры и кустовой площадки.)</t>
  </si>
  <si>
    <t>Расставить оборудование и технику согласно «Типовой схемы расстановки оборудования и спецтехники при проведении капитального ремонта скважин с использованием установки «Койлтюбинг».</t>
  </si>
  <si>
    <t>Мастер ГНКТ. Заказчик</t>
  </si>
  <si>
    <t>При наличии, согласно плана заказа, Н2S добавить в завезенную промывочную жидкость нейтролизатор сероводорода "Реком-102" в концентрации 0.5л на 10м³</t>
  </si>
  <si>
    <t>Ограничения веса и скоростей при СПО</t>
  </si>
  <si>
    <t>Перед каждой промывкой и после проверять веса ГТ (вверх, вниз, собств.)</t>
  </si>
  <si>
    <t>Не допускать увеличение нагрузки на г/трубу в процессе спуска. РАЗГРУЗКА Г/ТРУБЫ НЕ БОЛЕЕ 500 кг от собственного веса на этой глубине.</t>
  </si>
  <si>
    <t>Монтаж и опрессовка</t>
  </si>
  <si>
    <t>Внимание: Все требования ПБ и ОТ должны быть доведены до сведения работников, персонал должен быть проинформирован о начале проведения опрессовок. Все опрессовки производить согласно инструкции опрессовки ПВО и инструкции опрессовки нагнетательной и выкидной линии перед производством работ на скважине с Колтюбинговыми установками.</t>
  </si>
  <si>
    <t>Мастер ГНКТ представитель Заказчика</t>
  </si>
  <si>
    <t>После закрытия задвижки - отдуть г/трубу азотом.</t>
  </si>
  <si>
    <t>Сдать скважину представителю Заказчика Составить АКТ.</t>
  </si>
  <si>
    <t>Контроль выхода малого затруба</t>
  </si>
  <si>
    <t>Действия при приватах ГНКТ.</t>
  </si>
  <si>
    <t>ВНИМАНИЕ: При наличии посадок КНК - спуск производить с остановками для промежуточных промывок. В случае прихвата ГНКТ в скважине - проинформировсть ответственного представителя Заказчика и руководство ГНКТ ООО "ВЕТЕРАН". Дальнейшие действия производить в присутствии представителя Заказчика с составлением АКТа согласно "Плана-Схемы действий при прихватах ГНКТ" ТЕХНОЛОГИЧЕСКОЙ ИНСТРУКЦИИ ОАО «Башнефть добыча»</t>
  </si>
  <si>
    <t>Мастер ГНКТ, предст.Заказчика Мастер по сложным работам ГНКТ</t>
  </si>
  <si>
    <t>Использование хим. реагентов в процессе работ</t>
  </si>
  <si>
    <t>СОГЛАСОВАНО:</t>
  </si>
  <si>
    <t>При спуске производить приподъёмы для проверки веса на высоту не менее 20м со скоростью не более 5м/мин через каждые 300-500м (первичный-последующий спуск) в НКТ и 50-100м в ЭК.</t>
  </si>
  <si>
    <t>Мастер, бурильщик ГНКТ</t>
  </si>
  <si>
    <t>Произвести демонтаж превентора и инжектора, установки ГНКТ. Очистить желобные ёмкости от проппанта в мешки – приготовить к вывозу. Составить Акт на количество вымытого проппанта. Произвести демонтаж рабочих линий, рабочей площадки.
Внимание: произвести вывоз отработанной технологической жидкости и мешки с вымытым проппантом на пункт(ы) утилизации, согласованный с Заказчиком.</t>
  </si>
  <si>
    <t/>
  </si>
  <si>
    <t>Дата</t>
  </si>
  <si>
    <t>Цель работ</t>
  </si>
  <si>
    <t>ООО «Башнефть-Добыча»</t>
  </si>
  <si>
    <t xml:space="preserve">Площадь: </t>
  </si>
  <si>
    <t>УТВЕРЖДЕНО:</t>
  </si>
  <si>
    <t>ООО "ВЕТЕРАН"</t>
  </si>
  <si>
    <t xml:space="preserve">Главный геолог </t>
  </si>
  <si>
    <t>ВНИМАНИЕ: в процессе всего периода проведения работ на скважине при отсутствии проходки и получении жёсткой посадки с разгрузкой более 500кг сверх собственного веса на данной глубине, по согласованию с Заказчиком произвести ОБСЛЕДОВАНИЕ ТЕКУЩЕГО ЗАБОЯ спуском торцевой печати на ГНКТ (Dпечати -согласовать с Заказчиком). Получить отпечаток разгрузкой на ГНКТ в 1000кг. Поднять печать из скважины. Дальнейшие работы по результатам обследования печати.</t>
  </si>
  <si>
    <t>Главный геолог региона добычи нефти и газа</t>
  </si>
  <si>
    <t>УРМ ООО «Башнефть-Добыча »</t>
  </si>
  <si>
    <t>УДНГ ООО «Башнефть-Добыча »</t>
  </si>
  <si>
    <t>инв. №:</t>
  </si>
  <si>
    <t>из бурения</t>
  </si>
  <si>
    <t>Внимание: Для проведения технологических операций завоз жидкости производить с ПНТЖ, согласованного с Заказчиком. Перед началом работ согласовать с Заказчиком пункт утилизации жидкости.</t>
  </si>
  <si>
    <t>Внимание: при проведении работ по ОПЗ с кислотными составами, весь состав вахты обязан применять СИЗ (Инструкция П1-01.03 И-0128 ЮЛ-305 ООО"Башнефть-Добыча")</t>
  </si>
  <si>
    <t>СПО промывочной КНК-1</t>
  </si>
  <si>
    <t>Зам.начальника региона добычи нефти и газа</t>
  </si>
  <si>
    <t>При отсутствии проходки и получения жесткой посадки, дальнейшие работы по согласованию с Заказчиком.</t>
  </si>
  <si>
    <t>седло</t>
  </si>
  <si>
    <t>Диаметр канавки</t>
  </si>
  <si>
    <t>Жидкость глушения</t>
  </si>
  <si>
    <t>в объеме</t>
  </si>
  <si>
    <t>Поднять КНК-1 на ГНКТ из скважины, закрыв скважину и записав число оборотов задвижки – зафиксировать дату и время. Демонтировать превентор, лубрикатор, КНК-1.</t>
  </si>
  <si>
    <t>Спуск фрезеровочной КНК-2. Фрезерование муфт ГРП (фрак-портов)</t>
  </si>
  <si>
    <t>Мастер ГНКТ представитель заказчика</t>
  </si>
  <si>
    <t>Поднять КНК-1 на ГНКТ из скважины. Закрыть коренную задвижку. Сменить промывочную КНК-1 на фрезировочную КНК-2. Продолжить работы по фрезерованию МГРП.</t>
  </si>
  <si>
    <t>Спуск промывочной КНК-1</t>
  </si>
  <si>
    <t>Произвести запуск и вывести Азотный комплекс и НКА на рабочий режим. Получить стабильную круговую циркуляцию азотированной смеси, промывка в течении 60мин с контролем на мех.примеси в обратной ёмкости.</t>
  </si>
  <si>
    <t>Произвести тех.отстой скважины для оседания твёрдых частиц в течении 2х часов.</t>
  </si>
  <si>
    <t>При проведении технологического отстоя - не оставлять ГНКТ без движения - производить расхаживания г/трубы на 20м вверх и на 20м вниз со скоростью СПО не более 3м/мин. При отрицательной температуре окружающей среды, во избежании получения ледяной пробки в г/трубе при проведении тех.отстоя ни в коем случае не прекращать минимальную циркуляцию жидкости по г/трубе.</t>
  </si>
  <si>
    <t>Подъем промывочной КНК-1</t>
  </si>
  <si>
    <t>По согласованию с Заказчиком, подтверждение нормализованного забоя</t>
  </si>
  <si>
    <t>по Pпл</t>
  </si>
  <si>
    <t>по H2S</t>
  </si>
  <si>
    <t>по газовому фактору</t>
  </si>
  <si>
    <t>Произвести монтаж 4-х секционного превентора БП 80-70.00.00.000 (700атм) и инжектора на устье скважины согласно "Схемы №6 обвязки устья скважин I, II, III категории опасности возникновения ГНВП после проведения гидроразрыва пласта и работы на скважинах ППД с оборудованием койлтюбинговых установок на месторождениях ООО "Башнефть-Добыча" от 02.04.2019г. Произвести обвязку установки ГНКТ, насосно-компрессорного агрегата, желобной циркуляционной системы.</t>
  </si>
  <si>
    <t>Пластовое давление</t>
  </si>
  <si>
    <t>Ян Р.Н.</t>
  </si>
  <si>
    <t>Самигуллин И.Ф.</t>
  </si>
  <si>
    <t>Коэффициент  аномальности</t>
  </si>
  <si>
    <t>Vэк114мм</t>
  </si>
  <si>
    <t>2 объема НКТ</t>
  </si>
  <si>
    <t>Vгнкт</t>
  </si>
  <si>
    <t>рабочий объем</t>
  </si>
  <si>
    <t>Опрессовку ПВО скважин 1ой категории производить в присутствии представителя ПФС. 
Заявку на представителя ПФЧ подавать за 24 часа телефонограммой. 
По окончании опрессовоки ПВО, получить разрешения от представителя ПФС.</t>
  </si>
  <si>
    <t>шары</t>
  </si>
  <si>
    <t>Составил: инженер-геолог ООО «ВЕТЕРАН»</t>
  </si>
  <si>
    <t>куст:</t>
  </si>
  <si>
    <t>, при необходимости произвести запуск и вывод на режим МАК, получить стабильную круговую циркуляцию азотированной смеси. Промывка в течении 60мин с контролем на мех.примеси в обратной ёмкости.</t>
  </si>
  <si>
    <t>Поднять КНК-2 на г/трубе из скважины. Закрыть коренную задвижку. Демонтировать инжектор, лубрикатор, КНК-2 (ВЗД с т/ф). Собрать КНК-1 (насадка промывочная Ø38.1мм + сдвоенный обратный клапан). Произвести монтаж лубрикатора и инжектора на устье скважины.</t>
  </si>
  <si>
    <t>Согласовать схему расстановки оборудования и путей эвукуации с мастером ЦДНГ/ЦППД на схеме коммуникаций-приложение к наряд -допуску.</t>
  </si>
  <si>
    <t>Примечание: на месте проведения работ по ОПЗ кислотами и их смесями должен быть аварийный запас спецодежды, спецобуви и других средств индивидуальной защиты, запас чистой пресной воды и средств нейтрализации кислоты (мел, известь, хлорамин).</t>
  </si>
  <si>
    <t>ВНИМАНИЕ: при получении посадки в НКТ в процессе спуска и наличии разгрузки на промывочный инструмент более 500кг (уведомить Заказчика – составить АКТ на посадку). Приподнять КНК-1 на 20м выше этой глубины.</t>
  </si>
  <si>
    <t>ВНИМАНИЕ: В процессе промывки скважины - параметры азотированной промывочной смеси могут изменяться (от 80 до 200л/мин по жидкости (тех.вода 1,02г/см3) и от 8 до 20м3/мин по азоту) в зависимости от качества выноса посторонних частиц с забоя - данный процесс находиться под постоянным контролем у мастера по сложным работам ГНКТ.</t>
  </si>
  <si>
    <t>Вывести НКА на рабочий режим промывки и получить стабильную круговую циркуляцию промывочной жидкости (тех.вода 1,02г/см3) произвести запуск азотного комплекса, вывести его на рабочий режим.Дождаться выхода пузыря азота. Получить стабильную круговую</t>
  </si>
  <si>
    <t>Во время промывки - выход малого затруба постоянно должен находиться под контролем. На желобной ёмкости постоянно осуществляется наблюдение за наличием проппанта и мех. примесей на выходной линии. 
Перед началом промывки – необходимо отрегулировать штуцерный монифольд так, как это необходимо – уровень промывочной жидкости в циркуляционной ёмкости не должен уменьшаться. Уровень жидкости должен находиться под постоянным наблюдением, чтобы избежать потери жидкости в пласт. Во время промывки уровень жидкости должен немного увеличиваться или оставаться неизменным.</t>
  </si>
  <si>
    <t xml:space="preserve">При промывке, в случае выноса большого объёма проппанта из пласта (или в случае поглощения промывочной жидкости) поинтервально через каждые 10м (или через каждые 2м) производить прокачку и </t>
  </si>
  <si>
    <t>произвести промывку в течении не менее 2 часов, до чистой, без посторонних мех. примесей промывочной жидкости (тех.вода 1,02г/см3).
Составить акт на нормализацию в присутствии представителя Заказчика.</t>
  </si>
  <si>
    <t>ВНИМАНИЕ БУРИЛЬЩИК! П О С Т О Я Н Н О !!! При подъеме ВЗД после фрезерования седел и шаров МГРП, во избежание заклинивания и получения прихвата ГНКТ (от возможного попадания остатков частиц шара или седла после разбуривания )</t>
  </si>
  <si>
    <t>Демонтировать превентор, лубрикатор, КНК-2 (ВЗД с т/ф). Обрезать 1 метр ГНКТ после СПО фрезеровочной КНК.</t>
  </si>
  <si>
    <t>промыть скважину в течении 2 часов до выхода чистой, без посторонних примесей, промывочной жидкости (тех.вода 1,02г/см3).Составить Акт на промывку в присутствии представителя Заказчика.</t>
  </si>
  <si>
    <t>Составить АКТ с представителем Заказчика. При отсутствии ранее нормализованного забоя по согл. с Заказчиком, провести работы по нормализации забоя.</t>
  </si>
  <si>
    <t>АЦДНГ №4</t>
  </si>
  <si>
    <t>Арланский РДНГ,</t>
  </si>
  <si>
    <t>Краснохолмский РДНГ,</t>
  </si>
  <si>
    <t>Чекмагушевский РДНГ,</t>
  </si>
  <si>
    <t>Ишимбайский РДНГ,</t>
  </si>
  <si>
    <t>АЦДНГ №2</t>
  </si>
  <si>
    <t>АЦДНГ №3</t>
  </si>
  <si>
    <t>АЦДНГ №5</t>
  </si>
  <si>
    <t>АЦДНГ №6</t>
  </si>
  <si>
    <t>ЮЦДНГ №2</t>
  </si>
  <si>
    <t>ЮЦДНГ №3</t>
  </si>
  <si>
    <t>ЮЦДНГ №4</t>
  </si>
  <si>
    <t>АкЦДНГ №2</t>
  </si>
  <si>
    <t>АкЦДНГ №3</t>
  </si>
  <si>
    <t>ИЦДНГ №2</t>
  </si>
  <si>
    <t>ИЦДНГ №3</t>
  </si>
  <si>
    <t>ИЦДНГ №4</t>
  </si>
  <si>
    <t>ИЦДНГ №5</t>
  </si>
  <si>
    <t>ЧЦДНГ №1</t>
  </si>
  <si>
    <t>ЧЦДНГ №2</t>
  </si>
  <si>
    <t>ЧЦДНГ №3</t>
  </si>
  <si>
    <t>ЧЦДНГ №4</t>
  </si>
  <si>
    <t>ЧЦДНГ №5</t>
  </si>
  <si>
    <t>УЦДНГ №1</t>
  </si>
  <si>
    <t>УЦДНГ №2</t>
  </si>
  <si>
    <t>УЦДНГ №3</t>
  </si>
  <si>
    <t>УЦДНГ №4</t>
  </si>
  <si>
    <t>УЦДНГ №5</t>
  </si>
  <si>
    <t>ОЦДНГ №1</t>
  </si>
  <si>
    <t>ОЦДНГ №2</t>
  </si>
  <si>
    <t>ОЦДНГ №3</t>
  </si>
  <si>
    <t>ОЦДНГ №4</t>
  </si>
  <si>
    <t>ТЦДНГ №1</t>
  </si>
  <si>
    <t>ТЦДНГ №2</t>
  </si>
  <si>
    <t>ТЦДНГ №3</t>
  </si>
  <si>
    <t>ТЦДНГ №4</t>
  </si>
  <si>
    <t>ШЦДНГ №2</t>
  </si>
  <si>
    <t>Диспетчер ШЦДНГ +7 (34786) 38132</t>
  </si>
  <si>
    <t>Диспетчер ШЦДНГ +7 (34786) 38932</t>
  </si>
  <si>
    <t>Туймазинский РДНГ,</t>
  </si>
  <si>
    <t>КЦДНГ №2</t>
  </si>
  <si>
    <t>КЦДНГ №3</t>
  </si>
  <si>
    <t>КЦДНГ №4</t>
  </si>
  <si>
    <t>КЦДНГ №5</t>
  </si>
  <si>
    <t>КЦДНГ №6</t>
  </si>
  <si>
    <t>КЦДНГ №7</t>
  </si>
  <si>
    <t>АЦДНГ №1</t>
  </si>
  <si>
    <t>КЦДНГ №1</t>
  </si>
  <si>
    <t>ЮЦДНГ №1</t>
  </si>
  <si>
    <t>АкЦДНГ №1</t>
  </si>
  <si>
    <t>ИЦДНГ №1</t>
  </si>
  <si>
    <t>ШЦДНГ №1</t>
  </si>
  <si>
    <t>Производить замеры ГВС при спуске, промывках и освоении не реже, чем как через каждый час, с записью в журнале времени и результатов замеров ГВС. В случае возникновения газонефтеводопроявления следует прекратить все работы, загерметизировать устье скважины и сообщить об этом в службу ЦИТС ООО «ВЕТЕРАН» по тел. 8(35342)76292 и «Заказчика»</t>
  </si>
  <si>
    <t>Ахметшин Ф.Ф.</t>
  </si>
  <si>
    <t>Ибрагимов Р.Н.</t>
  </si>
  <si>
    <t>Сулейманов А.А.</t>
  </si>
  <si>
    <t>Шакиров Р.Р.</t>
  </si>
  <si>
    <t>Валеев Ф.С.</t>
  </si>
  <si>
    <t>А.Н.Турдыматов</t>
  </si>
  <si>
    <t>В.Н.Горбатов</t>
  </si>
  <si>
    <t>а) Во время промывки возможен резкий вынос большого объёма проппанта из пласта, что может привести к потере циркуляции и последующему прихвату ГНКТ, данную ситуацию можно проследить, при этом вес ГНКТ резко понизится, а циркуляционное давление начнёт повышаться, в данном случае необходимо приостановить спуск ГНКТ, произвести промывку с добавлением понизителя трения гидравлического давления (дозировка до 3-5л /1м3 в зависимости от применяемого вида) до стабилизации рабочего давления, после чего продолжить промывку.
б) В случае поглащения промывочной жидкости (тех.вода 1,02г/см3) в процессе промывки, после взятия каждой пачки проппанта производить прокачку загеленной жидкости (вязких пачек) в объеме 2-4м3 с сопровождением пачек в НКТ до гл.стингера с последующей промывкой до полного выноса проппанта на желобную ёмкость.
в) При наличии посадок КНК, спуск производить с остановками для промежуточных промывок.
г) В случае использования мембранной азотной установки, для уменьшения коррозионного влияния кислорода на ГНКТ, приготовить промывочную жидкость с добавлением ингибитора коррозии в расчете 120 л на 25м3 жидкости (тех.вода 1,02г/см3).
д) При выходе густого высоковязкого геля (во избежании закупорки циркуляционной системы) использовать диструктор - лимонную кислоту в жидком виде.</t>
  </si>
  <si>
    <t>Vэк178мм</t>
  </si>
  <si>
    <t>Интервалы установки фрак-портов  (муфт ГРП)</t>
  </si>
  <si>
    <t>Ропр-ки</t>
  </si>
  <si>
    <t>Vтрубного прост.(без затруба)</t>
  </si>
  <si>
    <t>Vскв. с учетом тела НКТ 89мм или Vглушения для КРС  без 10% запаса</t>
  </si>
  <si>
    <t>Vнкт(внут)</t>
  </si>
  <si>
    <t>Vнкт(внеш)</t>
  </si>
  <si>
    <t>Максимальный расчётный вес ГНКТ при подъёме с забоя – 4,2т; при спуске – 0,4т; в неподвижном состоянии - 2,4т. Максимальный допустимая нагрузка на ГНКТ - 18т.</t>
  </si>
  <si>
    <t>После закрытия задвижки, приготовить и прокачать по г/трубе по циркуляции на желобную ёмкость пачку – ингибитора коррозии в объёме 40л, с целью предотвращнения коррозийных отложений в г/трубе.Предположительный расход хим.реагентов на скважину: 1) Понизитель трения Лубритал - 30л (концентрация 1л/м3); 2) Загуститель ВГ-4 - 20л (для загеливания тех.жидкости и прокачки вязких пачек концентрация 5кг/м3)</t>
  </si>
  <si>
    <t>Собрать фрезеровочную Компоновку Низа Колонны-2, далее КНК-2: наружный коннектор Ø 54мм + обратный клапан створчатого типа 54мм + гидравлический разъединитель 57мм + ВЗД Ø 54-55мм + торцевой фрез Ø 68мм. Постоянно после сборки компоновки, проверять работоспособность ВЗД перед спуском в скважину на устье. Произвести замеры составных частей КНК с записью в журнале. Произвести монтаж лубрикатора и инжектора на устье скважины. Произвести необходимые опрессовки.</t>
  </si>
  <si>
    <t>Макс. интенс. набора кривизны</t>
  </si>
  <si>
    <t>Макс.угол в горизонт. участке</t>
  </si>
  <si>
    <t>1,952"</t>
  </si>
  <si>
    <t>2,022"</t>
  </si>
  <si>
    <t>2,092"</t>
  </si>
  <si>
    <t>2,162"</t>
  </si>
  <si>
    <t>2,242"</t>
  </si>
  <si>
    <t>2,322"</t>
  </si>
  <si>
    <t>2,402"</t>
  </si>
  <si>
    <t>2,487"</t>
  </si>
  <si>
    <t>2,577"</t>
  </si>
  <si>
    <t>2,667"</t>
  </si>
  <si>
    <t>2,757"</t>
  </si>
  <si>
    <t>2,847"</t>
  </si>
  <si>
    <t>Хвостовик ''Зенит''</t>
  </si>
  <si>
    <t>ФПЗН1.114</t>
  </si>
  <si>
    <t xml:space="preserve">Собрать Компоновку Низа Колонны-1 далее КНК-1: коннектор + сдвоенный обратный клапан + насадка-промывочная Ø </t>
  </si>
  <si>
    <t>. Произвести монтаж лубрикатора и инжектора на устье скважины. Произвести необходимые опрессовки.</t>
  </si>
  <si>
    <t xml:space="preserve">Собрать промывочную КНК-1: коннектор + сдвоенный обратный клапан + насадка промывочная Ø </t>
  </si>
  <si>
    <t>ПЛАН РАБОТ НА СКВАЖИНЕ С ПОМОЩЬЮ УСТАНОВКИ С ГИБКОЙ ТРУБОЙ</t>
  </si>
  <si>
    <t>Хвостовик  ''НТЦ ''ЗЭРС''</t>
  </si>
  <si>
    <t>Районный инженер
Башкирского военизированного отряда</t>
  </si>
  <si>
    <t>Искусственный забой  (обратный клапан)</t>
  </si>
  <si>
    <t>Подъем фрезеровочной КНК-2</t>
  </si>
  <si>
    <t>ДЕМОНТАЖ И ОСВОБОЖДЕНИЕ ТЕРРИТОРИИ</t>
  </si>
  <si>
    <t>Искусственный забой  (МГРП с актив.шаром 25мм)</t>
  </si>
  <si>
    <t>Данные о размерности НКТ о конструкции скважины</t>
  </si>
  <si>
    <t>тройник 80х70-80х70 В60-В60</t>
  </si>
  <si>
    <t>Переходная катушка 180х21-89-3"</t>
  </si>
  <si>
    <t>Оборудование
устья скважины</t>
  </si>
  <si>
    <t>К.Н. Алегин</t>
  </si>
  <si>
    <t>Внимание: при отсутствии проходки вследствии предполагаемого износа фреза, произвести смену вооружения: поднять фрез.КНК, заменить фрез, спустить фрез.КНК, продолжить работы по фрезерованию седел муфт ГРП.</t>
  </si>
  <si>
    <t>Главный инженер</t>
  </si>
  <si>
    <t>ООО «Ветеран»</t>
  </si>
  <si>
    <t>Аксенов В.Г.</t>
  </si>
  <si>
    <t>Давление опрессовки МКП</t>
  </si>
  <si>
    <t>Николо-Березовская</t>
  </si>
  <si>
    <t>Толщина стенки</t>
  </si>
  <si>
    <t>Объем</t>
  </si>
  <si>
    <t>п.м./л</t>
  </si>
  <si>
    <t>м3</t>
  </si>
  <si>
    <t>не цементиров.</t>
  </si>
  <si>
    <t xml:space="preserve">При закрытой центральной задвижке фонтанной арматуры опрессовать ГНКТ и все нагнетательные линии на 250атм. Опрессовать ПВО, обратные клапана и выкидную линию от устья скважины до желобной ёмкости (надёжно закрепить, оборудовать дроссельными задвижками) опрессовать на </t>
  </si>
  <si>
    <t>атм с выдержкой 30мин. Результат опрессовки ПВО зафиксировать в вахтовом журнале и составить акт опрессовки ПВО. Установить на малом и большом затрубе технологический манометр. Провести УТЗ и инструктаж. Опрессовку проводить в присутствии представителя ПФС, мастера, бурильщика, машиниста подъемника и представителя супервайзерской службы. 
Заявку на представителя ПФЧ подавать за 24 часа телефонограммой. По окончании опрессовоки ПВО, получить разрешения от представителя ПФС.</t>
  </si>
  <si>
    <t>При отрицательной температуре окружающей среды, нагреть до 50ºC и прокачать по ГНКТ солевой раствор в объеме ГНКТ для предотвращения замерзания раствора внутри г/трубы (получения ледяной пробки).</t>
  </si>
  <si>
    <t>Внимание: рабочее давление на устье в процессе разбуривания не должно превышать 100атм. Если циркуляционное давление выше 250атм, произвести закачку понизителя трения в концентрации 3-5л/1м3.</t>
  </si>
  <si>
    <t>ВЦП.
Длина ПО</t>
  </si>
  <si>
    <t>от</t>
  </si>
  <si>
    <t>до</t>
  </si>
  <si>
    <t>Глубина</t>
  </si>
  <si>
    <t>Расчетные параметры циркуляции: по жидкости (тех.вода 1,02г/см3) 120л/мин; 10м3/мин по азоту.
В процессе промывки скважины, параметры азотированной промывочной смеси могут изменяться (от 80 до 200л/мин по жидкости и от 8 до 20м3/мин по азоту) в зависимости от качества выноса посторонних частиц с забоя. данный процесс находится под постоянным контролем у ст.мастера ГНКТ.</t>
  </si>
  <si>
    <t>Хвостовик ''Барбус''</t>
  </si>
  <si>
    <t>−</t>
  </si>
  <si>
    <t>51,36t20</t>
  </si>
  <si>
    <t>54,00t20</t>
  </si>
  <si>
    <t>56,65t20</t>
  </si>
  <si>
    <t>59,80t20</t>
  </si>
  <si>
    <t xml:space="preserve"> с постоянным контролем промывочной жидкости в обратной ёмкости на наличие мех. примесей. Скорость спуска при промывке НКТ не более 5м/мин. Контрольная проверка веса через каждые 100м промывки.</t>
  </si>
  <si>
    <t>Татышлинское</t>
  </si>
  <si>
    <t>Татышлинская</t>
  </si>
  <si>
    <t>Буревское</t>
  </si>
  <si>
    <t>Буревская</t>
  </si>
  <si>
    <t>первая (после бурения)</t>
  </si>
  <si>
    <t>Югомашевское</t>
  </si>
  <si>
    <t>Югомашевская</t>
  </si>
  <si>
    <t>ПНТЖ "Каймаш" (1,17г/см3) + ПНТЖ "Четырман","Кучаш" (1,00г/см3) на расстоянии 50км от скважины. ООО "Ветеран" в случае необходимости (аварийного глушения) обязуется обеспечить завоз жидкости глушения на объект работ.</t>
  </si>
  <si>
    <t>Арланское</t>
  </si>
  <si>
    <t>ПНТЖ "Ташкиново" (1,12г/см3) на расстоянии 18км от скважины. ООО "Ветеран" в случае необходимости (аварийного глушения) обязуется обеспечить завоз жидкости глушения на объект работ.</t>
  </si>
  <si>
    <t>гидравлич.</t>
  </si>
  <si>
    <t>66,10t20</t>
  </si>
  <si>
    <t>Патрубок 1 шт.</t>
  </si>
  <si>
    <t>62,95t20</t>
  </si>
  <si>
    <t xml:space="preserve">Текущий забой до ГРП </t>
  </si>
  <si>
    <r>
      <t xml:space="preserve">Все операции при производстве работ выполнять в соответствии с действующими Федеральными нормами и правилами в области промышленной безопасности "Правила безопасности в нефтяной и газовой промышленности" , РД 153-39-023-97, технологической инструкцией "Требования безопасности при ведении монтажных работ и производстве текущего, капитального ремонта и освоения скважин после бурения" П2-05.01 ТИ-0001 , </t>
    </r>
    <r>
      <rPr>
        <b/>
        <sz val="10"/>
        <rFont val="Arial"/>
        <family val="2"/>
        <charset val="204"/>
      </rPr>
      <t>инструкцией «По предупреждению газонефтеводопроявлений и открытых фонтанов при бурении, освоении, геофизических исследованиях,  эксплуатации скважин, реконструкции, ремонте, техническом  перевооружении, консервации и ликвидации скважин, а также при проведении геофизических  и прострелочно-взрывных работах на скважинах» № П3-05 И-102089 ЮЛ-305,</t>
    </r>
    <r>
      <rPr>
        <sz val="10"/>
        <rFont val="Arial"/>
        <family val="2"/>
      </rPr>
      <t xml:space="preserve"> акта (наряд) допуска, мероприятий по сокращению аварийности, протоколов ГТС, молний, писем, доведённых обществом (ООО "Башнефть-Добыча") и других действующих в ООО "Башнефть-Добыча" нормативных документов.</t>
    </r>
  </si>
  <si>
    <t>Дорошин Ю.А.</t>
  </si>
  <si>
    <t>по КИ от 01.01.2023г.</t>
  </si>
  <si>
    <t>Диспетчер АЦДНГ №1 (DISP-ACDNG1@bn.rosneft.ru) +7 (34783) 79722</t>
  </si>
  <si>
    <t>Диспетчер АЦДНГ №2 (Disp-ACDNG2@bn.rosneft.ru) +7 (34783) 78827</t>
  </si>
  <si>
    <t>Диспетчер АЦДНГ №3 (Disp-ACDNG3@bn.rosneft.ru) +7 (34783) 77357</t>
  </si>
  <si>
    <t>Диспетчер АЦДНГ №4 (Disp-ACDNG4@bn.rosneft.ru) +7 (34783) 78518</t>
  </si>
  <si>
    <t>Диспетчер АЦДНГ №5 (Disp_ACDNG5@bn.rosneft.ru) +7 (34783) 78537</t>
  </si>
  <si>
    <t>Диспетчер АЦДНГ №6 (Disp-ACDNG6@bn.rosneft.ru) +7 (34783) 79766</t>
  </si>
  <si>
    <t>Диспетчер КЦДНГ №1 (DispKCDNG1@bn.rosneft.ru) +7 (34760) 72618</t>
  </si>
  <si>
    <t>Диспетчер КЦДНГ №2 (disp2kudng@bn.rosneft.ru) +7 (34760) 72221</t>
  </si>
  <si>
    <t>Диспетчер КЦДНГ №3 (DispKCDNG3@bn.rosneft.ru) +7 (34760) 72419</t>
  </si>
  <si>
    <t>Диспетчер КЦДНГ №4 (dispcdng4@bn.rosneft.ru) +7 (34760) 71615</t>
  </si>
  <si>
    <t>Диспетчер КЦДНГ №5 (disp5kudng@bn.rosneft.ru) +7 (34760) 71129</t>
  </si>
  <si>
    <t>Диспетчер КЦДНГ №6 (disp6kudng@bn.rosneft.ru) +7 (34760) 71507</t>
  </si>
  <si>
    <t>Диспетчер КЦДНГ №7 (changakul@bn.rosneft.ru) +7 (34760) 71120</t>
  </si>
  <si>
    <t>Диспетчер ЮЦДНГ №1 (DISP-UCDNG1@bn.rosneft.ru) +7 (34783) 76314</t>
  </si>
  <si>
    <t>Диспетчер ЮЦДНГ №2 (DISP-UCDNG2@bn.rosneft.ru) +7 (34783 76309</t>
  </si>
  <si>
    <t>Диспетчер ЮЦДНГ №3 (DISP-UCDNG3@bn.rosneft.ru) +7 (34783 76445</t>
  </si>
  <si>
    <t xml:space="preserve">Диспетчер ЮЦДНГ №4 (DISP-UCDNG4@bn.rosneft.ru) +7 (34783) 76200 </t>
  </si>
  <si>
    <t>Диспетчер АкЦДНГ №1  +7 (34786) 38832 (DispACDNG1@bn.rosneft.ru)</t>
  </si>
  <si>
    <t>Диспетчер АкЦДНГ № 2 НГДУ "Ишимбайнефть" (DispACDNG2@bn.rosneft.ru) +7 (34786) 38387</t>
  </si>
  <si>
    <t>Диспетчер АкЦДНГ № 3 НГДУ "Ишимбайнефть" (DispACDNG3@bn.rosneft.ru) +7 (34786) 37503</t>
  </si>
  <si>
    <t>Диспетчер ИЦДНГ №1 (DispICdng1@bn.rosneft.ru) +7 (34794) 68939</t>
  </si>
  <si>
    <t>Диспетчер ИЦДНГ №2 (DispICdng2@bn.rosneft.ru) +7 (34794) 68009</t>
  </si>
  <si>
    <t>Диспетчер ИЦДНГ №3 (DispICdng3@bn.rosneft.ru) +7 (34794) 68636</t>
  </si>
  <si>
    <t>Диспетчер ИЦДНГ №4 (DispICdng4@bn.rosneft.ru) +7 (34794) 68549</t>
  </si>
  <si>
    <t>Диспетчер ИЦДНГ №5 (DispICdng5@bn.rosneft.ru) +7 (34794) 68810</t>
  </si>
  <si>
    <t>Диспетчерская  ЧЦДНГ №1 (dispet1@bn.rosneft.ru) +7 (34787 41302</t>
  </si>
  <si>
    <t>Диспетчерская  ЧЦДНГ №2 (dispet2@bn.rosneft.ru) +7 (34787) 43740</t>
  </si>
  <si>
    <t>Диспетчерская  ЧЦДНГ №3 (dispet3@bn.rosneft.ru) +7 (34787) 41384</t>
  </si>
  <si>
    <t>Диспетчерская  ЧЦДНГ №4 (DispetChn4@bn.rosneft.ru) +7 (34787) 41232</t>
  </si>
  <si>
    <t>Диспетчерская  ЧЦДНГ №5 (dispet5@bn.rosneft.ru) (34787) 41302</t>
  </si>
  <si>
    <t>Диспетчер УЦДНГ №1  (DispetUCDNG-1@bn.rosneft.ru) +7 (347) 26-212-42</t>
  </si>
  <si>
    <t>Диспетчер УЦДНГ №2 (DispetUCDNG-2@bn.rosneft.ru) +7 (347) 26-279-66; 8-(347) 262-15-80</t>
  </si>
  <si>
    <t>Диспетчер УЦДНГ №3 (DispetUCDNG-3a@bn.rosneft.ru) +7 (347) 26-215-42</t>
  </si>
  <si>
    <t>Диспетчер УЦДНГ №4 (DispetUCDNG-4@bn.rosneft.ru) 8-347-262-1548</t>
  </si>
  <si>
    <t>Диспетчер УЦДНГ №5 (dispetucdng-5@bn.rosneft.ru) +7 (347) 262-1590</t>
  </si>
  <si>
    <t>Диспетчер ОЦДНГ №1 (DispetOTSDNG-1@bn.rosneft.ru) +7 (34782) 91352</t>
  </si>
  <si>
    <t>Диспетчер ОЦДНГ №2 (Dispetotsdng-2@bn.rosneft.ru) +7 (34782) 91543</t>
  </si>
  <si>
    <t>Диспетчер ОЦДНГ №3 (DispetOTSDNG-3@bn.rosneft.ru) +7 (34782) 91100</t>
  </si>
  <si>
    <t>Диспетчер ОЦДНГ №4 (DispetOTSDNG4@bn.rosneft.ru) +7 (34782) 91218</t>
  </si>
  <si>
    <t>Диспетчер ТЦДНГ №1 (DispetTCDNG1@bn.rosneft.ru) +7 (34767) 94338</t>
  </si>
  <si>
    <t>Диспетчер ТЦДНГ №2 (DispetTCDNG2@bn.rosneft.ru) +7 (34767) 94…</t>
  </si>
  <si>
    <t>Диспетчер ТЦДНГ №3 (DispetTCDNG3@bn.rosneft.ru) +7 (34767) 94222</t>
  </si>
  <si>
    <t>Диспетчер ТЦДНГ №4 (dispetTCDNG4@bn.rosneft.ru) +7 (34767) 94610</t>
  </si>
  <si>
    <t>114/45</t>
  </si>
  <si>
    <t>114/47</t>
  </si>
  <si>
    <t>114/49</t>
  </si>
  <si>
    <t>114/52</t>
  </si>
  <si>
    <t>114/55</t>
  </si>
  <si>
    <t>114/58</t>
  </si>
  <si>
    <t>114/61</t>
  </si>
  <si>
    <t>114/64</t>
  </si>
  <si>
    <t>114/67</t>
  </si>
  <si>
    <t>114/70</t>
  </si>
  <si>
    <t>Произвести завоз технологической жидкости в объеме не менее 10м3 плотностью не более 1,02г/см3. При интенсивном самоизливе скважины в процессе работ или при отрицательной температуре окружающего воздуха, только по доп.согласованию с Заказчиком, перейти на технологическую жидкость с удельным весом до 1,18г/см3.</t>
  </si>
  <si>
    <t>Лубрикатор + герметизатор</t>
  </si>
  <si>
    <t>Дата окончания ремонта</t>
  </si>
  <si>
    <t>Дата начала операции</t>
  </si>
  <si>
    <t>Дата окончания операции</t>
  </si>
  <si>
    <t>Операции</t>
  </si>
  <si>
    <t>Бригада</t>
  </si>
  <si>
    <t>Простой</t>
  </si>
  <si>
    <t>Исполнитель</t>
  </si>
  <si>
    <t>Мастер</t>
  </si>
  <si>
    <t>-</t>
  </si>
  <si>
    <t>Нет</t>
  </si>
  <si>
    <t>Арланская</t>
  </si>
  <si>
    <t>После тех.отстоя произвести подъем КНК-2 на г/трубе из скважины соблюдая скорости безопасного СПО. Закрыть коренную задвижку.</t>
  </si>
  <si>
    <t>В процессе перевода соблюдать равенство объемов закаченной и отобранной из скважины жидкости, т.е. не допускать режима фонтанирования (поглощения).</t>
  </si>
  <si>
    <t xml:space="preserve">Произвести подъем с замещением скважинной жидкости на раствор глушения, удельного веса по согласованию с Заказчиком, рассчитанного по замеру Ризб после 2-х часов отстоя и удел.веса рабочей жидкости в скважин, но не менее удельного веса расчитанного для пластового давления указанного в настоящем плане работ </t>
  </si>
  <si>
    <t xml:space="preserve"> До завоза раствора, скважину разряжать. Перед замещением КНК установить в интервале нижнего фрак-порта.
</t>
  </si>
  <si>
    <t>Извлечь КНК-1 на ГНКТ из скважины. Закрыть скважину записав и сверив число оборотов задвижки – зафиксировать дату и время.</t>
  </si>
  <si>
    <t xml:space="preserve">Произвести тех.отстой в течении 2ух часов для замера Ризб на тех.воде. Пересчитать забойное давление и необходимый удельный вес жидкости глушения. По доп.согласованию с Заказчиком, произвести СПО пром.КНК-1 с целью глушения скважины - </t>
  </si>
  <si>
    <t>102/45</t>
  </si>
  <si>
    <t>102/47</t>
  </si>
  <si>
    <t>102/49</t>
  </si>
  <si>
    <t>102/52</t>
  </si>
  <si>
    <t>102/55</t>
  </si>
  <si>
    <t>102/58</t>
  </si>
  <si>
    <t>102/61</t>
  </si>
  <si>
    <t>102/64</t>
  </si>
  <si>
    <t>102/67</t>
  </si>
  <si>
    <t>102/70</t>
  </si>
  <si>
    <t>ФПЗН.102</t>
  </si>
  <si>
    <t xml:space="preserve">Гидроякорь </t>
  </si>
  <si>
    <t>05.05.2023г.</t>
  </si>
  <si>
    <t>Дата начала ремонта : 22.03.2023</t>
  </si>
  <si>
    <t xml:space="preserve">Вид ремонта : </t>
  </si>
  <si>
    <t>Начало ремонта(Скважина №11675Г - АР); Переезд(Комментарий:  С 02:00 переезд бригады ГНКТ с скв. №1022 Четырманского на скв №11675г Арланского м-я (100км)- 6 единиц спец. техники (полное звено). )</t>
  </si>
  <si>
    <t>Флот №1 ООО "Ойл-Сервис" ГНКТ</t>
  </si>
  <si>
    <t>ООО "Ойл-Сервис" ГНКТ</t>
  </si>
  <si>
    <t>Переезд(Переезд бригады ГНКТ с скв. №1022 Четырманского на скв №11675г Арланского м-я (100км)- 6 единиц спец. техники (полное звено).)</t>
  </si>
  <si>
    <t>Переезд(Комментарий: Переезд бригады ГНКТ с скв. №1022 Четырманского на скв №11675г Арланского м-я (100км)- 6 единиц спец. техники (полное звено). )</t>
  </si>
  <si>
    <t>Простой(Причина: 04.2 Не готовность территории (скв., куст.площадки), Виновник простоя: Заказчик, Пояснение: Ожиданию освобождения территории скважины от оборудования АЦДНГ-1(нет возможности расстановиться) , Виновное предприятие: 2); Прочие работы(Подгонка МК30-Т к устью скв. Расстановка жил городка (подключение к ТП, установка заземления).)</t>
  </si>
  <si>
    <t>Разгрузка и расстановка оборудования ГНКТ(2ч).  М/ж ОРТК 75%.</t>
  </si>
  <si>
    <t>ГУС. М/ж ОРТК 100%. М/ж линии дросселирования 1категория. Завоз т.ж в об 15м3 уд.в. 1,02г/см3.</t>
  </si>
  <si>
    <t>Опрессовка нагнетательных линий при Р=140,4атм(+). Опрессовка ПВО и линии дросселирования при Р=103атм(+). Работа пусковой комиссии. Спуск КНК-1 для предление головы пропанта</t>
  </si>
  <si>
    <t>ГУС. Промывка скважины до чистой воды при Р=100атм. Циркуляция(+). Подъем КНК до Н=1050м Тех. отстой 2ч.</t>
  </si>
  <si>
    <t>Спуск КНК-1 до Н=1386м. Определение приемистости при Р=40атм-240м3/сут. При ООО "ТаграсРемСервис" (Ханипов Л.Р.)  По согласовнию с Кузьмин А.М. съезд со скважины. Подъем КНК 1 до Н=0м.</t>
  </si>
  <si>
    <t xml:space="preserve">Продвку БДТ азотом. Д/ж ОРТК 25%. </t>
  </si>
  <si>
    <t xml:space="preserve">ГУС. Д/ж ОРТК 100%. Д/ж линий дросселирования. </t>
  </si>
  <si>
    <t>Окончание ремонта(Скважина №11675Г - АР) Сборка оборудования ГНКТ. Погрузочные работы пр помощи автокрана(№У234КТ). Уборка территории после ремонта. ЗР после ГНКТ. Сдача скв 03:00ч.</t>
  </si>
  <si>
    <r>
      <rPr>
        <b/>
        <sz val="8"/>
        <rFont val="MS Sans Serif"/>
        <family val="2"/>
        <charset val="204"/>
      </rPr>
      <t xml:space="preserve">Спуск КНК-1. Опредление головы пропанта на Н=1375м. </t>
    </r>
    <r>
      <rPr>
        <sz val="8"/>
        <rFont val="MS Sans Serif"/>
        <charset val="1"/>
      </rPr>
      <t>Запуск азотного комплекса и вывод на рабочий режим. Нормализация забоя азотированной жидкостью тех. в. 1,02г/см3 в инт 1375-1386м пр Р=100-110атм на выходе гель+тех вода + пропант 70л</t>
    </r>
  </si>
  <si>
    <t>11675г</t>
  </si>
  <si>
    <r>
      <t xml:space="preserve">Глубина </t>
    </r>
    <r>
      <rPr>
        <b/>
        <i/>
        <sz val="11"/>
        <color indexed="56"/>
        <rFont val="Arial"/>
        <family val="2"/>
        <charset val="204"/>
      </rPr>
      <t xml:space="preserve">пл.Скш1 </t>
    </r>
    <r>
      <rPr>
        <b/>
        <sz val="11"/>
        <color indexed="56"/>
        <rFont val="Arial"/>
        <family val="2"/>
        <charset val="204"/>
      </rPr>
      <t>по вертикали</t>
    </r>
  </si>
  <si>
    <t xml:space="preserve">Давление опрессовки ЭК </t>
  </si>
  <si>
    <t>ОКО1-21-178 ОТТМ  ООО «УРАЛНЕФТЕМАШ» №96</t>
  </si>
  <si>
    <t>Устьевая крестовина АУЭЦН-50х14-168 ОТТМ К1 ЛЗ ХЛ №181</t>
  </si>
  <si>
    <t>ФА  ГРП ГУ 180х35-89 К1ХЛ №16</t>
  </si>
  <si>
    <t>ПНТЖ "Крезол" на расстоянии 18км от скважины. ООО "Ветеран" в случае необходимости (аварийного глушения) обязуется обеспечить завоз жидкости глушения на объект работ.</t>
  </si>
  <si>
    <t>стингер УГРХ 2.127/178-114</t>
  </si>
  <si>
    <t>114/45А</t>
  </si>
  <si>
    <t>114/47А</t>
  </si>
  <si>
    <t>114/49А</t>
  </si>
  <si>
    <t>114/52А</t>
  </si>
  <si>
    <t>114/55А</t>
  </si>
  <si>
    <t>114/58А</t>
  </si>
  <si>
    <t>114/61А</t>
  </si>
  <si>
    <t>114/64А</t>
  </si>
  <si>
    <t>114/67А</t>
  </si>
  <si>
    <t>114/70А</t>
  </si>
  <si>
    <t>Искусственный забой  (МГРП №1 с актив.шаром 30мм)</t>
  </si>
  <si>
    <t>1310</t>
  </si>
  <si>
    <t>Двухкратный запас жидкости глушения уд.веса 1,23г/см3 в объеме 57,8м3 находится на</t>
  </si>
  <si>
    <t>СПО промывочной КНК-1 с промывкой до МГРП №5. СПО фрезеровочной КНК-2: фрезерование МГРП №5-№2. Тех.отстой , замер Ризб. По доп.согласованию с Заказчиком, СПО промывочной КНК-1 до текущего забоя (МГРП №1).</t>
  </si>
  <si>
    <t>Скорость спуска по интервалам:
в устьевом оборудовании не более 0.5м/мин;
в интервале 2- 1081м не более 10-15м/мин - (первичный-последующий спуск);
в интервале 1081-1127м не более 2 м/мин;
в интервале 1127-1439м не более 5-10 м/мин (фрез.КНК / промыв.КНК);
в интервале установки МГРП (± 20м) не более 2 м/мин;
в интервале 1439-1459м не более 2 м/мин;</t>
  </si>
  <si>
    <t>Скорость подъёма по интервалам:
в интервале 1459-1127 не более 10 м/мин; 
в интервале установки МГРП (± 20м) не более 2 м/мин;
в интервале 1127-1081м не более 2 м/мин;
в  интервале 1081-2м не более 12-15м/мин (первичный-последующий подъем);
в устьевом оборудовании не более 0.5 м/мин.</t>
  </si>
  <si>
    <t>Собрать Компоновку Низа Колонны-1 далее КНК-1: коннектор + сдвоенный обратный клапан + насадка-промывочная Ø 38,1мм</t>
  </si>
  <si>
    <t>При закрытой центральной задвижке фонтанной арматуры опрессовать ГНКТ и все нагнетательные линии на 250атм. Опрессовать ПВО, обратные клапана и выкидную линию от устья скважины до желобной ёмкости (надёжно закрепить, оборудовать дроссельными задвижками) опрессовать на 105атм с выдержкой 30мин. Результат опрессовки ПВО зафиксировать в вахтовом журнале и составить акт опрессовки ПВО. Установить на малом и большом затрубе технологический манометр. Провести УТЗ и инструктаж. Опрессовку проводить в присутствии представителя ПФС, мастера, бурильщика, машиниста подъемника и представителя супервайзерской службы. 
Заявку на представителя ПФЧ подавать за 24 часа телефонограммой. По окончании опрессовоки ПВО, получить разрешения от представителя ПФС.</t>
  </si>
  <si>
    <t>Открыв скважину и записав число оборотов задвижки – зафиксировать дату и время. Спустить КНК-1 в скважину с периодическими прокачками рабочей жидкостью (тех.вода 1,02г/см3)  с проверкой веса на подъём через каждые 300м спуска до глубины 1081м.</t>
  </si>
  <si>
    <t>ВНИМАНИЕ: при получении посадки в НКТ в процессе спуска и наличии разгрузки на промывочный инструмент более 500кг (уведомить Заказчика – составить АКТ на посадку). Приподнять КНК-1 на 20м выше этой глубины.Произвести вывод НКА на рабочий режим, восстановить устойчивую циркуляцию промывочной жидкости (тех.вода 1,02г/см3) , продолжить спуск до гл.1081м с постоянным контролем промывочной жидкости в обратной ёмкости на наличие мех. примесей. Скорость спуска при промывке НКТ не более 5м/мин. Контрольная проверка веса через каждые 100м промывки.</t>
  </si>
  <si>
    <t>На гл.1081м  произвести вывод НКА на рабочий режим, восстановить устойчивую циркуляцию промывочной жидкости (тех.вода 1,02г/см3), при необходимости произвести запуск и вывод на режим МАК, получить стабильную круговую циркуляцию азотированной смеси. Промывка в течении 60мин с контролем на мех.примеси в обратной ёмкости.</t>
  </si>
  <si>
    <t>Произвести допуск КНК-1 с промывкой до "Муфты ГРП №5" на гл.1216,05-1216,95м.
Скорость спуска при промывке не более 5м/мин, проверка веса на подъём через каждые 30м.</t>
  </si>
  <si>
    <t>При промывке, в случае выноса большого объёма проппанта из пласта (или в случае поглощения промывочной жидкости) поинтервально через каждые 10м (или через каждые 2м) производить прокачку и  сопровождение гелевой пачки объёмом 0,5-3м3 со скоростью 10 м/мин до гл.1081м</t>
  </si>
  <si>
    <t>При слабой циркуляции или аномальном поглощении (более 5м3/ч) промывочной жидкости (тех.вода 1,02г/см3)  в процессе промывки, уведомить Заказчика, приподнять КНК-1 до гл.1081м восстановить стабильную круговой циркуляции жидкости (тех.вода 1,02г/см3). Допустить КНК-1 с циркуляцией (с контролем выхода на мех.примесей в смеси в обратной ёмкости) и продолжить промывку.</t>
  </si>
  <si>
    <t>При достижении гл.1216,05м произвести промывку в следующем порядке:
- прокачать гелевую пачку в объеме 2-3м3;
- промыть скважину в течении 120 минут до выхода чистой, без посторонних примесей, промывочной жидкости (тех.вода 1,02г/см3). Составить акт.</t>
  </si>
  <si>
    <t>Открыв скважину и записав число оборотов задвижки – зафиксировать дату и время. Спустить КНК-2 в скважину с периодическими прокачками рабочей жидкостью (тех.вода 1,02г/см3)  с проверкой веса на подъём через каждые 300м спуска до глубины 1107м. Убедиться в наличии свободного прохода по лифту НКТ.</t>
  </si>
  <si>
    <t>При получении посадки в НКТ и отсутствии прохода КНК-2 до гл.1107м, приподнять КНК-2 на 20м выше глубины посадки. Вывести НКА на рабочий режим в соответствии с рабочими параметрами ВЗД. Произвести проработку (проходного сечения НКТ) места посадки до получения свободного прохода в НКТ с составлением АКТа.</t>
  </si>
  <si>
    <t>При свободном и беспрепятственном прохождении КНК-2 на г/трубе в НКТ до гл.1107м, продолжить доспуск КНК-2 с минимальной подачей  ВЗД до "Муфты ГРП №5" до получения посадки на гл.1216,05м. Установить метку на г/трубе.</t>
  </si>
  <si>
    <t>После соприкосновения с "Муфтой ГРП №5" приподнять КНК-2 на 10м выше. Проверить вес ГНКТ и давление циркуляции - эти значения будут ориентиром во время работы в случае заклинивания ВЗД и закупорки насадки. Вывести НКА на рабочий режим в соответствии с рабочими параметрами ВЗД.</t>
  </si>
  <si>
    <t>Допустить КНК-2 с циркуляцией, и с гл.1216,05м произвести фрезерование посадочного седла "МГРП №5" до гл.1216,95м до снижения рабочего давления и получения провала. Следить за устьевым давлением и постоянно контролировать выходящую из скважины жидкость на наличие мех.примесей.</t>
  </si>
  <si>
    <t>ВНИМАНИЕ: при слабой циркуляции или аномальном поглощении (более 5м3/ч) промывочной жидкости (тех.вода 1,02г/см3)  в процессе фрезерования, уведомить Заказчика, приподнять КНК-2 до гл.1081м восстановить стабильную циркуляцию и допустить КНК-2 до МГРП продолжить работы по фрезерованию.</t>
  </si>
  <si>
    <t>После окончания фрезерования "МГРП №5" (1216,05-1216,95м) и получения прохода КНК-2 ниже глубины 1216,95м и возвращение веса к нормальным значениям (снижения рабочего давления и получения прохода ГНКТ), при необходимости прокачать на циркуляцию по г/трубе вязкую пачку в объеме 1м3. Проработать интервал "МГРП №5" три раза с выходом 5 метров ниже и выше. Минимизировать нахождение фрезы за интервалом разбуривания.</t>
  </si>
  <si>
    <t>После окончания проработки интервала "МГРП №5", произвести допуск КНК-2 на г/трубе с циркуляцией до следующей "Муфты ГРП №4" (на гл.1265,13м); уведомить Заказчика, составить АКТ на посадку. Произвести работы по фрезерованию "МГРП №4-№2" до согласно вышеописанной технологии (п.31-37).</t>
  </si>
  <si>
    <t>Внимание: при отсутствии свободного и беспрепятственного прохода КНК-2 до следующей "Муфты ГРП №4 (№3.....№2)" по согласованию с Заказчиком, произвести  промежутучную промывку на промывочной КНК-1 до "Муфты ГРП №4 (№3.....№2)", выполнить п.41-43</t>
  </si>
  <si>
    <t>По согласованию с Заказчиком, проведение процедуры промежуточной промывки:
 СПО промывочной КНК-1, промывка до МГРП - выполнение п.41-43</t>
  </si>
  <si>
    <t>Поднять КНК-2 на г/трубе из скважины. Закрыть коренную задвижку. Демонтировать инжектор, лубрикатор, КНК-2 (ВЗД с т/ф). Собрать КНК-1 (насадка промывочная Ø38.1мм + сдвоенный обратный клапан). Произвести монтаж лубрикатора и инжектора на устье скважины.Произвести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гл.1081м. Вывести НКА на рабочий режим промывки и получить стабильную круговую циркуляцию промывочной жидкости (тех.вода 1,02г/см3) произвести запуск азотного комплекса, вывести его на рабочий режим.Дождаться выхода пузыря азота. Получить стабильную круговуюциркуляцию азотированной смеси. Доспустить КНК-1 с циркуляцией на азотированной смеси до глубины непрохода КНК-2 и произвести промывку скважины до "Муфты ГРП №4 (№3.....№2)" до получения жесткой посадки.</t>
  </si>
  <si>
    <t>При достижении "Муфты ГРП №4 (№3.....№2)" произвести промывку:
- прокачать на циркуляцию по г/трубе вязкую пачку в V=2-3м3;
- произвести промывку в течении не менее 2 часов, до чистой, без посторонних мех. примесей промывочной жидкости (тех.вода 1,02г/см3).
Составить акт на нормализацию в присутствии представителя Заказчика.</t>
  </si>
  <si>
    <t>ВНИМАНИЕ БУРИЛЬЩИК! П О С Т О Я Н Н О !!! При подъеме ВЗД после фрезерования седел и шаров МГРП, во избежание заклинивания и получения прихвата ГНКТ (от возможного попадания остатков частиц шара или седла после разбуривания ) остановить г/трубу не доходя 50м до воронки и прокачать малый затруб тех.жидкостью (тех.вода 1,02г/см3) в объеме не менее 2х объемов НКТ (9,6м3).</t>
  </si>
  <si>
    <t>После окончания проработки "МГРП №2 от забоя" поднять КНК-2 до гл.1081м.
Произвести тех.отстой в течении 2ух часов для замера Ризб на тех.воде. Пересчитать забойное давление и необходимый удельный вес жидкости глушения. По доп.согласованию с Заказчиком, произвести СПО пром.КНК-1 с целью глушения скважины -  выполнение п.47-57.</t>
  </si>
  <si>
    <t>Выполнение п.47-57 по доп. согласованию с Заказчиком.</t>
  </si>
  <si>
    <t>Собрать промывочную КНК-1: коннектор + сдвоенный обратный клапан + насадка промывочная Ø 38,1мм. Произвести монтаж лубрикатора и инжектора на устье скважины. Произвести необходимые опрессовки.</t>
  </si>
  <si>
    <t>Открыв скважину и записав число оборотов задвижки – зафиксировать дату и время. Спустить КНК-1 в скважину до гл.1081м с ПЕРИОДИЧЕСКОЙ прокачкой рабочей жидкостью (тех.вода 1,02г/см3) и проверкой веса на подъём. Убедится в наличии свободного прохода КНК-1 по НКТ.</t>
  </si>
  <si>
    <t>Произвести допуск КНК-1 с промывкой на азотированной смеси до текущего забоя на гл.1459м (при отсутствии проходки согласовать достигнутый забой с Заказчиком)</t>
  </si>
  <si>
    <t>При необходимости, при промывке производить сопровождение вымытой пачки со скоростью 2-3м/мин до глубины 1081м. Промывку производить до выхода чистой тех. жидкости (тех.вода 1,02г/см3) и только после этого продолжать промывку.</t>
  </si>
  <si>
    <t>При достижении глубины 1459м (или согласованного забоя) произвести промывку в следующем порядке:
- прокачать гелевую пачку в объеме 2-3м3;
- промыть скважину в течении 2 часов до выхода чистой, без посторонних примесей, промывочной жидкости (тех.вода 1,02г/см3).Составить Акт на промывку в присутствии представителя Заказчика.</t>
  </si>
  <si>
    <t>Приподнять КНК-1 на ГНКТ не прекращая циркуляции до гл.1081м. Убедиться в отсутствии мех. примесей в промывочной жидкости (тех.вода 1,02г/см3) , остановить подачу жидкости НКА и ПАУ.</t>
  </si>
  <si>
    <t>После технологического отстоя допустить КНК-1 на г/трубе в скважину «без циркуляции» до гл.1459м, забой должен соответствовать ранее нормализованному. Составить АКТ с представителем Заказчика. При отсутствии ранее нормализованного забоя по согл. с Заказчиком, провести работы по нормализации забоя.</t>
  </si>
  <si>
    <t>Произвести подъем с замещением скважинной жидкости на раствор глушения, удельного веса по согласованию с Заказчиком, рассчитанного по замеру Ризб после 2-х часов отстоя и удел.веса рабочей жидкости в скважин, но не менее удельного веса расчитанного для пластового давления указанного в настоящем плане работ 1,23г/см3 (при Рпл=95атм).  До завоза раствора, скважину разряжать. Перед замещением КНК установить в интервале нижнего фрак-порта.
Прокачать на циркуляцию жидкость глушения в объеме не менее 7,4м3 (трубного пространства)  с одновременным подъемом ГНКТ (с протяжкой ГНКТ перевести хвостовик). В процессе перевода соблюдать равенство объемов закаченной и отобранной из скважины жидкости, т.е. не допускать режима фонтанирования (поглощения).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</si>
</sst>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&quot;0 - &quot;General"/>
    <numFmt numFmtId="171" formatCode="General&quot; º/10м&quot;"/>
    <numFmt numFmtId="172" formatCode="General&quot; º&quot;"/>
    <numFmt numFmtId="173" formatCode="General&quot; Атм&quot;"/>
    <numFmt numFmtId="174" formatCode="0&quot;м&quot;"/>
    <numFmt numFmtId="175" formatCode="0.000"/>
    <numFmt numFmtId="176" formatCode="&quot;МГРП №&quot;0"/>
    <numFmt numFmtId="177" formatCode="&quot;- &quot;General&quot; м&quot;"/>
    <numFmt numFmtId="178" formatCode="0.00&quot;мм&quot;"/>
    <numFmt numFmtId="179" formatCode="0&quot;мм&quot;"/>
    <numFmt numFmtId="180" formatCode="0&quot;м-&quot;"/>
    <numFmt numFmtId="181" formatCode="0.0&quot;мм&quot;"/>
    <numFmt numFmtId="182" formatCode="0.00&quot;м&quot;"/>
    <numFmt numFmtId="183" formatCode="0&quot;-я категория&quot;"/>
    <numFmt numFmtId="184" formatCode="General&quot; атм&quot;"/>
    <numFmt numFmtId="185" formatCode="General&quot; м3/т&quot;"/>
    <numFmt numFmtId="186" formatCode="0.0&quot; м&quot;"/>
    <numFmt numFmtId="187" formatCode="&quot;- &quot;General"/>
    <numFmt numFmtId="188" formatCode="General&quot;м от устья&quot;"/>
    <numFmt numFmtId="189" formatCode="General&quot; г/см3&quot;"/>
    <numFmt numFmtId="190" formatCode="General&quot; м3&quot;"/>
    <numFmt numFmtId="191" formatCode="0&quot; м&quot;"/>
    <numFmt numFmtId="192" formatCode="0.0&quot; м3&quot;"/>
    <numFmt numFmtId="193" formatCode="0.0&quot; м3/сут&quot;"/>
    <numFmt numFmtId="194" formatCode="0&quot; мг/л&quot;"/>
    <numFmt numFmtId="195" formatCode="@&quot;м&quot;"/>
    <numFmt numFmtId="196" formatCode="0.00&quot; мг/л&quot;"/>
    <numFmt numFmtId="197" formatCode="&quot;- &quot;0.00&quot; м&quot;"/>
    <numFmt numFmtId="198" formatCode="0.0&quot; мг/л&quot;"/>
  </numFmts>
  <fonts count="73" x14ac:knownFonts="1">
    <font>
      <sz val="10"/>
      <name val="Arial"/>
    </font>
    <font>
      <sz val="10"/>
      <name val="Arial"/>
      <family val="2"/>
      <charset val="204"/>
    </font>
    <font>
      <sz val="11"/>
      <name val="Arial"/>
      <family val="2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8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1"/>
      <name val="Arial"/>
      <family val="2"/>
      <charset val="204"/>
    </font>
    <font>
      <b/>
      <i/>
      <u/>
      <sz val="14"/>
      <name val="Arial"/>
      <family val="2"/>
      <charset val="204"/>
    </font>
    <font>
      <b/>
      <sz val="13"/>
      <name val="Arial"/>
      <family val="2"/>
      <charset val="204"/>
    </font>
    <font>
      <sz val="10"/>
      <color indexed="8"/>
      <name val="Calibri"/>
      <family val="2"/>
    </font>
    <font>
      <b/>
      <sz val="10"/>
      <name val="Arial"/>
      <family val="2"/>
    </font>
    <font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Arial"/>
      <family val="2"/>
    </font>
    <font>
      <i/>
      <sz val="11"/>
      <name val="Arial"/>
      <family val="2"/>
      <charset val="204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sz val="11"/>
      <color indexed="56"/>
      <name val="Arial"/>
      <family val="2"/>
      <charset val="204"/>
    </font>
    <font>
      <b/>
      <i/>
      <sz val="11"/>
      <color indexed="56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  <family val="2"/>
    </font>
    <font>
      <sz val="6"/>
      <color indexed="8"/>
      <name val="Calibri"/>
      <family val="2"/>
    </font>
    <font>
      <sz val="6"/>
      <name val="Arial"/>
      <family val="2"/>
    </font>
    <font>
      <sz val="6"/>
      <name val="Arial"/>
      <family val="2"/>
      <charset val="204"/>
    </font>
    <font>
      <sz val="6"/>
      <color indexed="8"/>
      <name val="Arial"/>
      <family val="2"/>
    </font>
    <font>
      <sz val="8"/>
      <name val="MS Sans Serif"/>
      <family val="2"/>
      <charset val="204"/>
    </font>
    <font>
      <sz val="8"/>
      <name val="MS Sans Serif"/>
      <charset val="1"/>
    </font>
    <font>
      <sz val="8"/>
      <name val="Tahoma"/>
    </font>
    <font>
      <b/>
      <sz val="8"/>
      <name val="MS Sans Serif"/>
      <family val="2"/>
      <charset val="204"/>
    </font>
    <font>
      <b/>
      <sz val="10"/>
      <color rgb="FF00B050"/>
      <name val="Arial"/>
      <family val="2"/>
      <charset val="204"/>
    </font>
    <font>
      <b/>
      <sz val="16"/>
      <color rgb="FF002060"/>
      <name val="Arial"/>
      <family val="2"/>
      <charset val="204"/>
    </font>
    <font>
      <b/>
      <u/>
      <sz val="10"/>
      <color rgb="FF002060"/>
      <name val="Arial"/>
      <family val="2"/>
      <charset val="204"/>
    </font>
    <font>
      <b/>
      <u/>
      <sz val="11"/>
      <color rgb="FF339966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color rgb="FF00206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 Cyr"/>
      <charset val="204"/>
    </font>
    <font>
      <b/>
      <sz val="11"/>
      <color theme="1"/>
      <name val="Arial"/>
      <family val="2"/>
      <charset val="204"/>
    </font>
    <font>
      <b/>
      <sz val="11"/>
      <color rgb="FF339966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u/>
      <sz val="12"/>
      <color rgb="FF002060"/>
      <name val="Arial"/>
      <family val="2"/>
      <charset val="204"/>
    </font>
    <font>
      <b/>
      <u/>
      <sz val="12"/>
      <color rgb="FF339966"/>
      <name val="Arial"/>
      <family val="2"/>
      <charset val="204"/>
    </font>
    <font>
      <b/>
      <sz val="16"/>
      <color rgb="FF339966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39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protection locked="0"/>
    </xf>
    <xf numFmtId="167" fontId="12" fillId="0" borderId="0" applyFont="0" applyFill="0" applyBorder="0" applyAlignment="0" applyProtection="0"/>
    <xf numFmtId="0" fontId="18" fillId="0" borderId="0">
      <protection locked="0"/>
    </xf>
    <xf numFmtId="165" fontId="1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8" fillId="0" borderId="0">
      <protection locked="0"/>
    </xf>
    <xf numFmtId="0" fontId="3" fillId="0" borderId="0"/>
    <xf numFmtId="0" fontId="1" fillId="0" borderId="0"/>
    <xf numFmtId="0" fontId="5" fillId="0" borderId="0"/>
    <xf numFmtId="166" fontId="4" fillId="0" borderId="0" applyFont="0" applyFill="0" applyBorder="0" applyAlignment="0" applyProtection="0"/>
  </cellStyleXfs>
  <cellXfs count="507">
    <xf numFmtId="0" fontId="0" fillId="0" borderId="0" xfId="0"/>
    <xf numFmtId="174" fontId="8" fillId="0" borderId="0" xfId="0" applyNumberFormat="1" applyFont="1" applyFill="1" applyBorder="1" applyAlignment="1">
      <alignment horizontal="center" vertical="center" textRotation="90" wrapText="1"/>
    </xf>
    <xf numFmtId="177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1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29" fillId="3" borderId="0" xfId="0" applyFont="1" applyFill="1" applyBorder="1" applyAlignment="1"/>
    <xf numFmtId="0" fontId="6" fillId="3" borderId="2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0" borderId="0" xfId="0" applyFont="1" applyBorder="1" applyAlignment="1"/>
    <xf numFmtId="0" fontId="50" fillId="3" borderId="0" xfId="0" applyFont="1" applyFill="1" applyBorder="1" applyAlignment="1">
      <alignment wrapText="1"/>
    </xf>
    <xf numFmtId="20" fontId="6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6" fillId="3" borderId="5" xfId="0" applyFont="1" applyFill="1" applyBorder="1" applyAlignment="1"/>
    <xf numFmtId="0" fontId="35" fillId="3" borderId="2" xfId="0" applyFont="1" applyFill="1" applyBorder="1" applyAlignment="1"/>
    <xf numFmtId="0" fontId="6" fillId="3" borderId="6" xfId="0" applyFont="1" applyFill="1" applyBorder="1" applyAlignment="1"/>
    <xf numFmtId="11" fontId="6" fillId="0" borderId="0" xfId="0" applyNumberFormat="1" applyFont="1" applyBorder="1" applyAlignment="1"/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/>
    <xf numFmtId="0" fontId="29" fillId="4" borderId="0" xfId="0" applyFont="1" applyFill="1" applyBorder="1" applyAlignment="1">
      <alignment horizontal="left" vertical="top" wrapText="1"/>
    </xf>
    <xf numFmtId="182" fontId="0" fillId="0" borderId="0" xfId="0" applyNumberFormat="1" applyAlignment="1">
      <alignment textRotation="90"/>
    </xf>
    <xf numFmtId="2" fontId="0" fillId="0" borderId="0" xfId="0" applyNumberFormat="1" applyBorder="1"/>
    <xf numFmtId="0" fontId="10" fillId="5" borderId="7" xfId="0" applyFont="1" applyFill="1" applyBorder="1" applyAlignment="1">
      <alignment vertical="center"/>
    </xf>
    <xf numFmtId="0" fontId="33" fillId="5" borderId="8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4" fontId="29" fillId="3" borderId="0" xfId="0" applyNumberFormat="1" applyFont="1" applyFill="1" applyBorder="1" applyAlignment="1">
      <alignment horizontal="center"/>
    </xf>
    <xf numFmtId="0" fontId="6" fillId="4" borderId="3" xfId="0" applyFont="1" applyFill="1" applyBorder="1" applyAlignment="1"/>
    <xf numFmtId="0" fontId="8" fillId="4" borderId="0" xfId="0" applyFont="1" applyFill="1" applyBorder="1" applyAlignment="1"/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left"/>
    </xf>
    <xf numFmtId="0" fontId="1" fillId="0" borderId="2" xfId="0" applyFont="1" applyFill="1" applyBorder="1" applyAlignme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2" fontId="7" fillId="0" borderId="11" xfId="0" applyNumberFormat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5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0" fillId="0" borderId="0" xfId="0" applyFill="1" applyAlignment="1"/>
    <xf numFmtId="14" fontId="22" fillId="0" borderId="0" xfId="0" applyNumberFormat="1" applyFont="1" applyFill="1" applyBorder="1" applyAlignment="1">
      <alignment horizontal="left" wrapText="1"/>
    </xf>
    <xf numFmtId="0" fontId="52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0" xfId="0" applyFont="1" applyFill="1"/>
    <xf numFmtId="0" fontId="53" fillId="0" borderId="0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 textRotation="90" wrapText="1"/>
    </xf>
    <xf numFmtId="0" fontId="25" fillId="0" borderId="13" xfId="0" applyFont="1" applyFill="1" applyBorder="1" applyAlignment="1">
      <alignment horizontal="center" vertical="center" textRotation="90" wrapText="1"/>
    </xf>
    <xf numFmtId="2" fontId="7" fillId="0" borderId="0" xfId="0" applyNumberFormat="1" applyFont="1" applyFill="1" applyBorder="1" applyAlignment="1">
      <alignment horizontal="center" vertical="top" textRotation="90" wrapText="1"/>
    </xf>
    <xf numFmtId="178" fontId="14" fillId="0" borderId="0" xfId="0" applyNumberFormat="1" applyFont="1" applyFill="1" applyBorder="1" applyAlignment="1">
      <alignment horizontal="center" vertical="center" textRotation="90" wrapText="1"/>
    </xf>
    <xf numFmtId="179" fontId="14" fillId="0" borderId="0" xfId="0" applyNumberFormat="1" applyFont="1" applyFill="1" applyBorder="1" applyAlignment="1">
      <alignment horizontal="center" vertical="center" textRotation="90" wrapText="1"/>
    </xf>
    <xf numFmtId="174" fontId="14" fillId="0" borderId="0" xfId="0" applyNumberFormat="1" applyFont="1" applyFill="1" applyBorder="1" applyAlignment="1">
      <alignment horizontal="center" vertical="center" textRotation="90" wrapText="1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9" fillId="5" borderId="8" xfId="0" applyFont="1" applyFill="1" applyBorder="1" applyAlignment="1">
      <alignment horizontal="right" vertical="center"/>
    </xf>
    <xf numFmtId="0" fontId="0" fillId="0" borderId="0" xfId="0" applyFill="1" applyBorder="1"/>
    <xf numFmtId="0" fontId="54" fillId="0" borderId="0" xfId="0" applyFont="1" applyFill="1" applyBorder="1" applyAlignment="1">
      <alignment horizontal="center" vertical="center"/>
    </xf>
    <xf numFmtId="164" fontId="54" fillId="0" borderId="0" xfId="0" applyNumberFormat="1" applyFont="1" applyFill="1" applyBorder="1" applyAlignment="1">
      <alignment horizontal="center" vertical="center"/>
    </xf>
    <xf numFmtId="0" fontId="54" fillId="0" borderId="0" xfId="0" applyFont="1" applyFill="1" applyBorder="1"/>
    <xf numFmtId="2" fontId="0" fillId="0" borderId="0" xfId="0" applyNumberFormat="1" applyFill="1" applyBorder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top" wrapText="1"/>
    </xf>
    <xf numFmtId="0" fontId="0" fillId="0" borderId="14" xfId="0" applyBorder="1"/>
    <xf numFmtId="192" fontId="0" fillId="0" borderId="0" xfId="0" applyNumberFormat="1"/>
    <xf numFmtId="192" fontId="30" fillId="0" borderId="0" xfId="0" applyNumberFormat="1" applyFont="1"/>
    <xf numFmtId="173" fontId="1" fillId="0" borderId="0" xfId="0" applyNumberFormat="1" applyFont="1"/>
    <xf numFmtId="0" fontId="8" fillId="0" borderId="0" xfId="0" applyFont="1"/>
    <xf numFmtId="190" fontId="0" fillId="0" borderId="0" xfId="0" applyNumberFormat="1"/>
    <xf numFmtId="187" fontId="0" fillId="0" borderId="0" xfId="0" applyNumberFormat="1"/>
    <xf numFmtId="192" fontId="8" fillId="0" borderId="0" xfId="0" applyNumberFormat="1" applyFont="1"/>
    <xf numFmtId="192" fontId="1" fillId="0" borderId="0" xfId="0" applyNumberFormat="1" applyFont="1"/>
    <xf numFmtId="164" fontId="8" fillId="0" borderId="0" xfId="0" applyNumberFormat="1" applyFont="1" applyAlignment="1">
      <alignment horizontal="center"/>
    </xf>
    <xf numFmtId="0" fontId="30" fillId="0" borderId="0" xfId="0" applyFont="1"/>
    <xf numFmtId="0" fontId="0" fillId="0" borderId="0" xfId="0" applyNumberFormat="1" applyFill="1" applyBorder="1"/>
    <xf numFmtId="0" fontId="0" fillId="0" borderId="15" xfId="0" applyNumberFormat="1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NumberFormat="1" applyFill="1" applyBorder="1"/>
    <xf numFmtId="0" fontId="54" fillId="0" borderId="18" xfId="0" applyFont="1" applyFill="1" applyBorder="1" applyAlignment="1">
      <alignment horizontal="center"/>
    </xf>
    <xf numFmtId="0" fontId="54" fillId="0" borderId="18" xfId="0" applyFont="1" applyFill="1" applyBorder="1" applyAlignment="1">
      <alignment horizontal="center" wrapText="1"/>
    </xf>
    <xf numFmtId="0" fontId="0" fillId="0" borderId="19" xfId="0" applyBorder="1" applyAlignment="1">
      <alignment textRotation="90"/>
    </xf>
    <xf numFmtId="0" fontId="0" fillId="0" borderId="20" xfId="0" applyBorder="1" applyAlignment="1">
      <alignment textRotation="90"/>
    </xf>
    <xf numFmtId="0" fontId="1" fillId="0" borderId="21" xfId="0" applyFont="1" applyBorder="1" applyAlignment="1">
      <alignment horizontal="center"/>
    </xf>
    <xf numFmtId="2" fontId="0" fillId="0" borderId="22" xfId="0" applyNumberFormat="1" applyFill="1" applyBorder="1"/>
    <xf numFmtId="0" fontId="0" fillId="0" borderId="23" xfId="0" applyNumberFormat="1" applyFill="1" applyBorder="1"/>
    <xf numFmtId="49" fontId="1" fillId="0" borderId="24" xfId="0" quotePrefix="1" applyNumberFormat="1" applyFont="1" applyBorder="1" applyAlignment="1">
      <alignment horizontal="right"/>
    </xf>
    <xf numFmtId="49" fontId="1" fillId="0" borderId="25" xfId="0" quotePrefix="1" applyNumberFormat="1" applyFont="1" applyBorder="1" applyAlignment="1">
      <alignment horizontal="right"/>
    </xf>
    <xf numFmtId="49" fontId="1" fillId="0" borderId="26" xfId="0" quotePrefix="1" applyNumberFormat="1" applyFont="1" applyBorder="1" applyAlignment="1">
      <alignment horizontal="right"/>
    </xf>
    <xf numFmtId="0" fontId="8" fillId="4" borderId="0" xfId="0" applyFont="1" applyFill="1" applyBorder="1" applyAlignment="1">
      <alignment horizontal="left" vertical="top" wrapText="1"/>
    </xf>
    <xf numFmtId="177" fontId="7" fillId="0" borderId="0" xfId="0" applyNumberFormat="1" applyFont="1" applyFill="1" applyBorder="1" applyAlignment="1">
      <alignment horizontal="center" textRotation="90" wrapText="1"/>
    </xf>
    <xf numFmtId="0" fontId="55" fillId="0" borderId="0" xfId="0" applyFont="1" applyFill="1" applyBorder="1" applyAlignment="1">
      <alignment horizontal="left" vertical="center"/>
    </xf>
    <xf numFmtId="0" fontId="56" fillId="0" borderId="27" xfId="0" applyFont="1" applyFill="1" applyBorder="1" applyAlignment="1">
      <alignment horizontal="left" vertical="center"/>
    </xf>
    <xf numFmtId="178" fontId="14" fillId="0" borderId="28" xfId="0" applyNumberFormat="1" applyFont="1" applyFill="1" applyBorder="1" applyAlignment="1">
      <alignment horizontal="center" vertical="center" textRotation="90" wrapText="1"/>
    </xf>
    <xf numFmtId="178" fontId="14" fillId="0" borderId="29" xfId="0" applyNumberFormat="1" applyFont="1" applyFill="1" applyBorder="1" applyAlignment="1">
      <alignment horizontal="center" vertical="center" textRotation="90" wrapText="1"/>
    </xf>
    <xf numFmtId="184" fontId="32" fillId="4" borderId="0" xfId="0" applyNumberFormat="1" applyFont="1" applyFill="1" applyBorder="1" applyAlignment="1">
      <alignment horizontal="left"/>
    </xf>
    <xf numFmtId="0" fontId="32" fillId="4" borderId="0" xfId="0" applyFont="1" applyFill="1" applyBorder="1" applyAlignment="1">
      <alignment horizontal="left"/>
    </xf>
    <xf numFmtId="185" fontId="32" fillId="4" borderId="0" xfId="0" applyNumberFormat="1" applyFont="1" applyFill="1" applyBorder="1" applyAlignment="1">
      <alignment horizontal="left"/>
    </xf>
    <xf numFmtId="0" fontId="31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4" borderId="2" xfId="0" applyFont="1" applyFill="1" applyBorder="1" applyAlignment="1"/>
    <xf numFmtId="0" fontId="0" fillId="0" borderId="24" xfId="0" applyBorder="1"/>
    <xf numFmtId="0" fontId="0" fillId="0" borderId="25" xfId="0" applyBorder="1"/>
    <xf numFmtId="0" fontId="0" fillId="0" borderId="25" xfId="0" applyFill="1" applyBorder="1" applyAlignment="1">
      <alignment horizontal="center" textRotation="90"/>
    </xf>
    <xf numFmtId="0" fontId="1" fillId="0" borderId="25" xfId="0" applyFont="1" applyFill="1" applyBorder="1" applyAlignment="1">
      <alignment horizontal="center"/>
    </xf>
    <xf numFmtId="0" fontId="1" fillId="0" borderId="0" xfId="391"/>
    <xf numFmtId="0" fontId="28" fillId="0" borderId="0" xfId="391" applyFont="1"/>
    <xf numFmtId="0" fontId="6" fillId="0" borderId="0" xfId="391" applyFont="1" applyBorder="1" applyAlignment="1">
      <alignment vertical="center"/>
    </xf>
    <xf numFmtId="0" fontId="6" fillId="0" borderId="0" xfId="391" applyFont="1" applyBorder="1" applyAlignment="1">
      <alignment vertical="center" wrapText="1"/>
    </xf>
    <xf numFmtId="0" fontId="40" fillId="0" borderId="0" xfId="391" applyFont="1" applyFill="1" applyBorder="1"/>
    <xf numFmtId="1" fontId="29" fillId="0" borderId="27" xfId="391" applyNumberFormat="1" applyFont="1" applyBorder="1" applyAlignment="1">
      <alignment horizontal="center" vertical="center" wrapText="1"/>
    </xf>
    <xf numFmtId="0" fontId="29" fillId="0" borderId="9" xfId="391" applyFont="1" applyFill="1" applyBorder="1" applyAlignment="1">
      <alignment horizontal="center" vertical="center"/>
    </xf>
    <xf numFmtId="0" fontId="29" fillId="0" borderId="27" xfId="391" applyFont="1" applyBorder="1" applyAlignment="1">
      <alignment horizontal="center" vertical="center"/>
    </xf>
    <xf numFmtId="0" fontId="28" fillId="0" borderId="0" xfId="391" applyFont="1" applyFill="1"/>
    <xf numFmtId="1" fontId="6" fillId="0" borderId="3" xfId="391" applyNumberFormat="1" applyFont="1" applyBorder="1" applyAlignment="1">
      <alignment horizontal="center" vertical="center" wrapText="1"/>
    </xf>
    <xf numFmtId="0" fontId="6" fillId="0" borderId="8" xfId="391" applyFont="1" applyFill="1" applyBorder="1" applyAlignment="1">
      <alignment horizontal="left" vertical="center" wrapText="1"/>
    </xf>
    <xf numFmtId="0" fontId="6" fillId="0" borderId="4" xfId="391" applyFont="1" applyBorder="1" applyAlignment="1">
      <alignment horizontal="center" vertical="center"/>
    </xf>
    <xf numFmtId="0" fontId="6" fillId="0" borderId="0" xfId="391" applyFont="1" applyFill="1" applyBorder="1" applyAlignment="1">
      <alignment horizontal="left" vertical="center" wrapText="1"/>
    </xf>
    <xf numFmtId="1" fontId="6" fillId="0" borderId="3" xfId="391" applyNumberFormat="1" applyFont="1" applyFill="1" applyBorder="1" applyAlignment="1">
      <alignment horizontal="center" vertical="center" wrapText="1"/>
    </xf>
    <xf numFmtId="0" fontId="57" fillId="0" borderId="0" xfId="391" applyFont="1" applyFill="1" applyBorder="1" applyAlignment="1">
      <alignment horizontal="left" vertical="center" wrapText="1"/>
    </xf>
    <xf numFmtId="0" fontId="6" fillId="0" borderId="4" xfId="391" applyFont="1" applyFill="1" applyBorder="1" applyAlignment="1">
      <alignment horizontal="center" vertical="center" wrapText="1"/>
    </xf>
    <xf numFmtId="0" fontId="6" fillId="6" borderId="0" xfId="391" applyFont="1" applyFill="1" applyBorder="1" applyAlignment="1">
      <alignment vertical="center"/>
    </xf>
    <xf numFmtId="0" fontId="6" fillId="0" borderId="4" xfId="391" applyFont="1" applyBorder="1" applyAlignment="1">
      <alignment horizontal="center" vertical="center" wrapText="1"/>
    </xf>
    <xf numFmtId="0" fontId="58" fillId="0" borderId="0" xfId="391" applyFont="1" applyFill="1" applyBorder="1" applyAlignment="1">
      <alignment horizontal="left" vertical="center" wrapText="1"/>
    </xf>
    <xf numFmtId="0" fontId="29" fillId="0" borderId="27" xfId="391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left" wrapText="1"/>
    </xf>
    <xf numFmtId="0" fontId="1" fillId="0" borderId="0" xfId="391" applyFont="1" applyFill="1" applyBorder="1" applyAlignment="1">
      <alignment horizontal="left" vertical="center" wrapText="1"/>
    </xf>
    <xf numFmtId="0" fontId="1" fillId="0" borderId="0" xfId="391" quotePrefix="1" applyFont="1" applyFill="1" applyBorder="1" applyAlignment="1">
      <alignment horizontal="left" vertical="center" wrapText="1"/>
    </xf>
    <xf numFmtId="1" fontId="6" fillId="0" borderId="7" xfId="391" applyNumberFormat="1" applyFont="1" applyBorder="1" applyAlignment="1">
      <alignment horizontal="center" vertical="center"/>
    </xf>
    <xf numFmtId="0" fontId="58" fillId="0" borderId="8" xfId="391" applyFont="1" applyFill="1" applyBorder="1" applyAlignment="1">
      <alignment horizontal="left" vertical="center" wrapText="1"/>
    </xf>
    <xf numFmtId="0" fontId="6" fillId="0" borderId="30" xfId="391" applyFont="1" applyFill="1" applyBorder="1" applyAlignment="1">
      <alignment horizontal="center" vertical="center"/>
    </xf>
    <xf numFmtId="1" fontId="1" fillId="0" borderId="3" xfId="391" applyNumberFormat="1" applyFont="1" applyBorder="1" applyAlignment="1">
      <alignment horizontal="center" vertical="center"/>
    </xf>
    <xf numFmtId="0" fontId="1" fillId="4" borderId="0" xfId="391" applyFont="1" applyFill="1" applyBorder="1" applyAlignment="1">
      <alignment horizontal="left" vertical="center" wrapText="1"/>
    </xf>
    <xf numFmtId="0" fontId="1" fillId="0" borderId="0" xfId="391" applyFont="1" applyFill="1" applyBorder="1" applyAlignment="1">
      <alignment vertical="center" wrapText="1"/>
    </xf>
    <xf numFmtId="0" fontId="6" fillId="0" borderId="0" xfId="391" applyFont="1" applyFill="1" applyBorder="1" applyAlignment="1">
      <alignment vertical="center" wrapText="1"/>
    </xf>
    <xf numFmtId="1" fontId="1" fillId="0" borderId="3" xfId="391" applyNumberFormat="1" applyFont="1" applyFill="1" applyBorder="1" applyAlignment="1">
      <alignment horizontal="center" vertical="center" wrapText="1"/>
    </xf>
    <xf numFmtId="0" fontId="6" fillId="0" borderId="4" xfId="391" applyFont="1" applyFill="1" applyBorder="1" applyAlignment="1">
      <alignment horizontal="center" vertical="center"/>
    </xf>
    <xf numFmtId="0" fontId="41" fillId="0" borderId="0" xfId="391" applyFont="1" applyFill="1" applyBorder="1" applyAlignment="1">
      <alignment vertical="center"/>
    </xf>
    <xf numFmtId="0" fontId="6" fillId="4" borderId="0" xfId="391" applyFont="1" applyFill="1" applyBorder="1" applyAlignment="1">
      <alignment vertical="center"/>
    </xf>
    <xf numFmtId="1" fontId="1" fillId="0" borderId="3" xfId="391" applyNumberFormat="1" applyFont="1" applyBorder="1" applyAlignment="1">
      <alignment horizontal="center" vertical="center" wrapText="1"/>
    </xf>
    <xf numFmtId="0" fontId="39" fillId="0" borderId="0" xfId="391" applyFont="1" applyFill="1" applyBorder="1" applyAlignment="1">
      <alignment horizontal="left" vertical="center" wrapText="1"/>
    </xf>
    <xf numFmtId="0" fontId="59" fillId="0" borderId="0" xfId="391" applyFont="1" applyFill="1" applyBorder="1" applyAlignment="1">
      <alignment horizontal="left" vertical="center" wrapText="1"/>
    </xf>
    <xf numFmtId="0" fontId="1" fillId="0" borderId="3" xfId="391" applyNumberFormat="1" applyFont="1" applyBorder="1" applyAlignment="1">
      <alignment horizontal="center" vertical="center" wrapText="1"/>
    </xf>
    <xf numFmtId="0" fontId="39" fillId="0" borderId="0" xfId="391" applyFont="1" applyFill="1" applyBorder="1" applyAlignment="1">
      <alignment vertical="center"/>
    </xf>
    <xf numFmtId="0" fontId="30" fillId="0" borderId="0" xfId="391" applyFont="1" applyFill="1" applyBorder="1" applyAlignment="1">
      <alignment horizontal="left" vertical="center" wrapText="1"/>
    </xf>
    <xf numFmtId="0" fontId="30" fillId="0" borderId="27" xfId="391" applyNumberFormat="1" applyFont="1" applyFill="1" applyBorder="1" applyAlignment="1">
      <alignment horizontal="left" vertical="center" wrapText="1"/>
    </xf>
    <xf numFmtId="0" fontId="10" fillId="0" borderId="0" xfId="391" applyFont="1" applyAlignment="1">
      <alignment vertical="center"/>
    </xf>
    <xf numFmtId="0" fontId="1" fillId="0" borderId="3" xfId="391" applyFont="1" applyFill="1" applyBorder="1" applyAlignment="1">
      <alignment horizontal="center" vertical="center" wrapText="1"/>
    </xf>
    <xf numFmtId="0" fontId="58" fillId="0" borderId="0" xfId="391" applyFont="1" applyFill="1" applyBorder="1" applyAlignment="1">
      <alignment vertical="center" wrapText="1"/>
    </xf>
    <xf numFmtId="0" fontId="39" fillId="0" borderId="0" xfId="391" applyFont="1" applyFill="1" applyBorder="1"/>
    <xf numFmtId="0" fontId="10" fillId="0" borderId="0" xfId="391" applyFont="1" applyAlignment="1"/>
    <xf numFmtId="0" fontId="1" fillId="0" borderId="7" xfId="391" applyNumberFormat="1" applyFont="1" applyBorder="1" applyAlignment="1">
      <alignment horizontal="center" vertical="center" wrapText="1"/>
    </xf>
    <xf numFmtId="0" fontId="1" fillId="0" borderId="8" xfId="391" applyFont="1" applyFill="1" applyBorder="1" applyAlignment="1">
      <alignment vertical="center" wrapText="1"/>
    </xf>
    <xf numFmtId="0" fontId="6" fillId="0" borderId="30" xfId="391" applyFont="1" applyBorder="1" applyAlignment="1">
      <alignment horizontal="center" vertical="center"/>
    </xf>
    <xf numFmtId="0" fontId="39" fillId="0" borderId="0" xfId="391" applyFont="1" applyFill="1" applyBorder="1" applyAlignment="1">
      <alignment vertical="center" wrapText="1"/>
    </xf>
    <xf numFmtId="0" fontId="1" fillId="0" borderId="3" xfId="391" applyFont="1" applyBorder="1" applyAlignment="1">
      <alignment horizontal="center" vertical="center" wrapText="1"/>
    </xf>
    <xf numFmtId="0" fontId="1" fillId="0" borderId="5" xfId="391" applyFont="1" applyBorder="1" applyAlignment="1">
      <alignment horizontal="center" vertical="center" wrapText="1"/>
    </xf>
    <xf numFmtId="0" fontId="1" fillId="0" borderId="2" xfId="391" applyFont="1" applyFill="1" applyBorder="1" applyAlignment="1">
      <alignment vertical="center" wrapText="1"/>
    </xf>
    <xf numFmtId="0" fontId="6" fillId="0" borderId="6" xfId="391" applyFont="1" applyBorder="1" applyAlignment="1">
      <alignment horizontal="center" vertical="center"/>
    </xf>
    <xf numFmtId="0" fontId="1" fillId="0" borderId="8" xfId="391" applyFont="1" applyFill="1" applyBorder="1" applyAlignment="1">
      <alignment horizontal="left" vertical="center" wrapText="1"/>
    </xf>
    <xf numFmtId="0" fontId="41" fillId="0" borderId="0" xfId="391" applyFont="1" applyFill="1" applyBorder="1" applyAlignment="1">
      <alignment horizontal="center" vertical="center"/>
    </xf>
    <xf numFmtId="0" fontId="6" fillId="0" borderId="30" xfId="391" applyFont="1" applyBorder="1" applyAlignment="1">
      <alignment horizontal="center" vertical="center" wrapText="1"/>
    </xf>
    <xf numFmtId="1" fontId="6" fillId="0" borderId="3" xfId="391" applyNumberFormat="1" applyFont="1" applyBorder="1" applyAlignment="1">
      <alignment horizontal="center" vertical="center"/>
    </xf>
    <xf numFmtId="0" fontId="6" fillId="0" borderId="0" xfId="391" applyFont="1" applyFill="1" applyBorder="1" applyAlignment="1" applyProtection="1">
      <alignment horizontal="left" vertical="center" wrapText="1"/>
      <protection locked="0"/>
    </xf>
    <xf numFmtId="1" fontId="6" fillId="0" borderId="5" xfId="391" applyNumberFormat="1" applyFont="1" applyBorder="1" applyAlignment="1">
      <alignment horizontal="center" vertical="center"/>
    </xf>
    <xf numFmtId="0" fontId="6" fillId="3" borderId="2" xfId="391" applyFont="1" applyFill="1" applyBorder="1" applyAlignment="1">
      <alignment horizontal="left" vertical="center" wrapText="1"/>
    </xf>
    <xf numFmtId="0" fontId="6" fillId="0" borderId="8" xfId="391" applyFont="1" applyFill="1" applyBorder="1" applyAlignment="1">
      <alignment vertical="center" wrapText="1"/>
    </xf>
    <xf numFmtId="0" fontId="6" fillId="0" borderId="2" xfId="391" applyFont="1" applyFill="1" applyBorder="1" applyAlignment="1">
      <alignment horizontal="left" vertical="center" wrapText="1"/>
    </xf>
    <xf numFmtId="0" fontId="6" fillId="0" borderId="6" xfId="391" applyFont="1" applyFill="1" applyBorder="1" applyAlignment="1">
      <alignment horizontal="center" vertical="center"/>
    </xf>
    <xf numFmtId="1" fontId="6" fillId="0" borderId="0" xfId="391" applyNumberFormat="1" applyFont="1" applyAlignment="1">
      <alignment horizontal="center" vertical="center"/>
    </xf>
    <xf numFmtId="0" fontId="8" fillId="0" borderId="0" xfId="391" applyFont="1" applyAlignment="1"/>
    <xf numFmtId="0" fontId="6" fillId="0" borderId="0" xfId="391" applyFont="1" applyBorder="1"/>
    <xf numFmtId="1" fontId="28" fillId="0" borderId="0" xfId="391" applyNumberFormat="1" applyFont="1" applyAlignment="1">
      <alignment vertical="center"/>
    </xf>
    <xf numFmtId="0" fontId="28" fillId="0" borderId="0" xfId="391" applyFont="1" applyAlignment="1">
      <alignment vertical="center"/>
    </xf>
    <xf numFmtId="0" fontId="6" fillId="4" borderId="4" xfId="0" applyFont="1" applyFill="1" applyBorder="1" applyAlignment="1"/>
    <xf numFmtId="0" fontId="8" fillId="4" borderId="0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42" fillId="0" borderId="0" xfId="391" applyFont="1" applyFill="1" applyBorder="1"/>
    <xf numFmtId="0" fontId="42" fillId="0" borderId="0" xfId="391" applyFont="1" applyFill="1" applyBorder="1" applyAlignment="1">
      <alignment wrapText="1"/>
    </xf>
    <xf numFmtId="0" fontId="43" fillId="0" borderId="0" xfId="391" applyFont="1" applyFill="1" applyBorder="1" applyAlignment="1">
      <alignment vertical="center" wrapText="1"/>
    </xf>
    <xf numFmtId="0" fontId="43" fillId="3" borderId="0" xfId="391" applyFont="1" applyFill="1" applyBorder="1" applyAlignment="1">
      <alignment horizontal="left" vertical="center" wrapText="1"/>
    </xf>
    <xf numFmtId="0" fontId="43" fillId="0" borderId="0" xfId="391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43" fillId="0" borderId="0" xfId="391" applyFont="1" applyFill="1" applyBorder="1" applyAlignment="1">
      <alignment vertical="center"/>
    </xf>
    <xf numFmtId="0" fontId="44" fillId="0" borderId="0" xfId="391" applyFont="1" applyFill="1" applyBorder="1" applyAlignment="1">
      <alignment horizontal="left" vertical="center" wrapText="1"/>
    </xf>
    <xf numFmtId="0" fontId="44" fillId="0" borderId="0" xfId="391" applyFont="1" applyFill="1" applyBorder="1"/>
    <xf numFmtId="0" fontId="45" fillId="0" borderId="0" xfId="391" applyFont="1" applyFill="1" applyBorder="1" applyAlignment="1"/>
    <xf numFmtId="0" fontId="44" fillId="0" borderId="0" xfId="391" applyFont="1" applyFill="1" applyBorder="1" applyAlignment="1">
      <alignment vertical="center" wrapText="1"/>
    </xf>
    <xf numFmtId="0" fontId="45" fillId="0" borderId="0" xfId="391" applyFont="1" applyFill="1" applyBorder="1" applyAlignment="1">
      <alignment wrapText="1"/>
    </xf>
    <xf numFmtId="0" fontId="43" fillId="0" borderId="0" xfId="391" applyFont="1" applyFill="1" applyBorder="1" applyAlignment="1">
      <alignment horizontal="center" vertical="center"/>
    </xf>
    <xf numFmtId="0" fontId="44" fillId="4" borderId="0" xfId="391" applyFont="1" applyFill="1" applyBorder="1" applyAlignment="1">
      <alignment horizontal="left" vertical="center" wrapText="1"/>
    </xf>
    <xf numFmtId="0" fontId="43" fillId="0" borderId="0" xfId="391" applyFont="1" applyFill="1" applyBorder="1" applyAlignment="1" applyProtection="1">
      <alignment horizontal="left" vertical="center" wrapText="1"/>
      <protection locked="0"/>
    </xf>
    <xf numFmtId="0" fontId="60" fillId="0" borderId="0" xfId="39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6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41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29" fillId="4" borderId="4" xfId="0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top" wrapText="1"/>
    </xf>
    <xf numFmtId="0" fontId="51" fillId="0" borderId="0" xfId="0" applyFont="1" applyFill="1" applyBorder="1" applyAlignment="1">
      <alignment horizontal="right"/>
    </xf>
    <xf numFmtId="182" fontId="8" fillId="0" borderId="0" xfId="0" applyNumberFormat="1" applyFont="1" applyAlignment="1">
      <alignment textRotation="90"/>
    </xf>
    <xf numFmtId="0" fontId="1" fillId="0" borderId="15" xfId="0" applyNumberFormat="1" applyFont="1" applyBorder="1"/>
    <xf numFmtId="0" fontId="0" fillId="0" borderId="0" xfId="0" applyNumberForma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Fill="1"/>
    <xf numFmtId="177" fontId="7" fillId="0" borderId="31" xfId="0" applyNumberFormat="1" applyFont="1" applyFill="1" applyBorder="1" applyAlignment="1">
      <alignment horizontal="center" textRotation="90" wrapText="1"/>
    </xf>
    <xf numFmtId="197" fontId="7" fillId="0" borderId="31" xfId="0" applyNumberFormat="1" applyFont="1" applyFill="1" applyBorder="1" applyAlignment="1">
      <alignment horizontal="center" textRotation="90" wrapText="1"/>
    </xf>
    <xf numFmtId="181" fontId="14" fillId="0" borderId="28" xfId="0" applyNumberFormat="1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/>
    </xf>
    <xf numFmtId="0" fontId="8" fillId="4" borderId="0" xfId="0" applyFont="1" applyFill="1" applyBorder="1" applyAlignment="1">
      <alignment horizontal="left" vertical="top" wrapText="1"/>
    </xf>
    <xf numFmtId="0" fontId="29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/>
    <xf numFmtId="0" fontId="50" fillId="4" borderId="0" xfId="0" applyFont="1" applyFill="1" applyBorder="1" applyAlignment="1">
      <alignment wrapText="1"/>
    </xf>
    <xf numFmtId="0" fontId="34" fillId="4" borderId="0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2" xfId="0" applyFont="1" applyFill="1" applyBorder="1" applyAlignment="1">
      <alignment horizontal="left"/>
    </xf>
    <xf numFmtId="0" fontId="41" fillId="0" borderId="0" xfId="0" applyFont="1" applyBorder="1" applyAlignment="1">
      <alignment horizontal="left"/>
    </xf>
    <xf numFmtId="176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197" fontId="7" fillId="0" borderId="0" xfId="0" applyNumberFormat="1" applyFont="1" applyFill="1" applyBorder="1" applyAlignment="1">
      <alignment horizontal="center" textRotation="90" wrapText="1"/>
    </xf>
    <xf numFmtId="0" fontId="25" fillId="0" borderId="0" xfId="0" applyFont="1" applyFill="1" applyBorder="1" applyAlignment="1">
      <alignment horizontal="center" vertical="center" textRotation="90" wrapText="1"/>
    </xf>
    <xf numFmtId="0" fontId="1" fillId="4" borderId="2" xfId="391" applyFont="1" applyFill="1" applyBorder="1" applyAlignment="1">
      <alignment horizontal="left" vertical="center" wrapText="1"/>
    </xf>
    <xf numFmtId="0" fontId="61" fillId="0" borderId="0" xfId="391" applyFont="1" applyFill="1" applyBorder="1" applyAlignment="1">
      <alignment horizontal="left" vertical="center" wrapText="1"/>
    </xf>
    <xf numFmtId="0" fontId="41" fillId="0" borderId="0" xfId="391" applyFont="1" applyFill="1" applyBorder="1" applyAlignment="1">
      <alignment horizontal="left" vertical="center" wrapText="1"/>
    </xf>
    <xf numFmtId="10" fontId="32" fillId="4" borderId="0" xfId="0" applyNumberFormat="1" applyFont="1" applyFill="1" applyBorder="1" applyAlignment="1">
      <alignment horizontal="left"/>
    </xf>
    <xf numFmtId="49" fontId="0" fillId="0" borderId="25" xfId="0" applyNumberFormat="1" applyBorder="1" applyAlignment="1">
      <alignment horizontal="right"/>
    </xf>
    <xf numFmtId="49" fontId="1" fillId="0" borderId="25" xfId="0" applyNumberFormat="1" applyFon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0" fontId="0" fillId="0" borderId="15" xfId="0" applyNumberFormat="1" applyFill="1" applyBorder="1" applyAlignment="1">
      <alignment horizontal="right"/>
    </xf>
    <xf numFmtId="0" fontId="1" fillId="0" borderId="15" xfId="0" applyNumberFormat="1" applyFont="1" applyFill="1" applyBorder="1" applyAlignment="1">
      <alignment horizontal="right"/>
    </xf>
    <xf numFmtId="0" fontId="1" fillId="0" borderId="15" xfId="0" applyNumberFormat="1" applyFont="1" applyBorder="1" applyAlignment="1">
      <alignment horizontal="right"/>
    </xf>
    <xf numFmtId="0" fontId="1" fillId="0" borderId="15" xfId="0" quotePrefix="1" applyNumberFormat="1" applyFont="1" applyFill="1" applyBorder="1" applyAlignment="1">
      <alignment horizontal="center" vertical="center"/>
    </xf>
    <xf numFmtId="49" fontId="8" fillId="0" borderId="25" xfId="0" quotePrefix="1" applyNumberFormat="1" applyFont="1" applyBorder="1" applyAlignment="1">
      <alignment horizontal="right"/>
    </xf>
    <xf numFmtId="2" fontId="8" fillId="0" borderId="0" xfId="0" applyNumberFormat="1" applyFont="1" applyFill="1" applyBorder="1"/>
    <xf numFmtId="0" fontId="8" fillId="0" borderId="15" xfId="0" applyNumberFormat="1" applyFont="1" applyFill="1" applyBorder="1"/>
    <xf numFmtId="0" fontId="8" fillId="0" borderId="15" xfId="0" applyNumberFormat="1" applyFont="1" applyBorder="1"/>
    <xf numFmtId="0" fontId="1" fillId="0" borderId="24" xfId="0" applyFont="1" applyFill="1" applyBorder="1" applyAlignment="1">
      <alignment horizontal="center"/>
    </xf>
    <xf numFmtId="0" fontId="8" fillId="0" borderId="22" xfId="0" applyNumberFormat="1" applyFont="1" applyFill="1" applyBorder="1"/>
    <xf numFmtId="0" fontId="8" fillId="0" borderId="23" xfId="0" quotePrefix="1" applyNumberFormat="1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textRotation="90"/>
    </xf>
    <xf numFmtId="2" fontId="0" fillId="0" borderId="16" xfId="0" applyNumberFormat="1" applyFill="1" applyBorder="1"/>
    <xf numFmtId="49" fontId="8" fillId="0" borderId="24" xfId="0" quotePrefix="1" applyNumberFormat="1" applyFont="1" applyBorder="1" applyAlignment="1">
      <alignment horizontal="right"/>
    </xf>
    <xf numFmtId="181" fontId="14" fillId="0" borderId="29" xfId="0" applyNumberFormat="1" applyFont="1" applyFill="1" applyBorder="1" applyAlignment="1">
      <alignment horizontal="center" vertical="center" textRotation="90" wrapText="1"/>
    </xf>
    <xf numFmtId="0" fontId="47" fillId="2" borderId="1" xfId="0" applyNumberFormat="1" applyFont="1" applyFill="1" applyBorder="1" applyAlignment="1" applyProtection="1">
      <alignment horizontal="left" vertical="top" wrapText="1"/>
    </xf>
    <xf numFmtId="0" fontId="48" fillId="2" borderId="1" xfId="0" applyNumberFormat="1" applyFont="1" applyFill="1" applyBorder="1" applyAlignment="1" applyProtection="1">
      <alignment horizontal="center" vertical="top" wrapText="1"/>
    </xf>
    <xf numFmtId="0" fontId="47" fillId="2" borderId="82" xfId="0" applyNumberFormat="1" applyFont="1" applyFill="1" applyBorder="1" applyAlignment="1" applyProtection="1">
      <alignment horizontal="center" vertical="top" wrapText="1"/>
    </xf>
    <xf numFmtId="0" fontId="47" fillId="0" borderId="1" xfId="0" applyNumberFormat="1" applyFont="1" applyFill="1" applyBorder="1" applyAlignment="1" applyProtection="1">
      <alignment horizontal="left" vertical="top" wrapText="1"/>
    </xf>
    <xf numFmtId="22" fontId="47" fillId="0" borderId="1" xfId="0" applyNumberFormat="1" applyFont="1" applyFill="1" applyBorder="1" applyAlignment="1" applyProtection="1">
      <alignment horizontal="left" vertical="top" wrapText="1"/>
    </xf>
    <xf numFmtId="0" fontId="47" fillId="2" borderId="83" xfId="0" applyNumberFormat="1" applyFont="1" applyFill="1" applyBorder="1" applyAlignment="1" applyProtection="1">
      <alignment horizontal="center" vertical="top" wrapText="1"/>
    </xf>
    <xf numFmtId="0" fontId="46" fillId="0" borderId="1" xfId="0" applyNumberFormat="1" applyFont="1" applyFill="1" applyBorder="1" applyAlignment="1" applyProtection="1">
      <alignment horizontal="left" vertical="top" wrapText="1"/>
    </xf>
    <xf numFmtId="198" fontId="32" fillId="4" borderId="0" xfId="0" applyNumberFormat="1" applyFont="1" applyFill="1" applyBorder="1" applyAlignment="1">
      <alignment horizontal="left"/>
    </xf>
    <xf numFmtId="183" fontId="31" fillId="4" borderId="0" xfId="0" applyNumberFormat="1" applyFont="1" applyFill="1" applyBorder="1" applyAlignment="1">
      <alignment horizontal="right"/>
    </xf>
    <xf numFmtId="14" fontId="29" fillId="3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50" fillId="4" borderId="0" xfId="0" applyFont="1" applyFill="1" applyBorder="1" applyAlignment="1">
      <alignment horizontal="left" wrapText="1"/>
    </xf>
    <xf numFmtId="0" fontId="29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top" wrapText="1"/>
    </xf>
    <xf numFmtId="0" fontId="9" fillId="5" borderId="2" xfId="0" applyNumberFormat="1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wrapText="1"/>
    </xf>
    <xf numFmtId="0" fontId="8" fillId="5" borderId="32" xfId="0" applyFont="1" applyFill="1" applyBorder="1" applyAlignment="1">
      <alignment horizontal="right" vertical="center"/>
    </xf>
    <xf numFmtId="20" fontId="14" fillId="5" borderId="32" xfId="0" applyNumberFormat="1" applyFont="1" applyFill="1" applyBorder="1" applyAlignment="1">
      <alignment horizontal="center" vertical="center"/>
    </xf>
    <xf numFmtId="9" fontId="14" fillId="5" borderId="32" xfId="0" applyNumberFormat="1" applyFont="1" applyFill="1" applyBorder="1" applyAlignment="1">
      <alignment horizontal="center" vertical="center"/>
    </xf>
    <xf numFmtId="0" fontId="36" fillId="5" borderId="32" xfId="0" applyFont="1" applyFill="1" applyBorder="1" applyAlignment="1">
      <alignment horizontal="right" vertical="center"/>
    </xf>
    <xf numFmtId="14" fontId="2" fillId="5" borderId="32" xfId="0" applyNumberFormat="1" applyFont="1" applyFill="1" applyBorder="1" applyAlignment="1">
      <alignment horizontal="left" vertical="center"/>
    </xf>
    <xf numFmtId="0" fontId="8" fillId="4" borderId="8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8" fillId="4" borderId="0" xfId="0" applyFont="1" applyFill="1" applyBorder="1"/>
    <xf numFmtId="0" fontId="33" fillId="5" borderId="8" xfId="0" applyFont="1" applyFill="1" applyBorder="1" applyAlignment="1">
      <alignment horizontal="center" vertical="center"/>
    </xf>
    <xf numFmtId="0" fontId="33" fillId="5" borderId="30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wrapText="1"/>
    </xf>
    <xf numFmtId="0" fontId="33" fillId="5" borderId="0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182" fontId="63" fillId="0" borderId="44" xfId="0" applyNumberFormat="1" applyFont="1" applyFill="1" applyBorder="1" applyAlignment="1">
      <alignment horizontal="center" vertical="center" wrapText="1"/>
    </xf>
    <xf numFmtId="182" fontId="63" fillId="0" borderId="45" xfId="0" applyNumberFormat="1" applyFont="1" applyFill="1" applyBorder="1" applyAlignment="1">
      <alignment horizontal="center" vertical="center" wrapText="1"/>
    </xf>
    <xf numFmtId="0" fontId="55" fillId="0" borderId="46" xfId="0" applyFont="1" applyFill="1" applyBorder="1" applyAlignment="1">
      <alignment horizontal="left" vertical="center" wrapText="1"/>
    </xf>
    <xf numFmtId="0" fontId="55" fillId="0" borderId="44" xfId="0" applyFont="1" applyFill="1" applyBorder="1" applyAlignment="1">
      <alignment horizontal="left" vertical="center" wrapText="1"/>
    </xf>
    <xf numFmtId="173" fontId="63" fillId="0" borderId="47" xfId="0" applyNumberFormat="1" applyFont="1" applyFill="1" applyBorder="1" applyAlignment="1">
      <alignment horizontal="center" vertical="center"/>
    </xf>
    <xf numFmtId="173" fontId="63" fillId="0" borderId="48" xfId="0" applyNumberFormat="1" applyFont="1" applyFill="1" applyBorder="1" applyAlignment="1">
      <alignment horizontal="center" vertical="center"/>
    </xf>
    <xf numFmtId="14" fontId="65" fillId="0" borderId="48" xfId="0" applyNumberFormat="1" applyFont="1" applyFill="1" applyBorder="1" applyAlignment="1">
      <alignment horizontal="center" vertical="center"/>
    </xf>
    <xf numFmtId="14" fontId="65" fillId="0" borderId="49" xfId="0" applyNumberFormat="1" applyFont="1" applyFill="1" applyBorder="1" applyAlignment="1">
      <alignment horizontal="center" vertical="center"/>
    </xf>
    <xf numFmtId="0" fontId="63" fillId="0" borderId="37" xfId="0" applyFont="1" applyFill="1" applyBorder="1" applyAlignment="1">
      <alignment horizontal="center" vertical="center"/>
    </xf>
    <xf numFmtId="0" fontId="63" fillId="0" borderId="38" xfId="0" applyFont="1" applyFill="1" applyBorder="1" applyAlignment="1">
      <alignment horizontal="center" vertical="center"/>
    </xf>
    <xf numFmtId="173" fontId="63" fillId="0" borderId="71" xfId="0" applyNumberFormat="1" applyFont="1" applyFill="1" applyBorder="1" applyAlignment="1">
      <alignment horizontal="center" vertical="center"/>
    </xf>
    <xf numFmtId="173" fontId="63" fillId="0" borderId="37" xfId="0" applyNumberFormat="1" applyFont="1" applyFill="1" applyBorder="1" applyAlignment="1">
      <alignment horizontal="center" vertical="center"/>
    </xf>
    <xf numFmtId="14" fontId="14" fillId="0" borderId="37" xfId="0" applyNumberFormat="1" applyFont="1" applyFill="1" applyBorder="1" applyAlignment="1">
      <alignment horizontal="center" vertical="center"/>
    </xf>
    <xf numFmtId="2" fontId="63" fillId="0" borderId="28" xfId="0" applyNumberFormat="1" applyFont="1" applyFill="1" applyBorder="1" applyAlignment="1">
      <alignment horizontal="center" vertical="center"/>
    </xf>
    <xf numFmtId="0" fontId="55" fillId="0" borderId="65" xfId="0" applyFont="1" applyFill="1" applyBorder="1" applyAlignment="1">
      <alignment horizontal="left" vertical="center"/>
    </xf>
    <xf numFmtId="0" fontId="64" fillId="0" borderId="12" xfId="0" applyFont="1" applyFill="1" applyBorder="1" applyAlignment="1">
      <alignment horizontal="left" vertical="center"/>
    </xf>
    <xf numFmtId="49" fontId="14" fillId="0" borderId="36" xfId="0" applyNumberFormat="1" applyFont="1" applyFill="1" applyBorder="1" applyAlignment="1">
      <alignment horizontal="center" vertical="center" wrapText="1"/>
    </xf>
    <xf numFmtId="49" fontId="14" fillId="0" borderId="37" xfId="0" applyNumberFormat="1" applyFont="1" applyFill="1" applyBorder="1" applyAlignment="1">
      <alignment horizontal="center" vertical="center" wrapText="1"/>
    </xf>
    <xf numFmtId="49" fontId="14" fillId="0" borderId="38" xfId="0" applyNumberFormat="1" applyFont="1" applyFill="1" applyBorder="1" applyAlignment="1">
      <alignment horizontal="center" vertical="center" wrapText="1"/>
    </xf>
    <xf numFmtId="174" fontId="62" fillId="0" borderId="39" xfId="0" applyNumberFormat="1" applyFont="1" applyFill="1" applyBorder="1" applyAlignment="1">
      <alignment horizontal="left" vertical="center"/>
    </xf>
    <xf numFmtId="174" fontId="62" fillId="0" borderId="40" xfId="0" applyNumberFormat="1" applyFont="1" applyFill="1" applyBorder="1" applyAlignment="1">
      <alignment horizontal="left" vertical="center"/>
    </xf>
    <xf numFmtId="191" fontId="63" fillId="0" borderId="41" xfId="0" applyNumberFormat="1" applyFont="1" applyFill="1" applyBorder="1" applyAlignment="1">
      <alignment horizontal="center" vertical="center"/>
    </xf>
    <xf numFmtId="2" fontId="63" fillId="0" borderId="41" xfId="0" applyNumberFormat="1" applyFont="1" applyFill="1" applyBorder="1" applyAlignment="1">
      <alignment horizontal="center" vertical="center"/>
    </xf>
    <xf numFmtId="2" fontId="63" fillId="0" borderId="42" xfId="0" applyNumberFormat="1" applyFont="1" applyFill="1" applyBorder="1" applyAlignment="1">
      <alignment horizontal="center" vertical="center"/>
    </xf>
    <xf numFmtId="0" fontId="55" fillId="0" borderId="43" xfId="0" applyFont="1" applyFill="1" applyBorder="1" applyAlignment="1">
      <alignment horizontal="left" vertical="center"/>
    </xf>
    <xf numFmtId="0" fontId="64" fillId="0" borderId="28" xfId="0" applyFont="1" applyFill="1" applyBorder="1" applyAlignment="1">
      <alignment horizontal="left" vertical="center"/>
    </xf>
    <xf numFmtId="2" fontId="63" fillId="0" borderId="29" xfId="0" applyNumberFormat="1" applyFont="1" applyFill="1" applyBorder="1" applyAlignment="1">
      <alignment horizontal="center" vertical="center"/>
    </xf>
    <xf numFmtId="186" fontId="63" fillId="0" borderId="41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176" fontId="14" fillId="0" borderId="33" xfId="0" applyNumberFormat="1" applyFont="1" applyFill="1" applyBorder="1" applyAlignment="1">
      <alignment horizontal="center" vertical="center" wrapText="1"/>
    </xf>
    <xf numFmtId="176" fontId="14" fillId="0" borderId="34" xfId="0" applyNumberFormat="1" applyFont="1" applyFill="1" applyBorder="1" applyAlignment="1">
      <alignment horizontal="center" vertical="center" wrapText="1"/>
    </xf>
    <xf numFmtId="176" fontId="14" fillId="0" borderId="35" xfId="0" applyNumberFormat="1" applyFont="1" applyFill="1" applyBorder="1" applyAlignment="1">
      <alignment horizontal="center" vertical="center" wrapText="1"/>
    </xf>
    <xf numFmtId="0" fontId="55" fillId="0" borderId="50" xfId="0" applyFont="1" applyFill="1" applyBorder="1" applyAlignment="1">
      <alignment horizontal="left" vertical="center" indent="1"/>
    </xf>
    <xf numFmtId="0" fontId="55" fillId="0" borderId="51" xfId="0" applyFont="1" applyFill="1" applyBorder="1" applyAlignment="1">
      <alignment horizontal="left" vertical="center" indent="1"/>
    </xf>
    <xf numFmtId="0" fontId="55" fillId="0" borderId="52" xfId="0" applyFont="1" applyFill="1" applyBorder="1" applyAlignment="1">
      <alignment horizontal="left" vertical="center" indent="1"/>
    </xf>
    <xf numFmtId="164" fontId="63" fillId="0" borderId="60" xfId="0" applyNumberFormat="1" applyFont="1" applyFill="1" applyBorder="1" applyAlignment="1">
      <alignment horizontal="center" vertical="center"/>
    </xf>
    <xf numFmtId="170" fontId="63" fillId="0" borderId="60" xfId="0" applyNumberFormat="1" applyFont="1" applyFill="1" applyBorder="1" applyAlignment="1">
      <alignment horizontal="center" vertical="center"/>
    </xf>
    <xf numFmtId="0" fontId="55" fillId="0" borderId="65" xfId="0" applyFont="1" applyFill="1" applyBorder="1" applyAlignment="1">
      <alignment horizontal="left" vertical="center" indent="1"/>
    </xf>
    <xf numFmtId="0" fontId="55" fillId="0" borderId="12" xfId="0" applyFont="1" applyFill="1" applyBorder="1" applyAlignment="1">
      <alignment horizontal="left" vertical="center" indent="1"/>
    </xf>
    <xf numFmtId="186" fontId="63" fillId="0" borderId="68" xfId="0" applyNumberFormat="1" applyFont="1" applyFill="1" applyBorder="1" applyAlignment="1">
      <alignment horizontal="center" vertical="center"/>
    </xf>
    <xf numFmtId="1" fontId="63" fillId="0" borderId="71" xfId="0" applyNumberFormat="1" applyFont="1" applyFill="1" applyBorder="1" applyAlignment="1">
      <alignment horizontal="center" vertical="center"/>
    </xf>
    <xf numFmtId="1" fontId="63" fillId="0" borderId="79" xfId="0" applyNumberFormat="1" applyFont="1" applyFill="1" applyBorder="1" applyAlignment="1">
      <alignment horizontal="center" vertical="center"/>
    </xf>
    <xf numFmtId="164" fontId="63" fillId="0" borderId="71" xfId="0" applyNumberFormat="1" applyFont="1" applyFill="1" applyBorder="1" applyAlignment="1">
      <alignment horizontal="center" vertical="center"/>
    </xf>
    <xf numFmtId="164" fontId="63" fillId="0" borderId="79" xfId="0" applyNumberFormat="1" applyFont="1" applyFill="1" applyBorder="1" applyAlignment="1">
      <alignment horizontal="center" vertical="center"/>
    </xf>
    <xf numFmtId="1" fontId="63" fillId="0" borderId="47" xfId="0" applyNumberFormat="1" applyFont="1" applyFill="1" applyBorder="1" applyAlignment="1">
      <alignment horizontal="center" vertical="center"/>
    </xf>
    <xf numFmtId="1" fontId="63" fillId="0" borderId="67" xfId="0" applyNumberFormat="1" applyFont="1" applyFill="1" applyBorder="1" applyAlignment="1">
      <alignment horizontal="center" vertical="center"/>
    </xf>
    <xf numFmtId="2" fontId="63" fillId="0" borderId="69" xfId="0" applyNumberFormat="1" applyFont="1" applyFill="1" applyBorder="1" applyAlignment="1">
      <alignment horizontal="center" vertical="center"/>
    </xf>
    <xf numFmtId="2" fontId="63" fillId="0" borderId="70" xfId="0" applyNumberFormat="1" applyFont="1" applyFill="1" applyBorder="1" applyAlignment="1">
      <alignment horizontal="center" vertical="center"/>
    </xf>
    <xf numFmtId="1" fontId="63" fillId="0" borderId="12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right" vertical="center" wrapText="1" indent="1"/>
    </xf>
    <xf numFmtId="0" fontId="27" fillId="0" borderId="0" xfId="0" applyFont="1" applyFill="1" applyAlignment="1">
      <alignment horizontal="left" vertical="center" wrapText="1"/>
    </xf>
    <xf numFmtId="0" fontId="66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3" fillId="0" borderId="59" xfId="0" applyFont="1" applyFill="1" applyBorder="1" applyAlignment="1">
      <alignment horizontal="left" vertical="center" indent="1"/>
    </xf>
    <xf numFmtId="0" fontId="63" fillId="0" borderId="60" xfId="0" applyFont="1" applyFill="1" applyBorder="1" applyAlignment="1">
      <alignment horizontal="left" vertical="center" indent="1"/>
    </xf>
    <xf numFmtId="180" fontId="62" fillId="0" borderId="61" xfId="0" applyNumberFormat="1" applyFont="1" applyFill="1" applyBorder="1" applyAlignment="1">
      <alignment horizontal="right" vertical="center"/>
    </xf>
    <xf numFmtId="180" fontId="62" fillId="0" borderId="39" xfId="0" applyNumberFormat="1" applyFont="1" applyFill="1" applyBorder="1" applyAlignment="1">
      <alignment horizontal="right" vertical="center"/>
    </xf>
    <xf numFmtId="175" fontId="14" fillId="0" borderId="60" xfId="0" applyNumberFormat="1" applyFont="1" applyFill="1" applyBorder="1" applyAlignment="1">
      <alignment horizontal="center" vertical="center"/>
    </xf>
    <xf numFmtId="2" fontId="14" fillId="0" borderId="60" xfId="0" applyNumberFormat="1" applyFont="1" applyFill="1" applyBorder="1" applyAlignment="1">
      <alignment horizontal="center" vertical="center"/>
    </xf>
    <xf numFmtId="2" fontId="14" fillId="0" borderId="62" xfId="0" applyNumberFormat="1" applyFont="1" applyFill="1" applyBorder="1" applyAlignment="1">
      <alignment horizontal="center" vertical="center"/>
    </xf>
    <xf numFmtId="1" fontId="63" fillId="0" borderId="41" xfId="0" applyNumberFormat="1" applyFont="1" applyFill="1" applyBorder="1" applyAlignment="1">
      <alignment horizontal="center" vertical="center"/>
    </xf>
    <xf numFmtId="164" fontId="63" fillId="0" borderId="41" xfId="0" applyNumberFormat="1" applyFont="1" applyFill="1" applyBorder="1" applyAlignment="1">
      <alignment horizontal="center" vertical="center"/>
    </xf>
    <xf numFmtId="180" fontId="62" fillId="0" borderId="63" xfId="0" applyNumberFormat="1" applyFont="1" applyFill="1" applyBorder="1" applyAlignment="1">
      <alignment horizontal="right" vertical="center"/>
    </xf>
    <xf numFmtId="180" fontId="62" fillId="0" borderId="16" xfId="0" applyNumberFormat="1" applyFont="1" applyFill="1" applyBorder="1" applyAlignment="1">
      <alignment horizontal="right" vertical="center"/>
    </xf>
    <xf numFmtId="174" fontId="62" fillId="0" borderId="16" xfId="0" applyNumberFormat="1" applyFont="1" applyFill="1" applyBorder="1" applyAlignment="1">
      <alignment horizontal="left" vertical="center"/>
    </xf>
    <xf numFmtId="174" fontId="62" fillId="0" borderId="64" xfId="0" applyNumberFormat="1" applyFont="1" applyFill="1" applyBorder="1" applyAlignment="1">
      <alignment horizontal="left" vertical="center"/>
    </xf>
    <xf numFmtId="164" fontId="63" fillId="0" borderId="12" xfId="0" applyNumberFormat="1" applyFont="1" applyFill="1" applyBorder="1" applyAlignment="1">
      <alignment horizontal="center" vertical="center"/>
    </xf>
    <xf numFmtId="0" fontId="55" fillId="0" borderId="66" xfId="0" applyFont="1" applyFill="1" applyBorder="1" applyAlignment="1">
      <alignment horizontal="left" vertical="center" indent="1"/>
    </xf>
    <xf numFmtId="0" fontId="55" fillId="0" borderId="48" xfId="0" applyFont="1" applyFill="1" applyBorder="1" applyAlignment="1">
      <alignment horizontal="left" vertical="center" indent="1"/>
    </xf>
    <xf numFmtId="0" fontId="55" fillId="0" borderId="67" xfId="0" applyFont="1" applyFill="1" applyBorder="1" applyAlignment="1">
      <alignment horizontal="left" vertical="center" indent="1"/>
    </xf>
    <xf numFmtId="1" fontId="63" fillId="0" borderId="28" xfId="0" applyNumberFormat="1" applyFont="1" applyFill="1" applyBorder="1" applyAlignment="1">
      <alignment horizontal="center" vertical="center"/>
    </xf>
    <xf numFmtId="196" fontId="63" fillId="0" borderId="71" xfId="0" applyNumberFormat="1" applyFont="1" applyFill="1" applyBorder="1" applyAlignment="1">
      <alignment horizontal="center" vertical="center"/>
    </xf>
    <xf numFmtId="196" fontId="63" fillId="0" borderId="37" xfId="0" applyNumberFormat="1" applyFont="1" applyFill="1" applyBorder="1" applyAlignment="1">
      <alignment horizontal="center" vertical="center"/>
    </xf>
    <xf numFmtId="0" fontId="55" fillId="0" borderId="46" xfId="0" applyFont="1" applyFill="1" applyBorder="1" applyAlignment="1">
      <alignment horizontal="left" vertical="center" wrapText="1" indent="1"/>
    </xf>
    <xf numFmtId="0" fontId="55" fillId="0" borderId="44" xfId="0" applyFont="1" applyFill="1" applyBorder="1" applyAlignment="1">
      <alignment horizontal="left" vertical="center" indent="1"/>
    </xf>
    <xf numFmtId="0" fontId="65" fillId="0" borderId="12" xfId="0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 wrapText="1"/>
    </xf>
    <xf numFmtId="0" fontId="65" fillId="0" borderId="73" xfId="0" applyFont="1" applyFill="1" applyBorder="1" applyAlignment="1">
      <alignment horizontal="center" vertical="center" wrapText="1"/>
    </xf>
    <xf numFmtId="0" fontId="65" fillId="0" borderId="76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14" fontId="14" fillId="0" borderId="38" xfId="0" applyNumberFormat="1" applyFont="1" applyFill="1" applyBorder="1" applyAlignment="1">
      <alignment horizontal="center" vertical="center"/>
    </xf>
    <xf numFmtId="194" fontId="63" fillId="0" borderId="37" xfId="0" applyNumberFormat="1" applyFont="1" applyFill="1" applyBorder="1" applyAlignment="1">
      <alignment horizontal="center" vertical="center"/>
    </xf>
    <xf numFmtId="194" fontId="63" fillId="0" borderId="38" xfId="0" applyNumberFormat="1" applyFont="1" applyFill="1" applyBorder="1" applyAlignment="1">
      <alignment horizontal="center" vertical="center"/>
    </xf>
    <xf numFmtId="0" fontId="55" fillId="0" borderId="72" xfId="0" applyFont="1" applyFill="1" applyBorder="1" applyAlignment="1">
      <alignment horizontal="left" vertical="center" indent="1"/>
    </xf>
    <xf numFmtId="0" fontId="23" fillId="0" borderId="73" xfId="0" applyFont="1" applyFill="1" applyBorder="1" applyAlignment="1">
      <alignment horizontal="left" vertical="center" indent="1"/>
    </xf>
    <xf numFmtId="179" fontId="63" fillId="0" borderId="51" xfId="0" applyNumberFormat="1" applyFont="1" applyFill="1" applyBorder="1" applyAlignment="1">
      <alignment horizontal="center" vertical="center" wrapText="1"/>
    </xf>
    <xf numFmtId="179" fontId="63" fillId="0" borderId="52" xfId="0" applyNumberFormat="1" applyFont="1" applyFill="1" applyBorder="1" applyAlignment="1">
      <alignment horizontal="center" vertical="center" wrapText="1"/>
    </xf>
    <xf numFmtId="182" fontId="63" fillId="0" borderId="74" xfId="0" applyNumberFormat="1" applyFont="1" applyFill="1" applyBorder="1" applyAlignment="1">
      <alignment horizontal="center" vertical="center" wrapText="1"/>
    </xf>
    <xf numFmtId="182" fontId="63" fillId="0" borderId="75" xfId="0" applyNumberFormat="1" applyFont="1" applyFill="1" applyBorder="1" applyAlignment="1">
      <alignment horizontal="center" vertical="center" wrapText="1"/>
    </xf>
    <xf numFmtId="0" fontId="55" fillId="0" borderId="50" xfId="0" applyFont="1" applyFill="1" applyBorder="1" applyAlignment="1">
      <alignment horizontal="center" vertical="center" wrapText="1"/>
    </xf>
    <xf numFmtId="0" fontId="55" fillId="0" borderId="51" xfId="0" applyFont="1" applyFill="1" applyBorder="1" applyAlignment="1">
      <alignment horizontal="center" vertical="center" wrapText="1"/>
    </xf>
    <xf numFmtId="182" fontId="63" fillId="0" borderId="71" xfId="0" applyNumberFormat="1" applyFont="1" applyFill="1" applyBorder="1" applyAlignment="1">
      <alignment horizontal="center" vertical="center"/>
    </xf>
    <xf numFmtId="182" fontId="63" fillId="0" borderId="37" xfId="0" applyNumberFormat="1" applyFont="1" applyFill="1" applyBorder="1" applyAlignment="1">
      <alignment horizontal="center" vertical="center"/>
    </xf>
    <xf numFmtId="182" fontId="63" fillId="0" borderId="38" xfId="0" applyNumberFormat="1" applyFont="1" applyFill="1" applyBorder="1" applyAlignment="1">
      <alignment horizontal="center" vertical="center"/>
    </xf>
    <xf numFmtId="174" fontId="63" fillId="0" borderId="37" xfId="0" applyNumberFormat="1" applyFont="1" applyFill="1" applyBorder="1" applyAlignment="1">
      <alignment horizontal="center" vertical="center"/>
    </xf>
    <xf numFmtId="174" fontId="63" fillId="0" borderId="38" xfId="0" applyNumberFormat="1" applyFont="1" applyFill="1" applyBorder="1" applyAlignment="1">
      <alignment horizontal="center" vertical="center"/>
    </xf>
    <xf numFmtId="172" fontId="63" fillId="0" borderId="37" xfId="0" applyNumberFormat="1" applyFont="1" applyFill="1" applyBorder="1" applyAlignment="1">
      <alignment horizontal="center" vertical="center"/>
    </xf>
    <xf numFmtId="185" fontId="63" fillId="0" borderId="71" xfId="0" applyNumberFormat="1" applyFont="1" applyFill="1" applyBorder="1" applyAlignment="1">
      <alignment horizontal="center" vertical="center"/>
    </xf>
    <xf numFmtId="185" fontId="63" fillId="0" borderId="37" xfId="0" applyNumberFormat="1" applyFont="1" applyFill="1" applyBorder="1" applyAlignment="1">
      <alignment horizontal="center" vertical="center"/>
    </xf>
    <xf numFmtId="2" fontId="63" fillId="0" borderId="71" xfId="0" applyNumberFormat="1" applyFont="1" applyFill="1" applyBorder="1" applyAlignment="1">
      <alignment horizontal="center" vertical="center"/>
    </xf>
    <xf numFmtId="2" fontId="63" fillId="0" borderId="37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66" fillId="0" borderId="16" xfId="0" applyFont="1" applyFill="1" applyBorder="1" applyAlignment="1">
      <alignment horizontal="center" vertical="center"/>
    </xf>
    <xf numFmtId="0" fontId="67" fillId="0" borderId="16" xfId="0" applyFont="1" applyFill="1" applyBorder="1" applyAlignment="1">
      <alignment horizontal="center" vertical="center"/>
    </xf>
    <xf numFmtId="0" fontId="55" fillId="0" borderId="46" xfId="0" applyFont="1" applyFill="1" applyBorder="1" applyAlignment="1">
      <alignment horizontal="left" vertical="center"/>
    </xf>
    <xf numFmtId="0" fontId="64" fillId="0" borderId="44" xfId="0" applyFont="1" applyFill="1" applyBorder="1" applyAlignment="1">
      <alignment horizontal="left" vertical="center"/>
    </xf>
    <xf numFmtId="0" fontId="63" fillId="0" borderId="44" xfId="0" applyFont="1" applyFill="1" applyBorder="1" applyAlignment="1">
      <alignment horizontal="center" vertical="center" wrapText="1"/>
    </xf>
    <xf numFmtId="0" fontId="63" fillId="0" borderId="44" xfId="0" applyFont="1" applyFill="1" applyBorder="1" applyAlignment="1">
      <alignment horizontal="center" vertical="center"/>
    </xf>
    <xf numFmtId="0" fontId="63" fillId="0" borderId="77" xfId="0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center" vertical="center"/>
    </xf>
    <xf numFmtId="0" fontId="65" fillId="0" borderId="44" xfId="0" applyFont="1" applyFill="1" applyBorder="1" applyAlignment="1">
      <alignment horizontal="center" vertical="center" wrapText="1"/>
    </xf>
    <xf numFmtId="0" fontId="65" fillId="0" borderId="45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right"/>
    </xf>
    <xf numFmtId="0" fontId="68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4" fontId="22" fillId="0" borderId="0" xfId="0" applyNumberFormat="1" applyFont="1" applyFill="1" applyBorder="1" applyAlignment="1">
      <alignment horizontal="left" wrapText="1"/>
    </xf>
    <xf numFmtId="164" fontId="63" fillId="0" borderId="13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left" vertical="center" indent="1"/>
    </xf>
    <xf numFmtId="0" fontId="55" fillId="0" borderId="78" xfId="0" applyFont="1" applyFill="1" applyBorder="1" applyAlignment="1">
      <alignment horizontal="center" vertical="center" wrapText="1"/>
    </xf>
    <xf numFmtId="0" fontId="55" fillId="0" borderId="74" xfId="0" applyFont="1" applyFill="1" applyBorder="1" applyAlignment="1">
      <alignment horizontal="center" vertical="center" wrapText="1"/>
    </xf>
    <xf numFmtId="170" fontId="63" fillId="0" borderId="41" xfId="0" applyNumberFormat="1" applyFont="1" applyFill="1" applyBorder="1" applyAlignment="1">
      <alignment horizontal="center" vertical="center"/>
    </xf>
    <xf numFmtId="188" fontId="63" fillId="0" borderId="41" xfId="0" applyNumberFormat="1" applyFont="1" applyFill="1" applyBorder="1" applyAlignment="1">
      <alignment horizontal="center" vertical="center"/>
    </xf>
    <xf numFmtId="170" fontId="63" fillId="0" borderId="12" xfId="0" applyNumberFormat="1" applyFont="1" applyFill="1" applyBorder="1" applyAlignment="1">
      <alignment horizontal="center" vertical="center"/>
    </xf>
    <xf numFmtId="0" fontId="24" fillId="0" borderId="80" xfId="0" applyFont="1" applyFill="1" applyBorder="1" applyAlignment="1">
      <alignment horizontal="center" vertical="center" wrapText="1"/>
    </xf>
    <xf numFmtId="0" fontId="24" fillId="0" borderId="73" xfId="0" applyFont="1" applyFill="1" applyBorder="1" applyAlignment="1">
      <alignment horizontal="center" vertical="center" wrapText="1"/>
    </xf>
    <xf numFmtId="164" fontId="63" fillId="0" borderId="61" xfId="0" applyNumberFormat="1" applyFont="1" applyFill="1" applyBorder="1" applyAlignment="1">
      <alignment horizontal="center" vertical="center"/>
    </xf>
    <xf numFmtId="164" fontId="63" fillId="0" borderId="40" xfId="0" applyNumberFormat="1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54" xfId="0" applyFont="1" applyFill="1" applyBorder="1" applyAlignment="1">
      <alignment horizontal="center" vertical="center" wrapText="1"/>
    </xf>
    <xf numFmtId="188" fontId="63" fillId="0" borderId="12" xfId="0" applyNumberFormat="1" applyFont="1" applyFill="1" applyBorder="1" applyAlignment="1">
      <alignment horizontal="center" vertical="center"/>
    </xf>
    <xf numFmtId="0" fontId="24" fillId="0" borderId="57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164" fontId="63" fillId="0" borderId="81" xfId="0" applyNumberFormat="1" applyFont="1" applyFill="1" applyBorder="1" applyAlignment="1">
      <alignment horizontal="right" vertical="center"/>
    </xf>
    <xf numFmtId="164" fontId="63" fillId="0" borderId="74" xfId="0" applyNumberFormat="1" applyFont="1" applyFill="1" applyBorder="1" applyAlignment="1">
      <alignment horizontal="right" vertical="center"/>
    </xf>
    <xf numFmtId="0" fontId="55" fillId="0" borderId="78" xfId="0" applyFont="1" applyFill="1" applyBorder="1" applyAlignment="1">
      <alignment horizontal="left" vertical="center" indent="1"/>
    </xf>
    <xf numFmtId="0" fontId="55" fillId="0" borderId="74" xfId="0" applyFont="1" applyFill="1" applyBorder="1" applyAlignment="1">
      <alignment horizontal="left" vertical="center" indent="1"/>
    </xf>
    <xf numFmtId="0" fontId="55" fillId="0" borderId="75" xfId="0" applyFont="1" applyFill="1" applyBorder="1" applyAlignment="1">
      <alignment horizontal="left" vertical="center" indent="1"/>
    </xf>
    <xf numFmtId="1" fontId="63" fillId="0" borderId="73" xfId="0" applyNumberFormat="1" applyFont="1" applyFill="1" applyBorder="1" applyAlignment="1">
      <alignment horizontal="center" vertical="center"/>
    </xf>
    <xf numFmtId="164" fontId="63" fillId="0" borderId="81" xfId="0" applyNumberFormat="1" applyFont="1" applyFill="1" applyBorder="1" applyAlignment="1">
      <alignment horizontal="center" vertical="center"/>
    </xf>
    <xf numFmtId="164" fontId="63" fillId="0" borderId="75" xfId="0" applyNumberFormat="1" applyFont="1" applyFill="1" applyBorder="1" applyAlignment="1">
      <alignment horizontal="center" vertical="center"/>
    </xf>
    <xf numFmtId="187" fontId="63" fillId="0" borderId="74" xfId="0" applyNumberFormat="1" applyFont="1" applyFill="1" applyBorder="1" applyAlignment="1">
      <alignment horizontal="left" vertical="center"/>
    </xf>
    <xf numFmtId="187" fontId="63" fillId="0" borderId="75" xfId="0" applyNumberFormat="1" applyFont="1" applyFill="1" applyBorder="1" applyAlignment="1">
      <alignment horizontal="left" vertical="center"/>
    </xf>
    <xf numFmtId="164" fontId="63" fillId="0" borderId="73" xfId="0" applyNumberFormat="1" applyFont="1" applyFill="1" applyBorder="1" applyAlignment="1">
      <alignment horizontal="center" vertical="center"/>
    </xf>
    <xf numFmtId="0" fontId="55" fillId="0" borderId="36" xfId="0" applyFont="1" applyFill="1" applyBorder="1" applyAlignment="1">
      <alignment horizontal="left" vertical="center" indent="1"/>
    </xf>
    <xf numFmtId="0" fontId="55" fillId="0" borderId="37" xfId="0" applyFont="1" applyFill="1" applyBorder="1" applyAlignment="1">
      <alignment horizontal="left" vertical="center" indent="1"/>
    </xf>
    <xf numFmtId="0" fontId="55" fillId="0" borderId="79" xfId="0" applyFont="1" applyFill="1" applyBorder="1" applyAlignment="1">
      <alignment horizontal="left" vertical="center" indent="1"/>
    </xf>
    <xf numFmtId="0" fontId="55" fillId="0" borderId="12" xfId="0" applyFont="1" applyFill="1" applyBorder="1" applyAlignment="1">
      <alignment horizontal="left" vertical="center"/>
    </xf>
    <xf numFmtId="182" fontId="63" fillId="0" borderId="28" xfId="0" applyNumberFormat="1" applyFont="1" applyFill="1" applyBorder="1" applyAlignment="1">
      <alignment horizontal="center" vertical="center"/>
    </xf>
    <xf numFmtId="182" fontId="63" fillId="0" borderId="29" xfId="0" applyNumberFormat="1" applyFont="1" applyFill="1" applyBorder="1" applyAlignment="1">
      <alignment horizontal="center" vertical="center"/>
    </xf>
    <xf numFmtId="0" fontId="55" fillId="0" borderId="28" xfId="0" applyFont="1" applyFill="1" applyBorder="1" applyAlignment="1">
      <alignment horizontal="left" vertical="center"/>
    </xf>
    <xf numFmtId="14" fontId="14" fillId="0" borderId="71" xfId="0" applyNumberFormat="1" applyFont="1" applyFill="1" applyBorder="1" applyAlignment="1">
      <alignment horizontal="center" vertical="center"/>
    </xf>
    <xf numFmtId="14" fontId="14" fillId="0" borderId="79" xfId="0" applyNumberFormat="1" applyFont="1" applyFill="1" applyBorder="1" applyAlignment="1">
      <alignment horizontal="center" vertical="center"/>
    </xf>
    <xf numFmtId="164" fontId="63" fillId="0" borderId="76" xfId="0" applyNumberFormat="1" applyFont="1" applyFill="1" applyBorder="1" applyAlignment="1">
      <alignment horizontal="center" vertical="center"/>
    </xf>
    <xf numFmtId="192" fontId="63" fillId="0" borderId="37" xfId="0" applyNumberFormat="1" applyFont="1" applyFill="1" applyBorder="1" applyAlignment="1">
      <alignment horizontal="center" vertical="center"/>
    </xf>
    <xf numFmtId="192" fontId="63" fillId="0" borderId="38" xfId="0" applyNumberFormat="1" applyFont="1" applyFill="1" applyBorder="1" applyAlignment="1">
      <alignment horizontal="center" vertical="center"/>
    </xf>
    <xf numFmtId="193" fontId="63" fillId="0" borderId="71" xfId="0" applyNumberFormat="1" applyFont="1" applyFill="1" applyBorder="1" applyAlignment="1">
      <alignment horizontal="center" vertical="center"/>
    </xf>
    <xf numFmtId="193" fontId="63" fillId="0" borderId="37" xfId="0" applyNumberFormat="1" applyFont="1" applyFill="1" applyBorder="1" applyAlignment="1">
      <alignment horizontal="center" vertical="center"/>
    </xf>
    <xf numFmtId="193" fontId="63" fillId="0" borderId="79" xfId="0" applyNumberFormat="1" applyFont="1" applyFill="1" applyBorder="1" applyAlignment="1">
      <alignment horizontal="center" vertical="center"/>
    </xf>
    <xf numFmtId="0" fontId="69" fillId="0" borderId="65" xfId="0" applyFont="1" applyFill="1" applyBorder="1" applyAlignment="1">
      <alignment horizontal="left" vertical="center"/>
    </xf>
    <xf numFmtId="0" fontId="69" fillId="0" borderId="12" xfId="0" applyFont="1" applyFill="1" applyBorder="1" applyAlignment="1">
      <alignment horizontal="left" vertical="center"/>
    </xf>
    <xf numFmtId="185" fontId="63" fillId="0" borderId="38" xfId="0" applyNumberFormat="1" applyFont="1" applyFill="1" applyBorder="1" applyAlignment="1">
      <alignment horizontal="center" vertical="center"/>
    </xf>
    <xf numFmtId="2" fontId="63" fillId="0" borderId="38" xfId="0" applyNumberFormat="1" applyFont="1" applyFill="1" applyBorder="1" applyAlignment="1">
      <alignment horizontal="center" vertical="center"/>
    </xf>
    <xf numFmtId="0" fontId="55" fillId="0" borderId="36" xfId="0" applyFont="1" applyFill="1" applyBorder="1" applyAlignment="1">
      <alignment horizontal="left" vertical="center"/>
    </xf>
    <xf numFmtId="0" fontId="64" fillId="0" borderId="37" xfId="0" applyFont="1" applyFill="1" applyBorder="1" applyAlignment="1">
      <alignment horizontal="left" vertical="center"/>
    </xf>
    <xf numFmtId="0" fontId="64" fillId="0" borderId="79" xfId="0" applyFont="1" applyFill="1" applyBorder="1" applyAlignment="1">
      <alignment horizontal="left" vertical="center"/>
    </xf>
    <xf numFmtId="182" fontId="63" fillId="0" borderId="79" xfId="0" applyNumberFormat="1" applyFont="1" applyFill="1" applyBorder="1" applyAlignment="1">
      <alignment horizontal="center" vertical="center"/>
    </xf>
    <xf numFmtId="171" fontId="63" fillId="0" borderId="71" xfId="0" applyNumberFormat="1" applyFont="1" applyFill="1" applyBorder="1" applyAlignment="1">
      <alignment horizontal="center" vertical="center"/>
    </xf>
    <xf numFmtId="171" fontId="63" fillId="0" borderId="37" xfId="0" applyNumberFormat="1" applyFont="1" applyFill="1" applyBorder="1" applyAlignment="1">
      <alignment horizontal="center" vertical="center"/>
    </xf>
    <xf numFmtId="9" fontId="63" fillId="0" borderId="71" xfId="0" applyNumberFormat="1" applyFont="1" applyFill="1" applyBorder="1" applyAlignment="1">
      <alignment horizontal="center" vertical="center"/>
    </xf>
    <xf numFmtId="9" fontId="63" fillId="0" borderId="37" xfId="0" applyNumberFormat="1" applyFont="1" applyFill="1" applyBorder="1" applyAlignment="1">
      <alignment horizontal="center" vertical="center"/>
    </xf>
    <xf numFmtId="9" fontId="63" fillId="0" borderId="38" xfId="0" applyNumberFormat="1" applyFont="1" applyFill="1" applyBorder="1" applyAlignment="1">
      <alignment horizontal="center" vertical="center"/>
    </xf>
    <xf numFmtId="195" fontId="63" fillId="0" borderId="37" xfId="0" applyNumberFormat="1" applyFont="1" applyFill="1" applyBorder="1" applyAlignment="1">
      <alignment horizontal="center" vertical="center"/>
    </xf>
    <xf numFmtId="195" fontId="63" fillId="0" borderId="38" xfId="0" applyNumberFormat="1" applyFont="1" applyFill="1" applyBorder="1" applyAlignment="1">
      <alignment horizontal="center" vertical="center"/>
    </xf>
    <xf numFmtId="189" fontId="63" fillId="0" borderId="71" xfId="0" applyNumberFormat="1" applyFont="1" applyFill="1" applyBorder="1" applyAlignment="1">
      <alignment horizontal="center" vertical="center"/>
    </xf>
    <xf numFmtId="189" fontId="63" fillId="0" borderId="37" xfId="0" applyNumberFormat="1" applyFont="1" applyFill="1" applyBorder="1" applyAlignment="1">
      <alignment horizontal="center" vertical="center"/>
    </xf>
    <xf numFmtId="172" fontId="63" fillId="0" borderId="71" xfId="0" applyNumberFormat="1" applyFont="1" applyFill="1" applyBorder="1" applyAlignment="1">
      <alignment horizontal="center" vertical="center"/>
    </xf>
    <xf numFmtId="0" fontId="70" fillId="7" borderId="9" xfId="391" applyFont="1" applyFill="1" applyBorder="1" applyAlignment="1">
      <alignment horizontal="center" vertical="center"/>
    </xf>
    <xf numFmtId="0" fontId="70" fillId="7" borderId="32" xfId="391" applyFont="1" applyFill="1" applyBorder="1" applyAlignment="1">
      <alignment horizontal="center" vertical="center"/>
    </xf>
    <xf numFmtId="0" fontId="70" fillId="7" borderId="10" xfId="391" applyFont="1" applyFill="1" applyBorder="1" applyAlignment="1">
      <alignment horizontal="center" vertical="center"/>
    </xf>
    <xf numFmtId="0" fontId="71" fillId="7" borderId="9" xfId="391" applyFont="1" applyFill="1" applyBorder="1" applyAlignment="1">
      <alignment horizontal="center" vertical="center"/>
    </xf>
    <xf numFmtId="0" fontId="71" fillId="7" borderId="32" xfId="391" applyFont="1" applyFill="1" applyBorder="1" applyAlignment="1">
      <alignment horizontal="center" vertical="center"/>
    </xf>
    <xf numFmtId="0" fontId="71" fillId="7" borderId="10" xfId="391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center" vertical="center" wrapText="1"/>
    </xf>
    <xf numFmtId="0" fontId="6" fillId="0" borderId="3" xfId="391" applyFont="1" applyBorder="1" applyAlignment="1">
      <alignment horizontal="center" vertical="center"/>
    </xf>
    <xf numFmtId="0" fontId="70" fillId="7" borderId="2" xfId="391" applyFont="1" applyFill="1" applyBorder="1" applyAlignment="1">
      <alignment horizontal="center" vertical="center"/>
    </xf>
    <xf numFmtId="0" fontId="70" fillId="7" borderId="5" xfId="391" applyFont="1" applyFill="1" applyBorder="1" applyAlignment="1">
      <alignment horizontal="center" vertical="center"/>
    </xf>
    <xf numFmtId="0" fontId="70" fillId="7" borderId="6" xfId="391" applyFont="1" applyFill="1" applyBorder="1" applyAlignment="1">
      <alignment horizontal="center" vertical="center"/>
    </xf>
    <xf numFmtId="1" fontId="6" fillId="0" borderId="3" xfId="391" applyNumberFormat="1" applyFont="1" applyBorder="1" applyAlignment="1">
      <alignment horizontal="center" vertical="center" wrapText="1"/>
    </xf>
    <xf numFmtId="1" fontId="6" fillId="0" borderId="5" xfId="391" applyNumberFormat="1" applyFont="1" applyBorder="1" applyAlignment="1">
      <alignment horizontal="center" vertical="center" wrapText="1"/>
    </xf>
    <xf numFmtId="0" fontId="6" fillId="0" borderId="4" xfId="391" applyFont="1" applyBorder="1" applyAlignment="1">
      <alignment horizontal="center" vertical="center"/>
    </xf>
    <xf numFmtId="0" fontId="6" fillId="0" borderId="6" xfId="391" applyFont="1" applyBorder="1" applyAlignment="1">
      <alignment horizontal="center" vertical="center"/>
    </xf>
    <xf numFmtId="1" fontId="6" fillId="0" borderId="3" xfId="391" applyNumberFormat="1" applyFont="1" applyBorder="1" applyAlignment="1">
      <alignment horizontal="center" vertical="center"/>
    </xf>
    <xf numFmtId="0" fontId="70" fillId="7" borderId="9" xfId="391" applyFont="1" applyFill="1" applyBorder="1" applyAlignment="1">
      <alignment horizontal="center" vertical="center" wrapText="1"/>
    </xf>
    <xf numFmtId="0" fontId="72" fillId="0" borderId="18" xfId="391" applyFont="1" applyFill="1" applyBorder="1" applyAlignment="1">
      <alignment horizontal="center" vertical="center" wrapText="1"/>
    </xf>
    <xf numFmtId="0" fontId="70" fillId="7" borderId="9" xfId="0" applyFont="1" applyFill="1" applyBorder="1" applyAlignment="1">
      <alignment horizontal="center" vertical="center"/>
    </xf>
    <xf numFmtId="0" fontId="70" fillId="7" borderId="32" xfId="0" applyFont="1" applyFill="1" applyBorder="1" applyAlignment="1">
      <alignment horizontal="center" vertical="center"/>
    </xf>
    <xf numFmtId="0" fontId="70" fillId="7" borderId="10" xfId="0" applyFont="1" applyFill="1" applyBorder="1" applyAlignment="1">
      <alignment horizontal="center" vertical="center"/>
    </xf>
    <xf numFmtId="164" fontId="58" fillId="0" borderId="9" xfId="391" applyNumberFormat="1" applyFont="1" applyFill="1" applyBorder="1" applyAlignment="1">
      <alignment horizontal="left" vertical="center" wrapText="1" indent="1"/>
    </xf>
    <xf numFmtId="164" fontId="58" fillId="0" borderId="32" xfId="391" applyNumberFormat="1" applyFont="1" applyFill="1" applyBorder="1" applyAlignment="1">
      <alignment horizontal="left" vertical="center" wrapText="1" indent="1"/>
    </xf>
    <xf numFmtId="164" fontId="58" fillId="0" borderId="10" xfId="391" applyNumberFormat="1" applyFont="1" applyFill="1" applyBorder="1" applyAlignment="1">
      <alignment horizontal="left" vertical="center" wrapText="1" indent="1"/>
    </xf>
    <xf numFmtId="164" fontId="6" fillId="0" borderId="7" xfId="391" applyNumberFormat="1" applyFont="1" applyFill="1" applyBorder="1" applyAlignment="1">
      <alignment horizontal="left" vertical="center" wrapText="1" indent="1"/>
    </xf>
    <xf numFmtId="164" fontId="6" fillId="0" borderId="8" xfId="391" applyNumberFormat="1" applyFont="1" applyFill="1" applyBorder="1" applyAlignment="1">
      <alignment horizontal="left" vertical="center" wrapText="1" indent="1"/>
    </xf>
    <xf numFmtId="164" fontId="6" fillId="0" borderId="30" xfId="391" applyNumberFormat="1" applyFont="1" applyFill="1" applyBorder="1" applyAlignment="1">
      <alignment horizontal="left" vertical="center" wrapText="1" indent="1"/>
    </xf>
    <xf numFmtId="0" fontId="70" fillId="7" borderId="7" xfId="391" applyFont="1" applyFill="1" applyBorder="1" applyAlignment="1">
      <alignment horizontal="center" vertical="center"/>
    </xf>
    <xf numFmtId="0" fontId="70" fillId="7" borderId="8" xfId="391" applyFont="1" applyFill="1" applyBorder="1" applyAlignment="1">
      <alignment horizontal="center" vertical="center"/>
    </xf>
    <xf numFmtId="0" fontId="70" fillId="7" borderId="30" xfId="391" applyFont="1" applyFill="1" applyBorder="1" applyAlignment="1">
      <alignment horizontal="center" vertical="center"/>
    </xf>
    <xf numFmtId="164" fontId="29" fillId="0" borderId="7" xfId="391" applyNumberFormat="1" applyFont="1" applyFill="1" applyBorder="1" applyAlignment="1">
      <alignment horizontal="left" vertical="center" wrapText="1" indent="1"/>
    </xf>
    <xf numFmtId="0" fontId="47" fillId="2" borderId="1" xfId="0" applyNumberFormat="1" applyFont="1" applyFill="1" applyBorder="1" applyAlignment="1" applyProtection="1">
      <alignment horizontal="left" vertical="top" wrapText="1"/>
    </xf>
    <xf numFmtId="0" fontId="0" fillId="0" borderId="0" xfId="0"/>
  </cellXfs>
  <cellStyles count="394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Обычный" xfId="0" builtinId="0"/>
    <cellStyle name="Обычный 2" xfId="390"/>
    <cellStyle name="Обычный 3" xfId="391"/>
    <cellStyle name="Обычньй_Пакжт к збщите оа Нояврь 2019г ЦДОГ-1 " xfId="392"/>
    <cellStyle name="Тысячи_ 1999-2 " xfId="393"/>
  </cellStyles>
  <dxfs count="1">
    <dxf>
      <font>
        <b/>
        <i val="0"/>
        <color rgb="FFFF0000"/>
      </font>
    </dxf>
  </dxfs>
  <tableStyles count="0" defaultTableStyle="TableStyleMedium9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34</xdr:row>
      <xdr:rowOff>66675</xdr:rowOff>
    </xdr:from>
    <xdr:to>
      <xdr:col>7</xdr:col>
      <xdr:colOff>714375</xdr:colOff>
      <xdr:row>37</xdr:row>
      <xdr:rowOff>66675</xdr:rowOff>
    </xdr:to>
    <xdr:pic>
      <xdr:nvPicPr>
        <xdr:cNvPr id="1050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581775"/>
          <a:ext cx="1247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20</xdr:row>
      <xdr:rowOff>114300</xdr:rowOff>
    </xdr:from>
    <xdr:to>
      <xdr:col>8</xdr:col>
      <xdr:colOff>247650</xdr:colOff>
      <xdr:row>26</xdr:row>
      <xdr:rowOff>47625</xdr:rowOff>
    </xdr:to>
    <xdr:pic>
      <xdr:nvPicPr>
        <xdr:cNvPr id="1051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3962400"/>
          <a:ext cx="1038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90822</xdr:colOff>
      <xdr:row>30</xdr:row>
      <xdr:rowOff>235322</xdr:rowOff>
    </xdr:from>
    <xdr:to>
      <xdr:col>45</xdr:col>
      <xdr:colOff>100854</xdr:colOff>
      <xdr:row>30</xdr:row>
      <xdr:rowOff>532953</xdr:rowOff>
    </xdr:to>
    <xdr:sp macro="" textlink="">
      <xdr:nvSpPr>
        <xdr:cNvPr id="118" name="Прямоугольник с одним вырезанным углом 82">
          <a:extLst/>
        </xdr:cNvPr>
        <xdr:cNvSpPr/>
      </xdr:nvSpPr>
      <xdr:spPr>
        <a:xfrm rot="16200000">
          <a:off x="14312963" y="8850769"/>
          <a:ext cx="297631" cy="637562"/>
        </a:xfrm>
        <a:custGeom>
          <a:avLst/>
          <a:gdLst>
            <a:gd name="connsiteX0" fmla="*/ 0 w 1008530"/>
            <a:gd name="connsiteY0" fmla="*/ 0 h 7082125"/>
            <a:gd name="connsiteX1" fmla="*/ 840438 w 1008530"/>
            <a:gd name="connsiteY1" fmla="*/ 0 h 7082125"/>
            <a:gd name="connsiteX2" fmla="*/ 1008530 w 1008530"/>
            <a:gd name="connsiteY2" fmla="*/ 168092 h 7082125"/>
            <a:gd name="connsiteX3" fmla="*/ 1008530 w 1008530"/>
            <a:gd name="connsiteY3" fmla="*/ 7082125 h 7082125"/>
            <a:gd name="connsiteX4" fmla="*/ 0 w 1008530"/>
            <a:gd name="connsiteY4" fmla="*/ 7082125 h 7082125"/>
            <a:gd name="connsiteX5" fmla="*/ 0 w 1008530"/>
            <a:gd name="connsiteY5" fmla="*/ 0 h 7082125"/>
            <a:gd name="connsiteX0" fmla="*/ 0 w 1030942"/>
            <a:gd name="connsiteY0" fmla="*/ 0 h 7664829"/>
            <a:gd name="connsiteX1" fmla="*/ 862850 w 1030942"/>
            <a:gd name="connsiteY1" fmla="*/ 582704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481848 w 1030942"/>
            <a:gd name="connsiteY1" fmla="*/ 481857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53353"/>
            <a:gd name="connsiteY0" fmla="*/ 0 h 7664829"/>
            <a:gd name="connsiteX1" fmla="*/ 549083 w 1053353"/>
            <a:gd name="connsiteY1" fmla="*/ 403418 h 7664829"/>
            <a:gd name="connsiteX2" fmla="*/ 1053353 w 1053353"/>
            <a:gd name="connsiteY2" fmla="*/ 2386858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493053 w 1053353"/>
            <a:gd name="connsiteY1" fmla="*/ 851654 h 7664829"/>
            <a:gd name="connsiteX2" fmla="*/ 1053353 w 1053353"/>
            <a:gd name="connsiteY2" fmla="*/ 2386858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42148"/>
            <a:gd name="connsiteY0" fmla="*/ 0 h 7664829"/>
            <a:gd name="connsiteX1" fmla="*/ 493053 w 1042148"/>
            <a:gd name="connsiteY1" fmla="*/ 851654 h 7664829"/>
            <a:gd name="connsiteX2" fmla="*/ 1042148 w 1042148"/>
            <a:gd name="connsiteY2" fmla="*/ 3104035 h 7664829"/>
            <a:gd name="connsiteX3" fmla="*/ 1030942 w 1042148"/>
            <a:gd name="connsiteY3" fmla="*/ 7664829 h 7664829"/>
            <a:gd name="connsiteX4" fmla="*/ 22412 w 1042148"/>
            <a:gd name="connsiteY4" fmla="*/ 7664829 h 7664829"/>
            <a:gd name="connsiteX5" fmla="*/ 0 w 1042148"/>
            <a:gd name="connsiteY5" fmla="*/ 0 h 7664829"/>
            <a:gd name="connsiteX0" fmla="*/ 0 w 1042148"/>
            <a:gd name="connsiteY0" fmla="*/ 0 h 7664829"/>
            <a:gd name="connsiteX1" fmla="*/ 493052 w 1042148"/>
            <a:gd name="connsiteY1" fmla="*/ 1333508 h 7664829"/>
            <a:gd name="connsiteX2" fmla="*/ 1042148 w 1042148"/>
            <a:gd name="connsiteY2" fmla="*/ 3104035 h 7664829"/>
            <a:gd name="connsiteX3" fmla="*/ 1030942 w 1042148"/>
            <a:gd name="connsiteY3" fmla="*/ 7664829 h 7664829"/>
            <a:gd name="connsiteX4" fmla="*/ 22412 w 1042148"/>
            <a:gd name="connsiteY4" fmla="*/ 7664829 h 7664829"/>
            <a:gd name="connsiteX5" fmla="*/ 0 w 1042148"/>
            <a:gd name="connsiteY5" fmla="*/ 0 h 7664829"/>
            <a:gd name="connsiteX0" fmla="*/ 0 w 1053353"/>
            <a:gd name="connsiteY0" fmla="*/ 0 h 7664829"/>
            <a:gd name="connsiteX1" fmla="*/ 493052 w 1053353"/>
            <a:gd name="connsiteY1" fmla="*/ 1333508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571492 w 1053353"/>
            <a:gd name="connsiteY1" fmla="*/ 1692100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571492 w 1053353"/>
            <a:gd name="connsiteY1" fmla="*/ 1692100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5"/>
            <a:gd name="connsiteY0" fmla="*/ 0 h 7664829"/>
            <a:gd name="connsiteX1" fmla="*/ 739579 w 1053355"/>
            <a:gd name="connsiteY1" fmla="*/ 2980779 h 7664829"/>
            <a:gd name="connsiteX2" fmla="*/ 1053355 w 1053355"/>
            <a:gd name="connsiteY2" fmla="*/ 6055739 h 7664829"/>
            <a:gd name="connsiteX3" fmla="*/ 1030942 w 1053355"/>
            <a:gd name="connsiteY3" fmla="*/ 7664829 h 7664829"/>
            <a:gd name="connsiteX4" fmla="*/ 22412 w 1053355"/>
            <a:gd name="connsiteY4" fmla="*/ 7664829 h 7664829"/>
            <a:gd name="connsiteX5" fmla="*/ 0 w 1053355"/>
            <a:gd name="connsiteY5" fmla="*/ 0 h 7664829"/>
            <a:gd name="connsiteX0" fmla="*/ 0 w 1053355"/>
            <a:gd name="connsiteY0" fmla="*/ 0 h 7664829"/>
            <a:gd name="connsiteX1" fmla="*/ 705962 w 1053355"/>
            <a:gd name="connsiteY1" fmla="*/ 3042263 h 7664829"/>
            <a:gd name="connsiteX2" fmla="*/ 1053355 w 1053355"/>
            <a:gd name="connsiteY2" fmla="*/ 6055739 h 7664829"/>
            <a:gd name="connsiteX3" fmla="*/ 1030942 w 1053355"/>
            <a:gd name="connsiteY3" fmla="*/ 7664829 h 7664829"/>
            <a:gd name="connsiteX4" fmla="*/ 22412 w 1053355"/>
            <a:gd name="connsiteY4" fmla="*/ 7664829 h 7664829"/>
            <a:gd name="connsiteX5" fmla="*/ 0 w 1053355"/>
            <a:gd name="connsiteY5" fmla="*/ 0 h 7664829"/>
            <a:gd name="connsiteX0" fmla="*/ 59899 w 1031472"/>
            <a:gd name="connsiteY0" fmla="*/ 1 h 7899111"/>
            <a:gd name="connsiteX1" fmla="*/ 684079 w 1031472"/>
            <a:gd name="connsiteY1" fmla="*/ 3276545 h 7899111"/>
            <a:gd name="connsiteX2" fmla="*/ 1031472 w 1031472"/>
            <a:gd name="connsiteY2" fmla="*/ 6290021 h 7899111"/>
            <a:gd name="connsiteX3" fmla="*/ 1009059 w 1031472"/>
            <a:gd name="connsiteY3" fmla="*/ 7899111 h 7899111"/>
            <a:gd name="connsiteX4" fmla="*/ 529 w 1031472"/>
            <a:gd name="connsiteY4" fmla="*/ 7899111 h 7899111"/>
            <a:gd name="connsiteX5" fmla="*/ 59899 w 1031472"/>
            <a:gd name="connsiteY5" fmla="*/ 1 h 7899111"/>
            <a:gd name="connsiteX0" fmla="*/ 2158 w 973731"/>
            <a:gd name="connsiteY0" fmla="*/ 0 h 7899110"/>
            <a:gd name="connsiteX1" fmla="*/ 626338 w 973731"/>
            <a:gd name="connsiteY1" fmla="*/ 3276544 h 7899110"/>
            <a:gd name="connsiteX2" fmla="*/ 973731 w 973731"/>
            <a:gd name="connsiteY2" fmla="*/ 6290020 h 7899110"/>
            <a:gd name="connsiteX3" fmla="*/ 951318 w 973731"/>
            <a:gd name="connsiteY3" fmla="*/ 7899110 h 7899110"/>
            <a:gd name="connsiteX4" fmla="*/ 2157 w 973731"/>
            <a:gd name="connsiteY4" fmla="*/ 7496094 h 7899110"/>
            <a:gd name="connsiteX5" fmla="*/ 2158 w 973731"/>
            <a:gd name="connsiteY5" fmla="*/ 0 h 7899110"/>
            <a:gd name="connsiteX0" fmla="*/ 2158 w 973731"/>
            <a:gd name="connsiteY0" fmla="*/ 0 h 7496094"/>
            <a:gd name="connsiteX1" fmla="*/ 626338 w 973731"/>
            <a:gd name="connsiteY1" fmla="*/ 3276544 h 7496094"/>
            <a:gd name="connsiteX2" fmla="*/ 973731 w 973731"/>
            <a:gd name="connsiteY2" fmla="*/ 6290020 h 7496094"/>
            <a:gd name="connsiteX3" fmla="*/ 905033 w 973731"/>
            <a:gd name="connsiteY3" fmla="*/ 7496093 h 7496094"/>
            <a:gd name="connsiteX4" fmla="*/ 2157 w 973731"/>
            <a:gd name="connsiteY4" fmla="*/ 7496094 h 7496094"/>
            <a:gd name="connsiteX5" fmla="*/ 2158 w 973731"/>
            <a:gd name="connsiteY5" fmla="*/ 0 h 7496094"/>
            <a:gd name="connsiteX0" fmla="*/ 2158 w 930995"/>
            <a:gd name="connsiteY0" fmla="*/ 0 h 7496094"/>
            <a:gd name="connsiteX1" fmla="*/ 626338 w 930995"/>
            <a:gd name="connsiteY1" fmla="*/ 3276544 h 7496094"/>
            <a:gd name="connsiteX2" fmla="*/ 905033 w 930995"/>
            <a:gd name="connsiteY2" fmla="*/ 7496093 h 7496094"/>
            <a:gd name="connsiteX3" fmla="*/ 2157 w 930995"/>
            <a:gd name="connsiteY3" fmla="*/ 7496094 h 7496094"/>
            <a:gd name="connsiteX4" fmla="*/ 2158 w 930995"/>
            <a:gd name="connsiteY4" fmla="*/ 0 h 74960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30995" h="7496094">
              <a:moveTo>
                <a:pt x="2158" y="0"/>
              </a:moveTo>
              <a:cubicBezTo>
                <a:pt x="259892" y="216647"/>
                <a:pt x="166898" y="1737616"/>
                <a:pt x="626338" y="3276544"/>
              </a:cubicBezTo>
              <a:cubicBezTo>
                <a:pt x="776817" y="4525893"/>
                <a:pt x="1009063" y="6792835"/>
                <a:pt x="905033" y="7496093"/>
              </a:cubicBezTo>
              <a:lnTo>
                <a:pt x="2157" y="7496094"/>
              </a:lnTo>
              <a:cubicBezTo>
                <a:pt x="-5314" y="4941151"/>
                <a:pt x="9629" y="2554943"/>
                <a:pt x="2158" y="0"/>
              </a:cubicBezTo>
              <a:close/>
            </a:path>
          </a:pathLst>
        </a:custGeom>
        <a:pattFill prst="pct5">
          <a:fgClr>
            <a:schemeClr val="tx1"/>
          </a:fgClr>
          <a:bgClr>
            <a:schemeClr val="bg1"/>
          </a:bgClr>
        </a:pattFill>
        <a:ln w="127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47625</xdr:colOff>
      <xdr:row>3</xdr:row>
      <xdr:rowOff>142875</xdr:rowOff>
    </xdr:from>
    <xdr:to>
      <xdr:col>9</xdr:col>
      <xdr:colOff>9525</xdr:colOff>
      <xdr:row>31</xdr:row>
      <xdr:rowOff>76200</xdr:rowOff>
    </xdr:to>
    <xdr:grpSp>
      <xdr:nvGrpSpPr>
        <xdr:cNvPr id="2905" name="Группа 4"/>
        <xdr:cNvGrpSpPr>
          <a:grpSpLocks/>
        </xdr:cNvGrpSpPr>
      </xdr:nvGrpSpPr>
      <xdr:grpSpPr bwMode="auto">
        <a:xfrm>
          <a:off x="197304" y="823232"/>
          <a:ext cx="2914650" cy="8641897"/>
          <a:chOff x="202098" y="823242"/>
          <a:chExt cx="2718412" cy="8289254"/>
        </a:xfrm>
      </xdr:grpSpPr>
      <xdr:pic>
        <xdr:nvPicPr>
          <xdr:cNvPr id="2979" name="Рисунок 9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2098" y="823242"/>
            <a:ext cx="1356035" cy="53659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980" name="Рисунок 5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7456" y="6213964"/>
            <a:ext cx="2453054" cy="28985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104775</xdr:colOff>
      <xdr:row>28</xdr:row>
      <xdr:rowOff>95250</xdr:rowOff>
    </xdr:from>
    <xdr:to>
      <xdr:col>9</xdr:col>
      <xdr:colOff>200025</xdr:colOff>
      <xdr:row>33</xdr:row>
      <xdr:rowOff>38100</xdr:rowOff>
    </xdr:to>
    <xdr:pic>
      <xdr:nvPicPr>
        <xdr:cNvPr id="2906" name="Рисунок 4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8543925"/>
          <a:ext cx="476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23</xdr:row>
      <xdr:rowOff>276225</xdr:rowOff>
    </xdr:from>
    <xdr:to>
      <xdr:col>4</xdr:col>
      <xdr:colOff>152400</xdr:colOff>
      <xdr:row>26</xdr:row>
      <xdr:rowOff>123825</xdr:rowOff>
    </xdr:to>
    <xdr:pic>
      <xdr:nvPicPr>
        <xdr:cNvPr id="2907" name="Рисунок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9" r="10001" b="-6250"/>
        <a:stretch>
          <a:fillRect/>
        </a:stretch>
      </xdr:blipFill>
      <xdr:spPr bwMode="auto">
        <a:xfrm>
          <a:off x="276225" y="6067425"/>
          <a:ext cx="12477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287111</xdr:colOff>
      <xdr:row>26</xdr:row>
      <xdr:rowOff>62594</xdr:rowOff>
    </xdr:from>
    <xdr:to>
      <xdr:col>15</xdr:col>
      <xdr:colOff>263978</xdr:colOff>
      <xdr:row>26</xdr:row>
      <xdr:rowOff>978355</xdr:rowOff>
    </xdr:to>
    <xdr:grpSp>
      <xdr:nvGrpSpPr>
        <xdr:cNvPr id="2908" name="Группа 3"/>
        <xdr:cNvGrpSpPr>
          <a:grpSpLocks/>
        </xdr:cNvGrpSpPr>
      </xdr:nvGrpSpPr>
      <xdr:grpSpPr bwMode="auto">
        <a:xfrm>
          <a:off x="4396468" y="6770915"/>
          <a:ext cx="997403" cy="915761"/>
          <a:chOff x="3249136" y="8319303"/>
          <a:chExt cx="998894" cy="900897"/>
        </a:xfrm>
      </xdr:grpSpPr>
      <xdr:cxnSp macro="">
        <xdr:nvCxnSpPr>
          <xdr:cNvPr id="3" name="Прямая со стрелкой 2"/>
          <xdr:cNvCxnSpPr/>
        </xdr:nvCxnSpPr>
        <xdr:spPr>
          <a:xfrm>
            <a:off x="3943605" y="8319303"/>
            <a:ext cx="0" cy="35087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69" name="Группа 11"/>
          <xdr:cNvGrpSpPr>
            <a:grpSpLocks/>
          </xdr:cNvGrpSpPr>
        </xdr:nvGrpSpPr>
        <xdr:grpSpPr bwMode="auto">
          <a:xfrm>
            <a:off x="3249136" y="8696325"/>
            <a:ext cx="998894" cy="523875"/>
            <a:chOff x="3249136" y="8567824"/>
            <a:chExt cx="998894" cy="522088"/>
          </a:xfrm>
        </xdr:grpSpPr>
        <xdr:grpSp>
          <xdr:nvGrpSpPr>
            <xdr:cNvPr id="2970" name="Группа 10"/>
            <xdr:cNvGrpSpPr>
              <a:grpSpLocks/>
            </xdr:cNvGrpSpPr>
          </xdr:nvGrpSpPr>
          <xdr:grpSpPr bwMode="auto">
            <a:xfrm>
              <a:off x="3249136" y="8567824"/>
              <a:ext cx="834541" cy="522088"/>
              <a:chOff x="3249136" y="8567824"/>
              <a:chExt cx="834541" cy="522088"/>
            </a:xfrm>
          </xdr:grpSpPr>
          <xdr:sp macro="" textlink="">
            <xdr:nvSpPr>
              <xdr:cNvPr id="73" name="Прямоугольник с одним вырезанным углом 82">
                <a:extLst/>
              </xdr:cNvPr>
              <xdr:cNvSpPr/>
            </xdr:nvSpPr>
            <xdr:spPr>
              <a:xfrm rot="16200000">
                <a:off x="3473636" y="8581888"/>
                <a:ext cx="283523" cy="732523"/>
              </a:xfrm>
              <a:custGeom>
                <a:avLst/>
                <a:gdLst>
                  <a:gd name="connsiteX0" fmla="*/ 0 w 1008530"/>
                  <a:gd name="connsiteY0" fmla="*/ 0 h 7082125"/>
                  <a:gd name="connsiteX1" fmla="*/ 840438 w 1008530"/>
                  <a:gd name="connsiteY1" fmla="*/ 0 h 7082125"/>
                  <a:gd name="connsiteX2" fmla="*/ 1008530 w 1008530"/>
                  <a:gd name="connsiteY2" fmla="*/ 168092 h 7082125"/>
                  <a:gd name="connsiteX3" fmla="*/ 1008530 w 1008530"/>
                  <a:gd name="connsiteY3" fmla="*/ 7082125 h 7082125"/>
                  <a:gd name="connsiteX4" fmla="*/ 0 w 1008530"/>
                  <a:gd name="connsiteY4" fmla="*/ 7082125 h 7082125"/>
                  <a:gd name="connsiteX5" fmla="*/ 0 w 1008530"/>
                  <a:gd name="connsiteY5" fmla="*/ 0 h 7082125"/>
                  <a:gd name="connsiteX0" fmla="*/ 0 w 1030942"/>
                  <a:gd name="connsiteY0" fmla="*/ 0 h 7664829"/>
                  <a:gd name="connsiteX1" fmla="*/ 862850 w 1030942"/>
                  <a:gd name="connsiteY1" fmla="*/ 582704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481848 w 1030942"/>
                  <a:gd name="connsiteY1" fmla="*/ 481857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53353"/>
                  <a:gd name="connsiteY0" fmla="*/ 0 h 7664829"/>
                  <a:gd name="connsiteX1" fmla="*/ 549083 w 1053353"/>
                  <a:gd name="connsiteY1" fmla="*/ 403418 h 7664829"/>
                  <a:gd name="connsiteX2" fmla="*/ 1053353 w 1053353"/>
                  <a:gd name="connsiteY2" fmla="*/ 2386858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493053 w 1053353"/>
                  <a:gd name="connsiteY1" fmla="*/ 851654 h 7664829"/>
                  <a:gd name="connsiteX2" fmla="*/ 1053353 w 1053353"/>
                  <a:gd name="connsiteY2" fmla="*/ 2386858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42148"/>
                  <a:gd name="connsiteY0" fmla="*/ 0 h 7664829"/>
                  <a:gd name="connsiteX1" fmla="*/ 493053 w 1042148"/>
                  <a:gd name="connsiteY1" fmla="*/ 851654 h 7664829"/>
                  <a:gd name="connsiteX2" fmla="*/ 1042148 w 1042148"/>
                  <a:gd name="connsiteY2" fmla="*/ 3104035 h 7664829"/>
                  <a:gd name="connsiteX3" fmla="*/ 1030942 w 1042148"/>
                  <a:gd name="connsiteY3" fmla="*/ 7664829 h 7664829"/>
                  <a:gd name="connsiteX4" fmla="*/ 22412 w 1042148"/>
                  <a:gd name="connsiteY4" fmla="*/ 7664829 h 7664829"/>
                  <a:gd name="connsiteX5" fmla="*/ 0 w 1042148"/>
                  <a:gd name="connsiteY5" fmla="*/ 0 h 7664829"/>
                  <a:gd name="connsiteX0" fmla="*/ 0 w 1042148"/>
                  <a:gd name="connsiteY0" fmla="*/ 0 h 7664829"/>
                  <a:gd name="connsiteX1" fmla="*/ 493052 w 1042148"/>
                  <a:gd name="connsiteY1" fmla="*/ 1333508 h 7664829"/>
                  <a:gd name="connsiteX2" fmla="*/ 1042148 w 1042148"/>
                  <a:gd name="connsiteY2" fmla="*/ 3104035 h 7664829"/>
                  <a:gd name="connsiteX3" fmla="*/ 1030942 w 1042148"/>
                  <a:gd name="connsiteY3" fmla="*/ 7664829 h 7664829"/>
                  <a:gd name="connsiteX4" fmla="*/ 22412 w 1042148"/>
                  <a:gd name="connsiteY4" fmla="*/ 7664829 h 7664829"/>
                  <a:gd name="connsiteX5" fmla="*/ 0 w 1042148"/>
                  <a:gd name="connsiteY5" fmla="*/ 0 h 7664829"/>
                  <a:gd name="connsiteX0" fmla="*/ 0 w 1053353"/>
                  <a:gd name="connsiteY0" fmla="*/ 0 h 7664829"/>
                  <a:gd name="connsiteX1" fmla="*/ 493052 w 1053353"/>
                  <a:gd name="connsiteY1" fmla="*/ 1333508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571492 w 1053353"/>
                  <a:gd name="connsiteY1" fmla="*/ 1692100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571492 w 1053353"/>
                  <a:gd name="connsiteY1" fmla="*/ 1692100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5"/>
                  <a:gd name="connsiteY0" fmla="*/ 0 h 7664829"/>
                  <a:gd name="connsiteX1" fmla="*/ 739579 w 1053355"/>
                  <a:gd name="connsiteY1" fmla="*/ 2980779 h 7664829"/>
                  <a:gd name="connsiteX2" fmla="*/ 1053355 w 1053355"/>
                  <a:gd name="connsiteY2" fmla="*/ 6055739 h 7664829"/>
                  <a:gd name="connsiteX3" fmla="*/ 1030942 w 1053355"/>
                  <a:gd name="connsiteY3" fmla="*/ 7664829 h 7664829"/>
                  <a:gd name="connsiteX4" fmla="*/ 22412 w 1053355"/>
                  <a:gd name="connsiteY4" fmla="*/ 7664829 h 7664829"/>
                  <a:gd name="connsiteX5" fmla="*/ 0 w 1053355"/>
                  <a:gd name="connsiteY5" fmla="*/ 0 h 7664829"/>
                  <a:gd name="connsiteX0" fmla="*/ 0 w 1053355"/>
                  <a:gd name="connsiteY0" fmla="*/ 0 h 7664829"/>
                  <a:gd name="connsiteX1" fmla="*/ 705962 w 1053355"/>
                  <a:gd name="connsiteY1" fmla="*/ 3042263 h 7664829"/>
                  <a:gd name="connsiteX2" fmla="*/ 1053355 w 1053355"/>
                  <a:gd name="connsiteY2" fmla="*/ 6055739 h 7664829"/>
                  <a:gd name="connsiteX3" fmla="*/ 1030942 w 1053355"/>
                  <a:gd name="connsiteY3" fmla="*/ 7664829 h 7664829"/>
                  <a:gd name="connsiteX4" fmla="*/ 22412 w 1053355"/>
                  <a:gd name="connsiteY4" fmla="*/ 7664829 h 7664829"/>
                  <a:gd name="connsiteX5" fmla="*/ 0 w 1053355"/>
                  <a:gd name="connsiteY5" fmla="*/ 0 h 7664829"/>
                  <a:gd name="connsiteX0" fmla="*/ 59899 w 1031472"/>
                  <a:gd name="connsiteY0" fmla="*/ 1 h 7899111"/>
                  <a:gd name="connsiteX1" fmla="*/ 684079 w 1031472"/>
                  <a:gd name="connsiteY1" fmla="*/ 3276545 h 7899111"/>
                  <a:gd name="connsiteX2" fmla="*/ 1031472 w 1031472"/>
                  <a:gd name="connsiteY2" fmla="*/ 6290021 h 7899111"/>
                  <a:gd name="connsiteX3" fmla="*/ 1009059 w 1031472"/>
                  <a:gd name="connsiteY3" fmla="*/ 7899111 h 7899111"/>
                  <a:gd name="connsiteX4" fmla="*/ 529 w 1031472"/>
                  <a:gd name="connsiteY4" fmla="*/ 7899111 h 7899111"/>
                  <a:gd name="connsiteX5" fmla="*/ 59899 w 1031472"/>
                  <a:gd name="connsiteY5" fmla="*/ 1 h 7899111"/>
                  <a:gd name="connsiteX0" fmla="*/ 2158 w 973731"/>
                  <a:gd name="connsiteY0" fmla="*/ 0 h 7899110"/>
                  <a:gd name="connsiteX1" fmla="*/ 626338 w 973731"/>
                  <a:gd name="connsiteY1" fmla="*/ 3276544 h 7899110"/>
                  <a:gd name="connsiteX2" fmla="*/ 973731 w 973731"/>
                  <a:gd name="connsiteY2" fmla="*/ 6290020 h 7899110"/>
                  <a:gd name="connsiteX3" fmla="*/ 951318 w 973731"/>
                  <a:gd name="connsiteY3" fmla="*/ 7899110 h 7899110"/>
                  <a:gd name="connsiteX4" fmla="*/ 2157 w 973731"/>
                  <a:gd name="connsiteY4" fmla="*/ 7496094 h 7899110"/>
                  <a:gd name="connsiteX5" fmla="*/ 2158 w 973731"/>
                  <a:gd name="connsiteY5" fmla="*/ 0 h 7899110"/>
                  <a:gd name="connsiteX0" fmla="*/ 2158 w 973731"/>
                  <a:gd name="connsiteY0" fmla="*/ 0 h 7496094"/>
                  <a:gd name="connsiteX1" fmla="*/ 626338 w 973731"/>
                  <a:gd name="connsiteY1" fmla="*/ 3276544 h 7496094"/>
                  <a:gd name="connsiteX2" fmla="*/ 973731 w 973731"/>
                  <a:gd name="connsiteY2" fmla="*/ 6290020 h 7496094"/>
                  <a:gd name="connsiteX3" fmla="*/ 905033 w 973731"/>
                  <a:gd name="connsiteY3" fmla="*/ 7496093 h 7496094"/>
                  <a:gd name="connsiteX4" fmla="*/ 2157 w 973731"/>
                  <a:gd name="connsiteY4" fmla="*/ 7496094 h 7496094"/>
                  <a:gd name="connsiteX5" fmla="*/ 2158 w 973731"/>
                  <a:gd name="connsiteY5" fmla="*/ 0 h 7496094"/>
                  <a:gd name="connsiteX0" fmla="*/ 2158 w 930995"/>
                  <a:gd name="connsiteY0" fmla="*/ 0 h 7496094"/>
                  <a:gd name="connsiteX1" fmla="*/ 626338 w 930995"/>
                  <a:gd name="connsiteY1" fmla="*/ 3276544 h 7496094"/>
                  <a:gd name="connsiteX2" fmla="*/ 905033 w 930995"/>
                  <a:gd name="connsiteY2" fmla="*/ 7496093 h 7496094"/>
                  <a:gd name="connsiteX3" fmla="*/ 2157 w 930995"/>
                  <a:gd name="connsiteY3" fmla="*/ 7496094 h 7496094"/>
                  <a:gd name="connsiteX4" fmla="*/ 2158 w 930995"/>
                  <a:gd name="connsiteY4" fmla="*/ 0 h 749609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30995" h="7496094">
                    <a:moveTo>
                      <a:pt x="2158" y="0"/>
                    </a:moveTo>
                    <a:cubicBezTo>
                      <a:pt x="259892" y="216647"/>
                      <a:pt x="166898" y="1737616"/>
                      <a:pt x="626338" y="3276544"/>
                    </a:cubicBezTo>
                    <a:cubicBezTo>
                      <a:pt x="776817" y="4525893"/>
                      <a:pt x="1009063" y="6792835"/>
                      <a:pt x="905033" y="7496093"/>
                    </a:cubicBezTo>
                    <a:lnTo>
                      <a:pt x="2157" y="7496094"/>
                    </a:lnTo>
                    <a:cubicBezTo>
                      <a:pt x="-5314" y="4941151"/>
                      <a:pt x="9629" y="2554943"/>
                      <a:pt x="2158" y="0"/>
                    </a:cubicBezTo>
                    <a:close/>
                  </a:path>
                </a:pathLst>
              </a:custGeom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12700"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grpSp>
            <xdr:nvGrpSpPr>
              <xdr:cNvPr id="2973" name="Группа 1"/>
              <xdr:cNvGrpSpPr>
                <a:grpSpLocks/>
              </xdr:cNvGrpSpPr>
            </xdr:nvGrpSpPr>
            <xdr:grpSpPr bwMode="auto">
              <a:xfrm>
                <a:off x="3814874" y="8567824"/>
                <a:ext cx="268803" cy="521320"/>
                <a:chOff x="3244588" y="8091791"/>
                <a:chExt cx="271334" cy="493371"/>
              </a:xfrm>
            </xdr:grpSpPr>
            <xdr:sp macro="" textlink="">
              <xdr:nvSpPr>
                <xdr:cNvPr id="50" name="Прямоугольник с двумя вырезанными соседними углами 49"/>
                <xdr:cNvSpPr/>
              </xdr:nvSpPr>
              <xdr:spPr bwMode="auto">
                <a:xfrm rot="5400000">
                  <a:off x="3142973" y="8210287"/>
                  <a:ext cx="491926" cy="259277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5" name="Блок-схема: знак завершения 44"/>
                <xdr:cNvSpPr/>
              </xdr:nvSpPr>
              <xdr:spPr bwMode="auto">
                <a:xfrm>
                  <a:off x="3288106" y="8263901"/>
                  <a:ext cx="172851" cy="4472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6" name="Блок-схема: знак завершения 45"/>
                <xdr:cNvSpPr/>
              </xdr:nvSpPr>
              <xdr:spPr bwMode="auto">
                <a:xfrm>
                  <a:off x="3288106" y="8147628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7" name="Блок-схема: знак завершения 46"/>
                <xdr:cNvSpPr/>
              </xdr:nvSpPr>
              <xdr:spPr bwMode="auto">
                <a:xfrm>
                  <a:off x="3288106" y="8469615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8" name="Блок-схема: знак завершения 47"/>
                <xdr:cNvSpPr/>
              </xdr:nvSpPr>
              <xdr:spPr bwMode="auto">
                <a:xfrm>
                  <a:off x="3288106" y="8362286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</xdr:grpSp>
        <xdr:sp macro="" textlink="">
          <xdr:nvSpPr>
            <xdr:cNvPr id="56" name="Блок-схема: узел 55"/>
            <xdr:cNvSpPr/>
          </xdr:nvSpPr>
          <xdr:spPr bwMode="auto">
            <a:xfrm>
              <a:off x="3991172" y="8711881"/>
              <a:ext cx="256858" cy="255171"/>
            </a:xfrm>
            <a:prstGeom prst="flowChartConnector">
              <a:avLst/>
            </a:prstGeom>
            <a:noFill/>
            <a:ln>
              <a:solidFill>
                <a:schemeClr val="tx1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47</xdr:col>
      <xdr:colOff>292861</xdr:colOff>
      <xdr:row>30</xdr:row>
      <xdr:rowOff>0</xdr:rowOff>
    </xdr:from>
    <xdr:to>
      <xdr:col>48</xdr:col>
      <xdr:colOff>132343</xdr:colOff>
      <xdr:row>31</xdr:row>
      <xdr:rowOff>0</xdr:rowOff>
    </xdr:to>
    <xdr:sp macro="" textlink="">
      <xdr:nvSpPr>
        <xdr:cNvPr id="113" name="Прямоугольник с двумя вырезанными соседними углами 130"/>
        <xdr:cNvSpPr/>
      </xdr:nvSpPr>
      <xdr:spPr bwMode="auto">
        <a:xfrm>
          <a:off x="15689743" y="8594912"/>
          <a:ext cx="142041" cy="549088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51</xdr:col>
      <xdr:colOff>1295400</xdr:colOff>
      <xdr:row>28</xdr:row>
      <xdr:rowOff>47625</xdr:rowOff>
    </xdr:from>
    <xdr:to>
      <xdr:col>51</xdr:col>
      <xdr:colOff>1619250</xdr:colOff>
      <xdr:row>31</xdr:row>
      <xdr:rowOff>38100</xdr:rowOff>
    </xdr:to>
    <xdr:grpSp>
      <xdr:nvGrpSpPr>
        <xdr:cNvPr id="2910" name="Группа 86"/>
        <xdr:cNvGrpSpPr>
          <a:grpSpLocks/>
        </xdr:cNvGrpSpPr>
      </xdr:nvGrpSpPr>
      <xdr:grpSpPr bwMode="auto">
        <a:xfrm>
          <a:off x="17964150" y="8524875"/>
          <a:ext cx="323850" cy="902154"/>
          <a:chOff x="13831386" y="8345264"/>
          <a:chExt cx="265138" cy="887863"/>
        </a:xfrm>
      </xdr:grpSpPr>
      <xdr:grpSp>
        <xdr:nvGrpSpPr>
          <xdr:cNvPr id="2961" name="Группа 87"/>
          <xdr:cNvGrpSpPr>
            <a:grpSpLocks/>
          </xdr:cNvGrpSpPr>
        </xdr:nvGrpSpPr>
        <xdr:grpSpPr bwMode="auto">
          <a:xfrm>
            <a:off x="13831386" y="8677275"/>
            <a:ext cx="265138" cy="555852"/>
            <a:chOff x="3244588" y="8091791"/>
            <a:chExt cx="271334" cy="493371"/>
          </a:xfrm>
        </xdr:grpSpPr>
        <xdr:sp macro="" textlink="">
          <xdr:nvSpPr>
            <xdr:cNvPr id="90" name="Прямоугольник с двумя вырезанными соседними углами 130"/>
            <xdr:cNvSpPr/>
          </xdr:nvSpPr>
          <xdr:spPr bwMode="auto">
            <a:xfrm rot="5400000">
              <a:off x="3134515" y="8203755"/>
              <a:ext cx="491480" cy="27133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1" name="Блок-схема: знак завершения 131"/>
            <xdr:cNvSpPr/>
          </xdr:nvSpPr>
          <xdr:spPr bwMode="auto">
            <a:xfrm>
              <a:off x="3284490" y="8263158"/>
              <a:ext cx="175569" cy="50843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2" name="Блок-схема: знак завершения 132"/>
            <xdr:cNvSpPr/>
          </xdr:nvSpPr>
          <xdr:spPr bwMode="auto">
            <a:xfrm>
              <a:off x="3284490" y="8152999"/>
              <a:ext cx="167589" cy="4236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3" name="Блок-схема: знак завершения 133"/>
            <xdr:cNvSpPr/>
          </xdr:nvSpPr>
          <xdr:spPr bwMode="auto">
            <a:xfrm>
              <a:off x="3284490" y="8475003"/>
              <a:ext cx="175569" cy="4236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5" name="Блок-схема: знак завершения 134"/>
            <xdr:cNvSpPr/>
          </xdr:nvSpPr>
          <xdr:spPr bwMode="auto">
            <a:xfrm>
              <a:off x="3284490" y="8364844"/>
              <a:ext cx="175569" cy="50843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  <xdr:cxnSp macro="">
        <xdr:nvCxnSpPr>
          <xdr:cNvPr id="89" name="Прямая со стрелкой 88"/>
          <xdr:cNvCxnSpPr/>
        </xdr:nvCxnSpPr>
        <xdr:spPr>
          <a:xfrm>
            <a:off x="13956157" y="8345264"/>
            <a:ext cx="0" cy="286407"/>
          </a:xfrm>
          <a:prstGeom prst="straightConnector1">
            <a:avLst/>
          </a:prstGeom>
          <a:ln w="63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285750</xdr:colOff>
      <xdr:row>27</xdr:row>
      <xdr:rowOff>752475</xdr:rowOff>
    </xdr:from>
    <xdr:to>
      <xdr:col>35</xdr:col>
      <xdr:colOff>161925</xdr:colOff>
      <xdr:row>31</xdr:row>
      <xdr:rowOff>9525</xdr:rowOff>
    </xdr:to>
    <xdr:grpSp>
      <xdr:nvGrpSpPr>
        <xdr:cNvPr id="2911" name="Группа 142"/>
        <xdr:cNvGrpSpPr>
          <a:grpSpLocks/>
        </xdr:cNvGrpSpPr>
      </xdr:nvGrpSpPr>
      <xdr:grpSpPr bwMode="auto">
        <a:xfrm>
          <a:off x="10817679" y="8467725"/>
          <a:ext cx="815067" cy="930729"/>
          <a:chOff x="11367372" y="8325482"/>
          <a:chExt cx="805064" cy="907645"/>
        </a:xfrm>
      </xdr:grpSpPr>
      <xdr:grpSp>
        <xdr:nvGrpSpPr>
          <xdr:cNvPr id="2950" name="Группа 143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146" name="Прямоугольник с одним вырезанным углом 82">
              <a:extLst/>
            </xdr:cNvPr>
            <xdr:cNvSpPr/>
          </xdr:nvSpPr>
          <xdr:spPr>
            <a:xfrm rot="16200000">
              <a:off x="11472966" y="8661671"/>
              <a:ext cx="277476" cy="589756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53" name="Группа 146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54" name="Группа 147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150" name="Прямоугольник с двумя вырезанными соседними углами 149"/>
                <xdr:cNvSpPr/>
              </xdr:nvSpPr>
              <xdr:spPr bwMode="auto">
                <a:xfrm rot="5400000">
                  <a:off x="3144398" y="8198712"/>
                  <a:ext cx="489726" cy="283174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1" name="Блок-схема: знак завершения 150"/>
                <xdr:cNvSpPr/>
              </xdr:nvSpPr>
              <xdr:spPr bwMode="auto">
                <a:xfrm>
                  <a:off x="3285431" y="8264307"/>
                  <a:ext cx="188783" cy="5066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2" name="Блок-схема: знак завершения 151"/>
                <xdr:cNvSpPr/>
              </xdr:nvSpPr>
              <xdr:spPr bwMode="auto">
                <a:xfrm>
                  <a:off x="3285431" y="8154541"/>
                  <a:ext cx="179344" cy="42218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3" name="Блок-схема: знак завершения 152"/>
                <xdr:cNvSpPr/>
              </xdr:nvSpPr>
              <xdr:spPr bwMode="auto">
                <a:xfrm>
                  <a:off x="3285431" y="8475396"/>
                  <a:ext cx="188783" cy="42218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4" name="Блок-схема: знак завершения 153"/>
                <xdr:cNvSpPr/>
              </xdr:nvSpPr>
              <xdr:spPr bwMode="auto">
                <a:xfrm>
                  <a:off x="3285431" y="8365630"/>
                  <a:ext cx="188783" cy="5066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149" name="Блок-схема: узел 148"/>
              <xdr:cNvSpPr/>
            </xdr:nvSpPr>
            <xdr:spPr bwMode="auto">
              <a:xfrm>
                <a:off x="6642975" y="8692500"/>
                <a:ext cx="253005" cy="250623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145" name="Прямая со стрелкой 144"/>
          <xdr:cNvCxnSpPr/>
        </xdr:nvCxnSpPr>
        <xdr:spPr>
          <a:xfrm>
            <a:off x="11872877" y="8325482"/>
            <a:ext cx="0" cy="330912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51</xdr:col>
      <xdr:colOff>610960</xdr:colOff>
      <xdr:row>30</xdr:row>
      <xdr:rowOff>182335</xdr:rowOff>
    </xdr:from>
    <xdr:to>
      <xdr:col>51</xdr:col>
      <xdr:colOff>963385</xdr:colOff>
      <xdr:row>31</xdr:row>
      <xdr:rowOff>172810</xdr:rowOff>
    </xdr:to>
    <xdr:grpSp>
      <xdr:nvGrpSpPr>
        <xdr:cNvPr id="2912" name="Группа 107"/>
        <xdr:cNvGrpSpPr>
          <a:grpSpLocks/>
        </xdr:cNvGrpSpPr>
      </xdr:nvGrpSpPr>
      <xdr:grpSpPr bwMode="auto">
        <a:xfrm>
          <a:off x="17279710" y="9013371"/>
          <a:ext cx="352425" cy="548368"/>
          <a:chOff x="6480604" y="8587999"/>
          <a:chExt cx="480503" cy="507279"/>
        </a:xfrm>
      </xdr:grpSpPr>
      <xdr:sp macro="" textlink="">
        <xdr:nvSpPr>
          <xdr:cNvPr id="116" name="Прямоугольник с двумя вырезанными соседними углами 115"/>
          <xdr:cNvSpPr/>
        </xdr:nvSpPr>
        <xdr:spPr bwMode="auto">
          <a:xfrm rot="5400000">
            <a:off x="6415270" y="8653333"/>
            <a:ext cx="507279" cy="376610"/>
          </a:xfrm>
          <a:prstGeom prst="snip2SameRect">
            <a:avLst>
              <a:gd name="adj1" fmla="val 49032"/>
              <a:gd name="adj2" fmla="val 0"/>
            </a:avLst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15" name="Блок-схема: узел 114"/>
          <xdr:cNvSpPr/>
        </xdr:nvSpPr>
        <xdr:spPr bwMode="auto">
          <a:xfrm>
            <a:off x="6701376" y="8757092"/>
            <a:ext cx="259731" cy="160193"/>
          </a:xfrm>
          <a:prstGeom prst="flowChartConnector">
            <a:avLst/>
          </a:prstGeom>
          <a:solidFill>
            <a:schemeClr val="tx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45</xdr:col>
      <xdr:colOff>66675</xdr:colOff>
      <xdr:row>27</xdr:row>
      <xdr:rowOff>752475</xdr:rowOff>
    </xdr:from>
    <xdr:to>
      <xdr:col>46</xdr:col>
      <xdr:colOff>114300</xdr:colOff>
      <xdr:row>30</xdr:row>
      <xdr:rowOff>542925</xdr:rowOff>
    </xdr:to>
    <xdr:grpSp>
      <xdr:nvGrpSpPr>
        <xdr:cNvPr id="2913" name="Группа 68"/>
        <xdr:cNvGrpSpPr>
          <a:grpSpLocks/>
        </xdr:cNvGrpSpPr>
      </xdr:nvGrpSpPr>
      <xdr:grpSpPr bwMode="auto">
        <a:xfrm>
          <a:off x="14667139" y="8467725"/>
          <a:ext cx="415018" cy="906236"/>
          <a:chOff x="11757460" y="8325482"/>
          <a:chExt cx="480024" cy="907628"/>
        </a:xfrm>
      </xdr:grpSpPr>
      <xdr:grpSp>
        <xdr:nvGrpSpPr>
          <xdr:cNvPr id="2939" name="Группа 69"/>
          <xdr:cNvGrpSpPr>
            <a:grpSpLocks/>
          </xdr:cNvGrpSpPr>
        </xdr:nvGrpSpPr>
        <xdr:grpSpPr bwMode="auto">
          <a:xfrm>
            <a:off x="11757460" y="8697279"/>
            <a:ext cx="480024" cy="535831"/>
            <a:chOff x="6480603" y="8588000"/>
            <a:chExt cx="480504" cy="507279"/>
          </a:xfrm>
        </xdr:grpSpPr>
        <xdr:grpSp>
          <xdr:nvGrpSpPr>
            <xdr:cNvPr id="2941" name="Группа 71"/>
            <xdr:cNvGrpSpPr>
              <a:grpSpLocks/>
            </xdr:cNvGrpSpPr>
          </xdr:nvGrpSpPr>
          <xdr:grpSpPr bwMode="auto">
            <a:xfrm>
              <a:off x="6480603" y="8588000"/>
              <a:ext cx="374997" cy="507279"/>
              <a:chOff x="3244585" y="8106631"/>
              <a:chExt cx="377743" cy="478530"/>
            </a:xfrm>
          </xdr:grpSpPr>
          <xdr:sp macro="" textlink="">
            <xdr:nvSpPr>
              <xdr:cNvPr id="75" name="Прямоугольник с двумя вырезанными соседними углами 74"/>
              <xdr:cNvSpPr/>
            </xdr:nvSpPr>
            <xdr:spPr bwMode="auto">
              <a:xfrm rot="5400000">
                <a:off x="3198808" y="8156670"/>
                <a:ext cx="474268" cy="382716"/>
              </a:xfrm>
              <a:prstGeom prst="snip2SameRect">
                <a:avLst>
                  <a:gd name="adj1" fmla="val 49032"/>
                  <a:gd name="adj2" fmla="val 0"/>
                </a:avLst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6" name="Блок-схема: знак завершения 75"/>
              <xdr:cNvSpPr/>
            </xdr:nvSpPr>
            <xdr:spPr bwMode="auto">
              <a:xfrm>
                <a:off x="3278354" y="8257485"/>
                <a:ext cx="180102" cy="51738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7" name="Блок-схема: знак завершения 76"/>
              <xdr:cNvSpPr/>
            </xdr:nvSpPr>
            <xdr:spPr bwMode="auto">
              <a:xfrm>
                <a:off x="3278354" y="8154008"/>
                <a:ext cx="180102" cy="43115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8" name="Блок-схема: знак завершения 77"/>
              <xdr:cNvSpPr/>
            </xdr:nvSpPr>
            <xdr:spPr bwMode="auto">
              <a:xfrm>
                <a:off x="3289610" y="8473061"/>
                <a:ext cx="168845" cy="51738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9" name="Блок-схема: знак завершения 78"/>
              <xdr:cNvSpPr/>
            </xdr:nvSpPr>
            <xdr:spPr bwMode="auto">
              <a:xfrm>
                <a:off x="3278354" y="8369585"/>
                <a:ext cx="180102" cy="43115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  <xdr:sp macro="" textlink="">
          <xdr:nvSpPr>
            <xdr:cNvPr id="74" name="Блок-схема: узел 73"/>
            <xdr:cNvSpPr/>
          </xdr:nvSpPr>
          <xdr:spPr bwMode="auto">
            <a:xfrm>
              <a:off x="6748791" y="8738776"/>
              <a:ext cx="212316" cy="201104"/>
            </a:xfrm>
            <a:prstGeom prst="flowChartConnector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  <xdr:cxnSp macro="">
        <xdr:nvCxnSpPr>
          <xdr:cNvPr id="71" name="Прямая со стрелкой 70"/>
          <xdr:cNvCxnSpPr/>
        </xdr:nvCxnSpPr>
        <xdr:spPr>
          <a:xfrm>
            <a:off x="11880257" y="8325482"/>
            <a:ext cx="0" cy="328291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247650</xdr:colOff>
      <xdr:row>28</xdr:row>
      <xdr:rowOff>161925</xdr:rowOff>
    </xdr:from>
    <xdr:to>
      <xdr:col>47</xdr:col>
      <xdr:colOff>171450</xdr:colOff>
      <xdr:row>31</xdr:row>
      <xdr:rowOff>161925</xdr:rowOff>
    </xdr:to>
    <xdr:pic>
      <xdr:nvPicPr>
        <xdr:cNvPr id="2914" name="Рисунок 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8610600"/>
          <a:ext cx="285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333375</xdr:colOff>
      <xdr:row>27</xdr:row>
      <xdr:rowOff>742950</xdr:rowOff>
    </xdr:from>
    <xdr:to>
      <xdr:col>19</xdr:col>
      <xdr:colOff>161925</xdr:colOff>
      <xdr:row>30</xdr:row>
      <xdr:rowOff>542925</xdr:rowOff>
    </xdr:to>
    <xdr:grpSp>
      <xdr:nvGrpSpPr>
        <xdr:cNvPr id="2915" name="Группа 80"/>
        <xdr:cNvGrpSpPr>
          <a:grpSpLocks/>
        </xdr:cNvGrpSpPr>
      </xdr:nvGrpSpPr>
      <xdr:grpSpPr bwMode="auto">
        <a:xfrm>
          <a:off x="5803446" y="8458200"/>
          <a:ext cx="821872" cy="915761"/>
          <a:chOff x="11367372" y="8325482"/>
          <a:chExt cx="805064" cy="907645"/>
        </a:xfrm>
      </xdr:grpSpPr>
      <xdr:grpSp>
        <xdr:nvGrpSpPr>
          <xdr:cNvPr id="2928" name="Группа 81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84" name="Прямоугольник с одним вырезанным углом 82">
              <a:extLst/>
            </xdr:cNvPr>
            <xdr:cNvSpPr/>
          </xdr:nvSpPr>
          <xdr:spPr>
            <a:xfrm rot="16200000">
              <a:off x="11468116" y="8663600"/>
              <a:ext cx="280397" cy="582977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31" name="Группа 84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32" name="Группа 85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96" name="Прямоугольник с двумя вырезанными соседними углами 95"/>
                <xdr:cNvSpPr/>
              </xdr:nvSpPr>
              <xdr:spPr bwMode="auto">
                <a:xfrm rot="5400000">
                  <a:off x="3130972" y="8202427"/>
                  <a:ext cx="494881" cy="270589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98" name="Блок-схема: знак завершения 97"/>
                <xdr:cNvSpPr/>
              </xdr:nvSpPr>
              <xdr:spPr bwMode="auto">
                <a:xfrm>
                  <a:off x="3280440" y="8260929"/>
                  <a:ext cx="177282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99" name="Блок-схема: знак завершения 98"/>
                <xdr:cNvSpPr/>
              </xdr:nvSpPr>
              <xdr:spPr bwMode="auto">
                <a:xfrm>
                  <a:off x="3280440" y="8150008"/>
                  <a:ext cx="167952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0" name="Блок-схема: знак завершения 99"/>
                <xdr:cNvSpPr/>
              </xdr:nvSpPr>
              <xdr:spPr bwMode="auto">
                <a:xfrm>
                  <a:off x="3280440" y="8474240"/>
                  <a:ext cx="177282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7" name="Блок-схема: знак завершения 116"/>
                <xdr:cNvSpPr/>
              </xdr:nvSpPr>
              <xdr:spPr bwMode="auto">
                <a:xfrm>
                  <a:off x="3280440" y="8363319"/>
                  <a:ext cx="177282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94" name="Блок-схема: узел 93"/>
              <xdr:cNvSpPr/>
            </xdr:nvSpPr>
            <xdr:spPr bwMode="auto">
              <a:xfrm>
                <a:off x="6636621" y="8679215"/>
                <a:ext cx="259359" cy="253261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83" name="Прямая со стрелкой 82"/>
          <xdr:cNvCxnSpPr/>
        </xdr:nvCxnSpPr>
        <xdr:spPr>
          <a:xfrm>
            <a:off x="11876321" y="8325482"/>
            <a:ext cx="0" cy="33439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295275</xdr:colOff>
      <xdr:row>27</xdr:row>
      <xdr:rowOff>752475</xdr:rowOff>
    </xdr:from>
    <xdr:to>
      <xdr:col>27</xdr:col>
      <xdr:colOff>190500</xdr:colOff>
      <xdr:row>31</xdr:row>
      <xdr:rowOff>0</xdr:rowOff>
    </xdr:to>
    <xdr:grpSp>
      <xdr:nvGrpSpPr>
        <xdr:cNvPr id="2916" name="Группа 80"/>
        <xdr:cNvGrpSpPr>
          <a:grpSpLocks/>
        </xdr:cNvGrpSpPr>
      </xdr:nvGrpSpPr>
      <xdr:grpSpPr bwMode="auto">
        <a:xfrm>
          <a:off x="8323489" y="8467725"/>
          <a:ext cx="834118" cy="921204"/>
          <a:chOff x="11367372" y="8325482"/>
          <a:chExt cx="805064" cy="907645"/>
        </a:xfrm>
      </xdr:grpSpPr>
      <xdr:grpSp>
        <xdr:nvGrpSpPr>
          <xdr:cNvPr id="2917" name="Группа 81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103" name="Прямоугольник с одним вырезанным углом 82">
              <a:extLst/>
            </xdr:cNvPr>
            <xdr:cNvSpPr/>
          </xdr:nvSpPr>
          <xdr:spPr>
            <a:xfrm rot="16200000">
              <a:off x="11469378" y="8662339"/>
              <a:ext cx="280397" cy="585501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20" name="Группа 84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21" name="Группа 85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107" name="Прямоугольник с двумя вырезанными соседними углами 106"/>
                <xdr:cNvSpPr/>
              </xdr:nvSpPr>
              <xdr:spPr bwMode="auto">
                <a:xfrm rot="5400000">
                  <a:off x="3134206" y="8203964"/>
                  <a:ext cx="494881" cy="267514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8" name="Блок-схема: знак завершения 107"/>
                <xdr:cNvSpPr/>
              </xdr:nvSpPr>
              <xdr:spPr bwMode="auto">
                <a:xfrm>
                  <a:off x="3284787" y="8260929"/>
                  <a:ext cx="175268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9" name="Блок-схема: знак завершения 108"/>
                <xdr:cNvSpPr/>
              </xdr:nvSpPr>
              <xdr:spPr bwMode="auto">
                <a:xfrm>
                  <a:off x="3284787" y="8150008"/>
                  <a:ext cx="166043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0" name="Блок-схема: знак завершения 109"/>
                <xdr:cNvSpPr/>
              </xdr:nvSpPr>
              <xdr:spPr bwMode="auto">
                <a:xfrm>
                  <a:off x="3284787" y="8474240"/>
                  <a:ext cx="175268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1" name="Блок-схема: знак завершения 110"/>
                <xdr:cNvSpPr/>
              </xdr:nvSpPr>
              <xdr:spPr bwMode="auto">
                <a:xfrm>
                  <a:off x="3284787" y="8363319"/>
                  <a:ext cx="175268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106" name="Блок-схема: узел 105"/>
              <xdr:cNvSpPr/>
            </xdr:nvSpPr>
            <xdr:spPr bwMode="auto">
              <a:xfrm>
                <a:off x="6639568" y="8679215"/>
                <a:ext cx="256412" cy="253261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102" name="Прямая со стрелкой 101"/>
          <xdr:cNvCxnSpPr/>
        </xdr:nvCxnSpPr>
        <xdr:spPr>
          <a:xfrm>
            <a:off x="11879685" y="8325482"/>
            <a:ext cx="0" cy="33439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222914</xdr:colOff>
      <xdr:row>25</xdr:row>
      <xdr:rowOff>93936</xdr:rowOff>
    </xdr:from>
    <xdr:to>
      <xdr:col>6</xdr:col>
      <xdr:colOff>90003</xdr:colOff>
      <xdr:row>26</xdr:row>
      <xdr:rowOff>67760</xdr:rowOff>
    </xdr:to>
    <xdr:sp macro="" textlink="">
      <xdr:nvSpPr>
        <xdr:cNvPr id="2" name="Freeform 136"/>
        <xdr:cNvSpPr>
          <a:spLocks/>
        </xdr:cNvSpPr>
      </xdr:nvSpPr>
      <xdr:spPr bwMode="auto">
        <a:xfrm rot="5400000" flipV="1">
          <a:off x="3441384" y="6076616"/>
          <a:ext cx="13574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54336</xdr:colOff>
      <xdr:row>34</xdr:row>
      <xdr:rowOff>89863</xdr:rowOff>
    </xdr:from>
    <xdr:to>
      <xdr:col>7</xdr:col>
      <xdr:colOff>466169</xdr:colOff>
      <xdr:row>38</xdr:row>
      <xdr:rowOff>65026</xdr:rowOff>
    </xdr:to>
    <xdr:sp macro="" textlink="">
      <xdr:nvSpPr>
        <xdr:cNvPr id="3" name="TextBox 2170"/>
        <xdr:cNvSpPr txBox="1"/>
      </xdr:nvSpPr>
      <xdr:spPr>
        <a:xfrm flipH="1">
          <a:off x="3711936" y="5595313"/>
          <a:ext cx="1021433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 х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З – 45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6</xdr:col>
      <xdr:colOff>62520</xdr:colOff>
      <xdr:row>29</xdr:row>
      <xdr:rowOff>44549</xdr:rowOff>
    </xdr:from>
    <xdr:to>
      <xdr:col>8</xdr:col>
      <xdr:colOff>0</xdr:colOff>
      <xdr:row>35</xdr:row>
      <xdr:rowOff>49548</xdr:rowOff>
    </xdr:to>
    <xdr:sp macro="" textlink="">
      <xdr:nvSpPr>
        <xdr:cNvPr id="4" name="TextBox 2170"/>
        <xdr:cNvSpPr txBox="1"/>
      </xdr:nvSpPr>
      <xdr:spPr>
        <a:xfrm flipH="1">
          <a:off x="3720120" y="4740374"/>
          <a:ext cx="1156680" cy="976549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ВЗД </a:t>
          </a:r>
          <a:r>
            <a:rPr lang="en-US" sz="600" b="1" i="1">
              <a:latin typeface="Arial" pitchFamily="34" charset="0"/>
              <a:cs typeface="Arial" pitchFamily="34" charset="0"/>
            </a:rPr>
            <a:t>BICO</a:t>
          </a:r>
          <a:r>
            <a:rPr lang="ru-RU" sz="600" b="1" i="1">
              <a:latin typeface="Arial" pitchFamily="34" charset="0"/>
              <a:cs typeface="Arial" pitchFamily="34" charset="0"/>
            </a:rPr>
            <a:t> </a:t>
          </a:r>
          <a:r>
            <a:rPr lang="en-US" sz="600" b="1" i="1">
              <a:latin typeface="Arial" pitchFamily="34" charset="0"/>
              <a:cs typeface="Arial" pitchFamily="34" charset="0"/>
            </a:rPr>
            <a:t>SS150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SPIROSTAR 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– АММТ 1-1/2</a:t>
          </a: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Ø</a:t>
          </a:r>
          <a:r>
            <a:rPr lang="ru-RU" sz="600" b="1" i="1">
              <a:latin typeface="Arial" pitchFamily="34" charset="0"/>
              <a:cs typeface="Arial" pitchFamily="34" charset="0"/>
            </a:rPr>
            <a:t> нар. - </a:t>
          </a:r>
          <a:r>
            <a:rPr lang="en-US" sz="600" b="1" i="1">
              <a:latin typeface="Arial" pitchFamily="34" charset="0"/>
              <a:cs typeface="Arial" pitchFamily="34" charset="0"/>
            </a:rPr>
            <a:t>2-1</a:t>
          </a:r>
          <a:r>
            <a:rPr lang="ru-RU" sz="600" b="1" i="1">
              <a:latin typeface="Arial" pitchFamily="34" charset="0"/>
              <a:cs typeface="Arial" pitchFamily="34" charset="0"/>
            </a:rPr>
            <a:t>/8 (54мм)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3 630мм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Макс.расход – 190 л/мин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Макс.крут.момент – 680 об/мин</a:t>
          </a:r>
        </a:p>
        <a:p>
          <a:pPr>
            <a:defRPr/>
          </a:pP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276225</xdr:colOff>
      <xdr:row>2</xdr:row>
      <xdr:rowOff>95250</xdr:rowOff>
    </xdr:from>
    <xdr:to>
      <xdr:col>6</xdr:col>
      <xdr:colOff>9525</xdr:colOff>
      <xdr:row>6</xdr:row>
      <xdr:rowOff>133350</xdr:rowOff>
    </xdr:to>
    <xdr:sp macro="" textlink="">
      <xdr:nvSpPr>
        <xdr:cNvPr id="8992" name="Freeform 366"/>
        <xdr:cNvSpPr>
          <a:spLocks/>
        </xdr:cNvSpPr>
      </xdr:nvSpPr>
      <xdr:spPr bwMode="auto">
        <a:xfrm rot="10800000">
          <a:off x="3324225" y="419100"/>
          <a:ext cx="342900" cy="685800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237966</xdr:colOff>
      <xdr:row>30</xdr:row>
      <xdr:rowOff>80688</xdr:rowOff>
    </xdr:from>
    <xdr:to>
      <xdr:col>6</xdr:col>
      <xdr:colOff>101459</xdr:colOff>
      <xdr:row>31</xdr:row>
      <xdr:rowOff>31994</xdr:rowOff>
    </xdr:to>
    <xdr:sp macro="" textlink="">
      <xdr:nvSpPr>
        <xdr:cNvPr id="6" name="Трапеция 5"/>
        <xdr:cNvSpPr/>
      </xdr:nvSpPr>
      <xdr:spPr>
        <a:xfrm>
          <a:off x="3285966" y="7043463"/>
          <a:ext cx="473093" cy="113231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234656</xdr:colOff>
      <xdr:row>30</xdr:row>
      <xdr:rowOff>49945</xdr:rowOff>
    </xdr:from>
    <xdr:to>
      <xdr:col>6</xdr:col>
      <xdr:colOff>104887</xdr:colOff>
      <xdr:row>30</xdr:row>
      <xdr:rowOff>82378</xdr:rowOff>
    </xdr:to>
    <xdr:sp macro="" textlink="">
      <xdr:nvSpPr>
        <xdr:cNvPr id="7" name="Трапеция 6"/>
        <xdr:cNvSpPr/>
      </xdr:nvSpPr>
      <xdr:spPr>
        <a:xfrm rot="10800000">
          <a:off x="3282656" y="7012720"/>
          <a:ext cx="479831" cy="3243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22</xdr:row>
      <xdr:rowOff>64413</xdr:rowOff>
    </xdr:from>
    <xdr:to>
      <xdr:col>6</xdr:col>
      <xdr:colOff>90103</xdr:colOff>
      <xdr:row>24</xdr:row>
      <xdr:rowOff>16432</xdr:rowOff>
    </xdr:to>
    <xdr:sp macro="" textlink="">
      <xdr:nvSpPr>
        <xdr:cNvPr id="8" name="Freeform 136"/>
        <xdr:cNvSpPr>
          <a:spLocks/>
        </xdr:cNvSpPr>
      </xdr:nvSpPr>
      <xdr:spPr bwMode="auto">
        <a:xfrm rot="5400000" flipV="1">
          <a:off x="3359518" y="3821628"/>
          <a:ext cx="273488" cy="474308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215394</xdr:colOff>
      <xdr:row>22</xdr:row>
      <xdr:rowOff>18103</xdr:rowOff>
    </xdr:from>
    <xdr:to>
      <xdr:col>6</xdr:col>
      <xdr:colOff>85625</xdr:colOff>
      <xdr:row>22</xdr:row>
      <xdr:rowOff>62886</xdr:rowOff>
    </xdr:to>
    <xdr:sp macro="" textlink="">
      <xdr:nvSpPr>
        <xdr:cNvPr id="9" name="Трапеция 8"/>
        <xdr:cNvSpPr/>
      </xdr:nvSpPr>
      <xdr:spPr>
        <a:xfrm>
          <a:off x="3263394" y="5685478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220536</xdr:colOff>
      <xdr:row>24</xdr:row>
      <xdr:rowOff>59246</xdr:rowOff>
    </xdr:from>
    <xdr:to>
      <xdr:col>6</xdr:col>
      <xdr:colOff>90767</xdr:colOff>
      <xdr:row>24</xdr:row>
      <xdr:rowOff>104029</xdr:rowOff>
    </xdr:to>
    <xdr:sp macro="" textlink="">
      <xdr:nvSpPr>
        <xdr:cNvPr id="10" name="Трапеция 9"/>
        <xdr:cNvSpPr/>
      </xdr:nvSpPr>
      <xdr:spPr>
        <a:xfrm>
          <a:off x="3268536" y="6050471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219872</xdr:colOff>
      <xdr:row>24</xdr:row>
      <xdr:rowOff>15807</xdr:rowOff>
    </xdr:from>
    <xdr:to>
      <xdr:col>6</xdr:col>
      <xdr:colOff>90103</xdr:colOff>
      <xdr:row>24</xdr:row>
      <xdr:rowOff>60590</xdr:rowOff>
    </xdr:to>
    <xdr:sp macro="" textlink="">
      <xdr:nvSpPr>
        <xdr:cNvPr id="11" name="Трапеция 10"/>
        <xdr:cNvSpPr/>
      </xdr:nvSpPr>
      <xdr:spPr>
        <a:xfrm rot="10800000">
          <a:off x="3267872" y="6007032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24</xdr:row>
      <xdr:rowOff>107909</xdr:rowOff>
    </xdr:from>
    <xdr:to>
      <xdr:col>6</xdr:col>
      <xdr:colOff>90103</xdr:colOff>
      <xdr:row>25</xdr:row>
      <xdr:rowOff>83918</xdr:rowOff>
    </xdr:to>
    <xdr:sp macro="" textlink="">
      <xdr:nvSpPr>
        <xdr:cNvPr id="12" name="Freeform 136"/>
        <xdr:cNvSpPr>
          <a:spLocks/>
        </xdr:cNvSpPr>
      </xdr:nvSpPr>
      <xdr:spPr bwMode="auto">
        <a:xfrm rot="5400000" flipV="1">
          <a:off x="3440392" y="5929756"/>
          <a:ext cx="137934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223015</xdr:colOff>
      <xdr:row>25</xdr:row>
      <xdr:rowOff>79100</xdr:rowOff>
    </xdr:from>
    <xdr:to>
      <xdr:col>6</xdr:col>
      <xdr:colOff>90104</xdr:colOff>
      <xdr:row>25</xdr:row>
      <xdr:rowOff>100286</xdr:rowOff>
    </xdr:to>
    <xdr:sp macro="" textlink="">
      <xdr:nvSpPr>
        <xdr:cNvPr id="13" name="Freeform 136"/>
        <xdr:cNvSpPr>
          <a:spLocks/>
        </xdr:cNvSpPr>
      </xdr:nvSpPr>
      <xdr:spPr bwMode="auto">
        <a:xfrm rot="5400000" flipV="1">
          <a:off x="3498767" y="6004498"/>
          <a:ext cx="21186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216163</xdr:colOff>
      <xdr:row>26</xdr:row>
      <xdr:rowOff>25674</xdr:rowOff>
    </xdr:from>
    <xdr:to>
      <xdr:col>6</xdr:col>
      <xdr:colOff>100097</xdr:colOff>
      <xdr:row>27</xdr:row>
      <xdr:rowOff>62646</xdr:rowOff>
    </xdr:to>
    <xdr:sp macro="" textlink="">
      <xdr:nvSpPr>
        <xdr:cNvPr id="14" name="Freeform 136"/>
        <xdr:cNvSpPr>
          <a:spLocks/>
        </xdr:cNvSpPr>
      </xdr:nvSpPr>
      <xdr:spPr bwMode="auto">
        <a:xfrm rot="5400000" flipV="1">
          <a:off x="3411481" y="6193431"/>
          <a:ext cx="198897" cy="493534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231629</xdr:colOff>
      <xdr:row>27</xdr:row>
      <xdr:rowOff>59574</xdr:rowOff>
    </xdr:from>
    <xdr:to>
      <xdr:col>6</xdr:col>
      <xdr:colOff>95122</xdr:colOff>
      <xdr:row>29</xdr:row>
      <xdr:rowOff>84199</xdr:rowOff>
    </xdr:to>
    <xdr:sp macro="" textlink="">
      <xdr:nvSpPr>
        <xdr:cNvPr id="15" name="Freeform 136"/>
        <xdr:cNvSpPr>
          <a:spLocks/>
        </xdr:cNvSpPr>
      </xdr:nvSpPr>
      <xdr:spPr bwMode="auto">
        <a:xfrm rot="5400000" flipV="1">
          <a:off x="3341938" y="6474265"/>
          <a:ext cx="348475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231628</xdr:colOff>
      <xdr:row>29</xdr:row>
      <xdr:rowOff>84103</xdr:rowOff>
    </xdr:from>
    <xdr:to>
      <xdr:col>6</xdr:col>
      <xdr:colOff>95121</xdr:colOff>
      <xdr:row>30</xdr:row>
      <xdr:rowOff>49590</xdr:rowOff>
    </xdr:to>
    <xdr:sp macro="" textlink="">
      <xdr:nvSpPr>
        <xdr:cNvPr id="16" name="Freeform 136"/>
        <xdr:cNvSpPr>
          <a:spLocks/>
        </xdr:cNvSpPr>
      </xdr:nvSpPr>
      <xdr:spPr bwMode="auto">
        <a:xfrm rot="5400000" flipV="1">
          <a:off x="3452469" y="6712112"/>
          <a:ext cx="127412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228600</xdr:colOff>
      <xdr:row>31</xdr:row>
      <xdr:rowOff>38100</xdr:rowOff>
    </xdr:from>
    <xdr:to>
      <xdr:col>6</xdr:col>
      <xdr:colOff>104775</xdr:colOff>
      <xdr:row>33</xdr:row>
      <xdr:rowOff>104775</xdr:rowOff>
    </xdr:to>
    <xdr:grpSp>
      <xdr:nvGrpSpPr>
        <xdr:cNvPr id="9004" name="Группа 94"/>
        <xdr:cNvGrpSpPr>
          <a:grpSpLocks/>
        </xdr:cNvGrpSpPr>
      </xdr:nvGrpSpPr>
      <xdr:grpSpPr bwMode="auto">
        <a:xfrm>
          <a:off x="3293165" y="5173317"/>
          <a:ext cx="489088" cy="397980"/>
          <a:chOff x="756475" y="8469686"/>
          <a:chExt cx="491495" cy="499093"/>
        </a:xfrm>
      </xdr:grpSpPr>
      <xdr:sp macro="" textlink="">
        <xdr:nvSpPr>
          <xdr:cNvPr id="18" name="Трапеция 17"/>
          <xdr:cNvSpPr/>
        </xdr:nvSpPr>
        <xdr:spPr>
          <a:xfrm rot="10800000">
            <a:off x="756475" y="8932260"/>
            <a:ext cx="491495" cy="36519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9" name="Freeform 136"/>
          <xdr:cNvSpPr>
            <a:spLocks/>
          </xdr:cNvSpPr>
        </xdr:nvSpPr>
        <xdr:spPr bwMode="auto">
          <a:xfrm rot="5400000" flipV="1">
            <a:off x="971790" y="8264008"/>
            <a:ext cx="60865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Freeform 136"/>
          <xdr:cNvSpPr>
            <a:spLocks/>
          </xdr:cNvSpPr>
        </xdr:nvSpPr>
        <xdr:spPr bwMode="auto">
          <a:xfrm rot="5400000" flipV="1">
            <a:off x="990050" y="8306613"/>
            <a:ext cx="24346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Freeform 136"/>
          <xdr:cNvSpPr>
            <a:spLocks/>
          </xdr:cNvSpPr>
        </xdr:nvSpPr>
        <xdr:spPr bwMode="auto">
          <a:xfrm rot="5400000" flipV="1">
            <a:off x="807455" y="8503917"/>
            <a:ext cx="389536" cy="49149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12979</xdr:colOff>
      <xdr:row>27</xdr:row>
      <xdr:rowOff>120521</xdr:rowOff>
    </xdr:from>
    <xdr:to>
      <xdr:col>6</xdr:col>
      <xdr:colOff>176613</xdr:colOff>
      <xdr:row>28</xdr:row>
      <xdr:rowOff>25762</xdr:rowOff>
    </xdr:to>
    <xdr:sp macro="" textlink="">
      <xdr:nvSpPr>
        <xdr:cNvPr id="22" name="Полилиния 21"/>
        <xdr:cNvSpPr/>
      </xdr:nvSpPr>
      <xdr:spPr>
        <a:xfrm>
          <a:off x="3060979" y="6597521"/>
          <a:ext cx="773234" cy="67166"/>
        </a:xfrm>
        <a:custGeom>
          <a:avLst/>
          <a:gdLst>
            <a:gd name="connsiteX0" fmla="*/ 0 w 929640"/>
            <a:gd name="connsiteY0" fmla="*/ 144780 h 144942"/>
            <a:gd name="connsiteX1" fmla="*/ 190500 w 929640"/>
            <a:gd name="connsiteY1" fmla="*/ 45720 h 144942"/>
            <a:gd name="connsiteX2" fmla="*/ 342900 w 929640"/>
            <a:gd name="connsiteY2" fmla="*/ 121920 h 144942"/>
            <a:gd name="connsiteX3" fmla="*/ 571500 w 929640"/>
            <a:gd name="connsiteY3" fmla="*/ 30480 h 144942"/>
            <a:gd name="connsiteX4" fmla="*/ 800100 w 929640"/>
            <a:gd name="connsiteY4" fmla="*/ 144780 h 144942"/>
            <a:gd name="connsiteX5" fmla="*/ 929640 w 929640"/>
            <a:gd name="connsiteY5" fmla="*/ 0 h 144942"/>
            <a:gd name="connsiteX6" fmla="*/ 929640 w 929640"/>
            <a:gd name="connsiteY6" fmla="*/ 0 h 144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29640" h="144942">
              <a:moveTo>
                <a:pt x="0" y="144780"/>
              </a:moveTo>
              <a:cubicBezTo>
                <a:pt x="66675" y="97155"/>
                <a:pt x="133350" y="49530"/>
                <a:pt x="190500" y="45720"/>
              </a:cubicBezTo>
              <a:cubicBezTo>
                <a:pt x="247650" y="41910"/>
                <a:pt x="279400" y="124460"/>
                <a:pt x="342900" y="121920"/>
              </a:cubicBezTo>
              <a:cubicBezTo>
                <a:pt x="406400" y="119380"/>
                <a:pt x="495300" y="26670"/>
                <a:pt x="571500" y="30480"/>
              </a:cubicBezTo>
              <a:cubicBezTo>
                <a:pt x="647700" y="34290"/>
                <a:pt x="740410" y="149860"/>
                <a:pt x="800100" y="144780"/>
              </a:cubicBezTo>
              <a:cubicBezTo>
                <a:pt x="859790" y="139700"/>
                <a:pt x="929640" y="0"/>
                <a:pt x="929640" y="0"/>
              </a:cubicBezTo>
              <a:lnTo>
                <a:pt x="929640" y="0"/>
              </a:lnTo>
            </a:path>
          </a:pathLst>
        </a:cu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300145</xdr:colOff>
      <xdr:row>28</xdr:row>
      <xdr:rowOff>85652</xdr:rowOff>
    </xdr:from>
    <xdr:to>
      <xdr:col>5</xdr:col>
      <xdr:colOff>345864</xdr:colOff>
      <xdr:row>28</xdr:row>
      <xdr:rowOff>129400</xdr:rowOff>
    </xdr:to>
    <xdr:sp macro="" textlink="">
      <xdr:nvSpPr>
        <xdr:cNvPr id="23" name="Oval 109"/>
        <xdr:cNvSpPr>
          <a:spLocks noChangeArrowheads="1"/>
        </xdr:cNvSpPr>
      </xdr:nvSpPr>
      <xdr:spPr bwMode="auto">
        <a:xfrm flipV="1">
          <a:off x="3348145" y="6724577"/>
          <a:ext cx="45719" cy="43748"/>
        </a:xfrm>
        <a:prstGeom prst="ellipse">
          <a:avLst/>
        </a:prstGeom>
        <a:solidFill>
          <a:schemeClr val="bg1">
            <a:lumMod val="65000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5</xdr:col>
      <xdr:colOff>219075</xdr:colOff>
      <xdr:row>5</xdr:row>
      <xdr:rowOff>9525</xdr:rowOff>
    </xdr:from>
    <xdr:to>
      <xdr:col>6</xdr:col>
      <xdr:colOff>66675</xdr:colOff>
      <xdr:row>11</xdr:row>
      <xdr:rowOff>76200</xdr:rowOff>
    </xdr:to>
    <xdr:grpSp>
      <xdr:nvGrpSpPr>
        <xdr:cNvPr id="9007" name="Группа 101"/>
        <xdr:cNvGrpSpPr>
          <a:grpSpLocks/>
        </xdr:cNvGrpSpPr>
      </xdr:nvGrpSpPr>
      <xdr:grpSpPr bwMode="auto">
        <a:xfrm>
          <a:off x="3283640" y="837786"/>
          <a:ext cx="460513" cy="1060588"/>
          <a:chOff x="5850646" y="3298056"/>
          <a:chExt cx="600128" cy="1818854"/>
        </a:xfrm>
      </xdr:grpSpPr>
      <xdr:grpSp>
        <xdr:nvGrpSpPr>
          <xdr:cNvPr id="9190" name="Группа 102"/>
          <xdr:cNvGrpSpPr>
            <a:grpSpLocks/>
          </xdr:cNvGrpSpPr>
        </xdr:nvGrpSpPr>
        <xdr:grpSpPr bwMode="auto">
          <a:xfrm>
            <a:off x="5857812" y="4271241"/>
            <a:ext cx="592958" cy="845669"/>
            <a:chOff x="3399289" y="2318137"/>
            <a:chExt cx="2589202" cy="3326900"/>
          </a:xfrm>
        </xdr:grpSpPr>
        <xdr:sp macro="" textlink="">
          <xdr:nvSpPr>
            <xdr:cNvPr id="9200" name="Freeform 625"/>
            <xdr:cNvSpPr>
              <a:spLocks/>
            </xdr:cNvSpPr>
          </xdr:nvSpPr>
          <xdr:spPr bwMode="auto">
            <a:xfrm>
              <a:off x="3424474" y="2334887"/>
              <a:ext cx="2523150" cy="126699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1" name="Freeform 625"/>
            <xdr:cNvSpPr>
              <a:spLocks/>
            </xdr:cNvSpPr>
          </xdr:nvSpPr>
          <xdr:spPr bwMode="auto">
            <a:xfrm>
              <a:off x="3402054" y="3419116"/>
              <a:ext cx="2564245" cy="279499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2" name="Freeform 625"/>
            <xdr:cNvSpPr>
              <a:spLocks/>
            </xdr:cNvSpPr>
          </xdr:nvSpPr>
          <xdr:spPr bwMode="auto">
            <a:xfrm>
              <a:off x="3399289" y="2318137"/>
              <a:ext cx="2589202" cy="209090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3" name="Freeform 625"/>
            <xdr:cNvSpPr>
              <a:spLocks/>
            </xdr:cNvSpPr>
          </xdr:nvSpPr>
          <xdr:spPr bwMode="auto">
            <a:xfrm>
              <a:off x="3685660" y="3696501"/>
              <a:ext cx="1985098" cy="107762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4" name="Freeform 1113"/>
            <xdr:cNvSpPr>
              <a:spLocks noChangeAspect="1"/>
            </xdr:cNvSpPr>
          </xdr:nvSpPr>
          <xdr:spPr bwMode="auto">
            <a:xfrm rot="-5400000" flipH="1" flipV="1">
              <a:off x="4640908" y="2723240"/>
              <a:ext cx="48618" cy="2060285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5" name="Freeform 1110"/>
            <xdr:cNvSpPr>
              <a:spLocks noChangeAspect="1"/>
            </xdr:cNvSpPr>
          </xdr:nvSpPr>
          <xdr:spPr bwMode="auto">
            <a:xfrm rot="-5400000" flipH="1" flipV="1">
              <a:off x="4632888" y="278673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6" name="Freeform 1110"/>
            <xdr:cNvSpPr>
              <a:spLocks noChangeAspect="1"/>
            </xdr:cNvSpPr>
          </xdr:nvSpPr>
          <xdr:spPr bwMode="auto">
            <a:xfrm rot="-5400000" flipH="1" flipV="1">
              <a:off x="4632888" y="287225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7" name="Freeform 1110"/>
            <xdr:cNvSpPr>
              <a:spLocks noChangeAspect="1"/>
            </xdr:cNvSpPr>
          </xdr:nvSpPr>
          <xdr:spPr bwMode="auto">
            <a:xfrm rot="-5400000" flipH="1" flipV="1">
              <a:off x="4632888" y="296180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8" name="Freeform 1110"/>
            <xdr:cNvSpPr>
              <a:spLocks noChangeAspect="1"/>
            </xdr:cNvSpPr>
          </xdr:nvSpPr>
          <xdr:spPr bwMode="auto">
            <a:xfrm rot="-5400000" flipH="1" flipV="1">
              <a:off x="4632888" y="304980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9" name="Freeform 1110"/>
            <xdr:cNvSpPr>
              <a:spLocks noChangeAspect="1"/>
            </xdr:cNvSpPr>
          </xdr:nvSpPr>
          <xdr:spPr bwMode="auto">
            <a:xfrm rot="-5400000" flipH="1" flipV="1">
              <a:off x="4628166" y="3130020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0" name="Freeform 1110"/>
            <xdr:cNvSpPr>
              <a:spLocks noChangeAspect="1"/>
            </xdr:cNvSpPr>
          </xdr:nvSpPr>
          <xdr:spPr bwMode="auto">
            <a:xfrm rot="-5400000" flipH="1" flipV="1">
              <a:off x="4628165" y="3213491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1" name="Freeform 1110"/>
            <xdr:cNvSpPr>
              <a:spLocks noChangeAspect="1"/>
            </xdr:cNvSpPr>
          </xdr:nvSpPr>
          <xdr:spPr bwMode="auto">
            <a:xfrm rot="-5400000" flipH="1" flipV="1">
              <a:off x="4615175" y="335804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2" name="Freeform 1110"/>
            <xdr:cNvSpPr>
              <a:spLocks noChangeAspect="1"/>
            </xdr:cNvSpPr>
          </xdr:nvSpPr>
          <xdr:spPr bwMode="auto">
            <a:xfrm rot="-5400000" flipH="1" flipV="1">
              <a:off x="4632888" y="3291886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3" name="Freeform 1110"/>
            <xdr:cNvSpPr>
              <a:spLocks noChangeAspect="1"/>
            </xdr:cNvSpPr>
          </xdr:nvSpPr>
          <xdr:spPr bwMode="auto">
            <a:xfrm rot="-5400000" flipH="1" flipV="1">
              <a:off x="4623992" y="344358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4" name="Freeform 1110"/>
            <xdr:cNvSpPr>
              <a:spLocks noChangeAspect="1"/>
            </xdr:cNvSpPr>
          </xdr:nvSpPr>
          <xdr:spPr bwMode="auto">
            <a:xfrm rot="-5400000" flipH="1" flipV="1">
              <a:off x="4606976" y="3614945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5" name="Freeform 1110"/>
            <xdr:cNvSpPr>
              <a:spLocks noChangeAspect="1"/>
            </xdr:cNvSpPr>
          </xdr:nvSpPr>
          <xdr:spPr bwMode="auto">
            <a:xfrm rot="-5400000" flipH="1" flipV="1">
              <a:off x="4618603" y="3530557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0" name="Freeform 625"/>
            <xdr:cNvSpPr>
              <a:spLocks/>
            </xdr:cNvSpPr>
          </xdr:nvSpPr>
          <xdr:spPr bwMode="auto">
            <a:xfrm>
              <a:off x="3722506" y="4774656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1" name="Freeform 625"/>
            <xdr:cNvSpPr>
              <a:spLocks/>
            </xdr:cNvSpPr>
          </xdr:nvSpPr>
          <xdr:spPr bwMode="auto">
            <a:xfrm>
              <a:off x="3681484" y="4842875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2" name="Freeform 625"/>
            <xdr:cNvSpPr>
              <a:spLocks/>
            </xdr:cNvSpPr>
          </xdr:nvSpPr>
          <xdr:spPr bwMode="auto">
            <a:xfrm>
              <a:off x="3718147" y="5215561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3" name="Freeform 625"/>
            <xdr:cNvSpPr>
              <a:spLocks/>
            </xdr:cNvSpPr>
          </xdr:nvSpPr>
          <xdr:spPr bwMode="auto">
            <a:xfrm>
              <a:off x="3679310" y="5276074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5" name="Скругленный прямоугольник 54"/>
            <xdr:cNvSpPr/>
          </xdr:nvSpPr>
          <xdr:spPr>
            <a:xfrm rot="5400000" flipH="1">
              <a:off x="4672728" y="3814471"/>
              <a:ext cx="65646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56" name="Скругленный прямоугольник 55"/>
            <xdr:cNvSpPr/>
          </xdr:nvSpPr>
          <xdr:spPr>
            <a:xfrm rot="5400000" flipH="1">
              <a:off x="4639908" y="4241168"/>
              <a:ext cx="131293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</xdr:grpSp>
      <xdr:grpSp>
        <xdr:nvGrpSpPr>
          <xdr:cNvPr id="9191" name="Группа 103"/>
          <xdr:cNvGrpSpPr>
            <a:grpSpLocks/>
          </xdr:cNvGrpSpPr>
        </xdr:nvGrpSpPr>
        <xdr:grpSpPr bwMode="auto">
          <a:xfrm>
            <a:off x="5850646" y="3298056"/>
            <a:ext cx="600128" cy="1346690"/>
            <a:chOff x="4585410" y="471488"/>
            <a:chExt cx="562744" cy="1162052"/>
          </a:xfrm>
        </xdr:grpSpPr>
        <xdr:sp macro="" textlink="">
          <xdr:nvSpPr>
            <xdr:cNvPr id="27" name="Freeform 136"/>
            <xdr:cNvSpPr>
              <a:spLocks/>
            </xdr:cNvSpPr>
          </xdr:nvSpPr>
          <xdr:spPr bwMode="auto">
            <a:xfrm rot="5400000" flipV="1">
              <a:off x="4420416" y="838066"/>
              <a:ext cx="892731" cy="56274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8" name="Трапеция 27"/>
            <xdr:cNvSpPr/>
          </xdr:nvSpPr>
          <xdr:spPr>
            <a:xfrm>
              <a:off x="4597134" y="471488"/>
              <a:ext cx="539296" cy="201585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29" name="Овал 28"/>
            <xdr:cNvSpPr/>
          </xdr:nvSpPr>
          <xdr:spPr>
            <a:xfrm flipH="1">
              <a:off x="4597134" y="1393017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0" name="Овал 29"/>
            <xdr:cNvSpPr/>
          </xdr:nvSpPr>
          <xdr:spPr>
            <a:xfrm flipH="1">
              <a:off x="4796439" y="1119438"/>
              <a:ext cx="82067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1" name="Овал 30"/>
            <xdr:cNvSpPr/>
          </xdr:nvSpPr>
          <xdr:spPr>
            <a:xfrm flipH="1">
              <a:off x="4984020" y="831460"/>
              <a:ext cx="70343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2" name="Овал 31"/>
            <xdr:cNvSpPr/>
          </xdr:nvSpPr>
          <xdr:spPr>
            <a:xfrm flipH="1">
              <a:off x="5019192" y="1378618"/>
              <a:ext cx="46895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3" name="Овал 32"/>
            <xdr:cNvSpPr/>
          </xdr:nvSpPr>
          <xdr:spPr>
            <a:xfrm flipH="1">
              <a:off x="4597134" y="831460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4" name="Трапеция 33"/>
            <xdr:cNvSpPr/>
          </xdr:nvSpPr>
          <xdr:spPr>
            <a:xfrm rot="10800000">
              <a:off x="4585410" y="1565804"/>
              <a:ext cx="562744" cy="71994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5</xdr:col>
      <xdr:colOff>228600</xdr:colOff>
      <xdr:row>18</xdr:row>
      <xdr:rowOff>0</xdr:rowOff>
    </xdr:from>
    <xdr:to>
      <xdr:col>6</xdr:col>
      <xdr:colOff>85725</xdr:colOff>
      <xdr:row>21</xdr:row>
      <xdr:rowOff>152400</xdr:rowOff>
    </xdr:to>
    <xdr:grpSp>
      <xdr:nvGrpSpPr>
        <xdr:cNvPr id="9008" name="Группа 134"/>
        <xdr:cNvGrpSpPr>
          <a:grpSpLocks/>
        </xdr:cNvGrpSpPr>
      </xdr:nvGrpSpPr>
      <xdr:grpSpPr bwMode="auto">
        <a:xfrm>
          <a:off x="3293165" y="2981739"/>
          <a:ext cx="470038" cy="649357"/>
          <a:chOff x="755408" y="4811527"/>
          <a:chExt cx="465501" cy="638056"/>
        </a:xfrm>
      </xdr:grpSpPr>
      <xdr:sp macro="" textlink="">
        <xdr:nvSpPr>
          <xdr:cNvPr id="9173" name="Freeform 625"/>
          <xdr:cNvSpPr>
            <a:spLocks/>
          </xdr:cNvSpPr>
        </xdr:nvSpPr>
        <xdr:spPr bwMode="auto">
          <a:xfrm>
            <a:off x="763504" y="4850279"/>
            <a:ext cx="455508" cy="26536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74" name="Freeform 625"/>
          <xdr:cNvSpPr>
            <a:spLocks/>
          </xdr:cNvSpPr>
        </xdr:nvSpPr>
        <xdr:spPr bwMode="auto">
          <a:xfrm>
            <a:off x="755408" y="4811527"/>
            <a:ext cx="465501" cy="38751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75" name="Группа 137"/>
          <xdr:cNvGrpSpPr>
            <a:grpSpLocks/>
          </xdr:cNvGrpSpPr>
        </xdr:nvGrpSpPr>
        <xdr:grpSpPr bwMode="auto">
          <a:xfrm>
            <a:off x="777263" y="5112967"/>
            <a:ext cx="426270" cy="336616"/>
            <a:chOff x="3466781" y="2934064"/>
            <a:chExt cx="970202" cy="672635"/>
          </a:xfrm>
        </xdr:grpSpPr>
        <xdr:sp macro="" textlink="">
          <xdr:nvSpPr>
            <xdr:cNvPr id="61" name="Трапеция 60"/>
            <xdr:cNvSpPr/>
          </xdr:nvSpPr>
          <xdr:spPr>
            <a:xfrm rot="10800000">
              <a:off x="3503529" y="2997754"/>
              <a:ext cx="908136" cy="608945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9177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8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9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80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1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2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3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4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85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86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7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8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9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247650</xdr:colOff>
      <xdr:row>33</xdr:row>
      <xdr:rowOff>142875</xdr:rowOff>
    </xdr:from>
    <xdr:to>
      <xdr:col>6</xdr:col>
      <xdr:colOff>95250</xdr:colOff>
      <xdr:row>37</xdr:row>
      <xdr:rowOff>95250</xdr:rowOff>
    </xdr:to>
    <xdr:grpSp>
      <xdr:nvGrpSpPr>
        <xdr:cNvPr id="9009" name="Группа 152"/>
        <xdr:cNvGrpSpPr>
          <a:grpSpLocks/>
        </xdr:cNvGrpSpPr>
      </xdr:nvGrpSpPr>
      <xdr:grpSpPr bwMode="auto">
        <a:xfrm rot="10800000">
          <a:off x="3312215" y="5609397"/>
          <a:ext cx="460513" cy="614983"/>
          <a:chOff x="2923819" y="1933822"/>
          <a:chExt cx="855481" cy="1370353"/>
        </a:xfrm>
      </xdr:grpSpPr>
      <xdr:sp macro="" textlink="">
        <xdr:nvSpPr>
          <xdr:cNvPr id="9156" name="Freeform 625"/>
          <xdr:cNvSpPr>
            <a:spLocks/>
          </xdr:cNvSpPr>
        </xdr:nvSpPr>
        <xdr:spPr bwMode="auto">
          <a:xfrm>
            <a:off x="2938631" y="2017048"/>
            <a:ext cx="833267" cy="56992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57" name="Freeform 625"/>
          <xdr:cNvSpPr>
            <a:spLocks/>
          </xdr:cNvSpPr>
        </xdr:nvSpPr>
        <xdr:spPr bwMode="auto">
          <a:xfrm>
            <a:off x="2923821" y="1933822"/>
            <a:ext cx="851548" cy="83225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58" name="Группа 155"/>
          <xdr:cNvGrpSpPr>
            <a:grpSpLocks/>
          </xdr:cNvGrpSpPr>
        </xdr:nvGrpSpPr>
        <xdr:grpSpPr bwMode="auto">
          <a:xfrm>
            <a:off x="2923819" y="2581229"/>
            <a:ext cx="855481" cy="722946"/>
            <a:chOff x="3466781" y="2934064"/>
            <a:chExt cx="970202" cy="672635"/>
          </a:xfrm>
        </xdr:grpSpPr>
        <xdr:sp macro="" textlink="">
          <xdr:nvSpPr>
            <xdr:cNvPr id="79" name="Трапеция 78"/>
            <xdr:cNvSpPr/>
          </xdr:nvSpPr>
          <xdr:spPr>
            <a:xfrm rot="10800000">
              <a:off x="3689119" y="2898373"/>
              <a:ext cx="909564" cy="607136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9160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1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2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4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5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6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7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68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69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0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1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2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200025</xdr:colOff>
      <xdr:row>37</xdr:row>
      <xdr:rowOff>123825</xdr:rowOff>
    </xdr:from>
    <xdr:to>
      <xdr:col>6</xdr:col>
      <xdr:colOff>123825</xdr:colOff>
      <xdr:row>47</xdr:row>
      <xdr:rowOff>47625</xdr:rowOff>
    </xdr:to>
    <xdr:grpSp>
      <xdr:nvGrpSpPr>
        <xdr:cNvPr id="9010" name="Группа 170"/>
        <xdr:cNvGrpSpPr>
          <a:grpSpLocks/>
        </xdr:cNvGrpSpPr>
      </xdr:nvGrpSpPr>
      <xdr:grpSpPr bwMode="auto">
        <a:xfrm>
          <a:off x="3264590" y="6252955"/>
          <a:ext cx="536713" cy="1580322"/>
          <a:chOff x="5041827" y="5698274"/>
          <a:chExt cx="700800" cy="2919615"/>
        </a:xfrm>
      </xdr:grpSpPr>
      <xdr:sp macro="" textlink="">
        <xdr:nvSpPr>
          <xdr:cNvPr id="9131" name="Freeform 625"/>
          <xdr:cNvSpPr>
            <a:spLocks/>
          </xdr:cNvSpPr>
        </xdr:nvSpPr>
        <xdr:spPr bwMode="auto">
          <a:xfrm rot="10800000">
            <a:off x="5108017" y="6149419"/>
            <a:ext cx="580649" cy="67763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32" name="Группа 172"/>
          <xdr:cNvGrpSpPr>
            <a:grpSpLocks/>
          </xdr:cNvGrpSpPr>
        </xdr:nvGrpSpPr>
        <xdr:grpSpPr bwMode="auto">
          <a:xfrm rot="10800000">
            <a:off x="5107631" y="5698274"/>
            <a:ext cx="591716" cy="483044"/>
            <a:chOff x="476336" y="1219873"/>
            <a:chExt cx="2771292" cy="2159441"/>
          </a:xfrm>
        </xdr:grpSpPr>
        <xdr:sp macro="" textlink="">
          <xdr:nvSpPr>
            <xdr:cNvPr id="101" name="Трапеция 100"/>
            <xdr:cNvSpPr/>
          </xdr:nvSpPr>
          <xdr:spPr>
            <a:xfrm rot="10800000">
              <a:off x="625296" y="1687374"/>
              <a:ext cx="2696080" cy="1530803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" name="Freeform 1105"/>
            <xdr:cNvSpPr>
              <a:spLocks noChangeAspect="1"/>
            </xdr:cNvSpPr>
          </xdr:nvSpPr>
          <xdr:spPr bwMode="auto">
            <a:xfrm rot="16200000" flipH="1" flipV="1">
              <a:off x="1852486" y="137908"/>
              <a:ext cx="241706" cy="2696080"/>
            </a:xfrm>
            <a:custGeom>
              <a:avLst/>
              <a:gdLst/>
              <a:ahLst/>
              <a:cxnLst>
                <a:cxn ang="0">
                  <a:pos x="284" y="0"/>
                </a:cxn>
                <a:cxn ang="0">
                  <a:pos x="284" y="547"/>
                </a:cxn>
                <a:cxn ang="0">
                  <a:pos x="269" y="513"/>
                </a:cxn>
                <a:cxn ang="0">
                  <a:pos x="0" y="513"/>
                </a:cxn>
                <a:cxn ang="0">
                  <a:pos x="2" y="42"/>
                </a:cxn>
                <a:cxn ang="0">
                  <a:pos x="272" y="42"/>
                </a:cxn>
                <a:cxn ang="0">
                  <a:pos x="284" y="0"/>
                </a:cxn>
              </a:cxnLst>
              <a:rect l="0" t="0" r="r" b="b"/>
              <a:pathLst>
                <a:path w="284" h="547">
                  <a:moveTo>
                    <a:pt x="284" y="0"/>
                  </a:moveTo>
                  <a:lnTo>
                    <a:pt x="284" y="547"/>
                  </a:lnTo>
                  <a:lnTo>
                    <a:pt x="269" y="513"/>
                  </a:lnTo>
                  <a:lnTo>
                    <a:pt x="0" y="513"/>
                  </a:lnTo>
                  <a:lnTo>
                    <a:pt x="2" y="42"/>
                  </a:lnTo>
                  <a:lnTo>
                    <a:pt x="272" y="42"/>
                  </a:lnTo>
                  <a:lnTo>
                    <a:pt x="284" y="0"/>
                  </a:lnTo>
                  <a:close/>
                </a:path>
              </a:pathLst>
            </a:custGeom>
            <a:gradFill rotWithShape="1">
              <a:gsLst>
                <a:gs pos="0">
                  <a:schemeClr val="bg2"/>
                </a:gs>
                <a:gs pos="50000">
                  <a:schemeClr val="bg2">
                    <a:gamma/>
                    <a:tint val="49020"/>
                    <a:invGamma/>
                  </a:schemeClr>
                </a:gs>
                <a:gs pos="100000">
                  <a:schemeClr val="bg2"/>
                </a:gs>
              </a:gsLst>
              <a:lin ang="5400000" scaled="1"/>
            </a:gradFill>
            <a:ln w="3175" cmpd="sng">
              <a:solidFill>
                <a:schemeClr val="tx1"/>
              </a:solidFill>
              <a:round/>
              <a:headEnd/>
              <a:tailEnd/>
            </a:ln>
            <a:effectLst/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9140" name="Freeform 1107"/>
            <xdr:cNvSpPr>
              <a:spLocks noChangeAspect="1"/>
            </xdr:cNvSpPr>
          </xdr:nvSpPr>
          <xdr:spPr bwMode="auto">
            <a:xfrm rot="-5400000" flipH="1" flipV="1">
              <a:off x="1841804" y="339895"/>
              <a:ext cx="5162" cy="2717894"/>
            </a:xfrm>
            <a:custGeom>
              <a:avLst/>
              <a:gdLst>
                <a:gd name="T0" fmla="*/ 0 w 2"/>
                <a:gd name="T1" fmla="*/ 0 h 697"/>
                <a:gd name="T2" fmla="*/ 2147483647 w 2"/>
                <a:gd name="T3" fmla="*/ 2147483647 h 697"/>
                <a:gd name="T4" fmla="*/ 0 60000 65536"/>
                <a:gd name="T5" fmla="*/ 0 60000 65536"/>
                <a:gd name="T6" fmla="*/ 0 w 2"/>
                <a:gd name="T7" fmla="*/ 0 h 697"/>
                <a:gd name="T8" fmla="*/ 2 w 2"/>
                <a:gd name="T9" fmla="*/ 697 h 697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" h="697">
                  <a:moveTo>
                    <a:pt x="0" y="0"/>
                  </a:moveTo>
                  <a:lnTo>
                    <a:pt x="2" y="697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1" name="Freeform 1108"/>
            <xdr:cNvSpPr>
              <a:spLocks noChangeAspect="1"/>
            </xdr:cNvSpPr>
          </xdr:nvSpPr>
          <xdr:spPr bwMode="auto">
            <a:xfrm rot="-5400000" flipH="1" flipV="1">
              <a:off x="1716009" y="717626"/>
              <a:ext cx="280507" cy="2615247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2" name="Freeform 1110"/>
            <xdr:cNvSpPr>
              <a:spLocks noChangeAspect="1"/>
            </xdr:cNvSpPr>
          </xdr:nvSpPr>
          <xdr:spPr bwMode="auto">
            <a:xfrm rot="-5400000" flipH="1" flipV="1">
              <a:off x="1686891" y="1026332"/>
              <a:ext cx="327982" cy="251996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3" name="Line 1111"/>
            <xdr:cNvSpPr>
              <a:spLocks noChangeAspect="1" noChangeShapeType="1"/>
            </xdr:cNvSpPr>
          </xdr:nvSpPr>
          <xdr:spPr bwMode="auto">
            <a:xfrm rot="16200000" flipV="1">
              <a:off x="1780543" y="709131"/>
              <a:ext cx="193432" cy="2573257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4" name="Freeform 1112"/>
            <xdr:cNvSpPr>
              <a:spLocks noChangeAspect="1"/>
            </xdr:cNvSpPr>
          </xdr:nvSpPr>
          <xdr:spPr bwMode="auto">
            <a:xfrm rot="-5400000" flipH="1" flipV="1">
              <a:off x="1779179" y="1009401"/>
              <a:ext cx="196158" cy="2471341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5" name="Freeform 1113"/>
            <xdr:cNvSpPr>
              <a:spLocks noChangeAspect="1"/>
            </xdr:cNvSpPr>
          </xdr:nvSpPr>
          <xdr:spPr bwMode="auto">
            <a:xfrm rot="-5400000" flipH="1" flipV="1">
              <a:off x="1677963" y="387325"/>
              <a:ext cx="348433" cy="2751687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6" name="Freeform 1114"/>
            <xdr:cNvSpPr>
              <a:spLocks noChangeAspect="1"/>
            </xdr:cNvSpPr>
          </xdr:nvSpPr>
          <xdr:spPr bwMode="auto">
            <a:xfrm rot="-5400000" flipH="1" flipV="1">
              <a:off x="1837144" y="614851"/>
              <a:ext cx="0" cy="1863423"/>
            </a:xfrm>
            <a:custGeom>
              <a:avLst/>
              <a:gdLst>
                <a:gd name="T0" fmla="*/ 0 w 1"/>
                <a:gd name="T1" fmla="*/ 0 h 476"/>
                <a:gd name="T2" fmla="*/ 0 w 1"/>
                <a:gd name="T3" fmla="*/ 2147483647 h 476"/>
                <a:gd name="T4" fmla="*/ 0 60000 65536"/>
                <a:gd name="T5" fmla="*/ 0 60000 65536"/>
                <a:gd name="T6" fmla="*/ 0 w 1"/>
                <a:gd name="T7" fmla="*/ 0 h 476"/>
                <a:gd name="T8" fmla="*/ 0 w 1"/>
                <a:gd name="T9" fmla="*/ 476 h 47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" h="476">
                  <a:moveTo>
                    <a:pt x="1" y="0"/>
                  </a:moveTo>
                  <a:lnTo>
                    <a:pt x="0" y="476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7" name="Line 1116"/>
            <xdr:cNvSpPr>
              <a:spLocks noChangeAspect="1" noChangeShapeType="1"/>
            </xdr:cNvSpPr>
          </xdr:nvSpPr>
          <xdr:spPr bwMode="auto">
            <a:xfrm rot="16200000" flipV="1">
              <a:off x="2739293" y="1203257"/>
              <a:ext cx="92917" cy="89309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8" name="Freeform 1110"/>
            <xdr:cNvSpPr>
              <a:spLocks noChangeAspect="1"/>
            </xdr:cNvSpPr>
          </xdr:nvSpPr>
          <xdr:spPr bwMode="auto">
            <a:xfrm rot="-5400000" flipH="1" flipV="1">
              <a:off x="1698639" y="1418131"/>
              <a:ext cx="327982" cy="237709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9" name="Freeform 1112"/>
            <xdr:cNvSpPr>
              <a:spLocks noChangeAspect="1"/>
            </xdr:cNvSpPr>
          </xdr:nvSpPr>
          <xdr:spPr bwMode="auto">
            <a:xfrm rot="-5400000" flipH="1" flipV="1">
              <a:off x="1779830" y="1391788"/>
              <a:ext cx="196158" cy="2346533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0" name="Freeform 1110"/>
            <xdr:cNvSpPr>
              <a:spLocks noChangeAspect="1"/>
            </xdr:cNvSpPr>
          </xdr:nvSpPr>
          <xdr:spPr bwMode="auto">
            <a:xfrm rot="-5400000" flipH="1" flipV="1">
              <a:off x="1694141" y="1796751"/>
              <a:ext cx="327982" cy="2227970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51" name="Freeform 1110"/>
            <xdr:cNvSpPr>
              <a:spLocks noChangeAspect="1"/>
            </xdr:cNvSpPr>
          </xdr:nvSpPr>
          <xdr:spPr bwMode="auto">
            <a:xfrm rot="-5400000" flipH="1" flipV="1">
              <a:off x="1694547" y="2176093"/>
              <a:ext cx="327982" cy="207845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52" name="Freeform 1112"/>
            <xdr:cNvSpPr>
              <a:spLocks noChangeAspect="1"/>
            </xdr:cNvSpPr>
          </xdr:nvSpPr>
          <xdr:spPr bwMode="auto">
            <a:xfrm rot="-5400000" flipH="1" flipV="1">
              <a:off x="1767673" y="1754763"/>
              <a:ext cx="196158" cy="2227970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3" name="Freeform 1109"/>
            <xdr:cNvSpPr>
              <a:spLocks noChangeAspect="1"/>
            </xdr:cNvSpPr>
          </xdr:nvSpPr>
          <xdr:spPr bwMode="auto">
            <a:xfrm rot="-5400000" flipH="1" flipV="1">
              <a:off x="1773871" y="2157492"/>
              <a:ext cx="201320" cy="206171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4" name="Freeform 1115"/>
            <xdr:cNvSpPr>
              <a:spLocks noChangeAspect="1"/>
            </xdr:cNvSpPr>
          </xdr:nvSpPr>
          <xdr:spPr bwMode="auto">
            <a:xfrm rot="-5400000" flipH="1" flipV="1">
              <a:off x="1710709" y="532936"/>
              <a:ext cx="196158" cy="2646699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5" name="Freeform 625"/>
            <xdr:cNvSpPr>
              <a:spLocks/>
            </xdr:cNvSpPr>
          </xdr:nvSpPr>
          <xdr:spPr bwMode="auto">
            <a:xfrm>
              <a:off x="483877" y="1219873"/>
              <a:ext cx="2763751" cy="457978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133" name="Freeform 625"/>
          <xdr:cNvSpPr>
            <a:spLocks/>
          </xdr:cNvSpPr>
        </xdr:nvSpPr>
        <xdr:spPr bwMode="auto">
          <a:xfrm rot="10800000">
            <a:off x="5045583" y="6979909"/>
            <a:ext cx="696560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Трапеция 96"/>
          <xdr:cNvSpPr/>
        </xdr:nvSpPr>
        <xdr:spPr>
          <a:xfrm>
            <a:off x="5041827" y="6797635"/>
            <a:ext cx="700800" cy="180223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9135" name="Freeform 625"/>
          <xdr:cNvSpPr>
            <a:spLocks/>
          </xdr:cNvSpPr>
        </xdr:nvSpPr>
        <xdr:spPr bwMode="auto">
          <a:xfrm rot="10800000">
            <a:off x="5133655" y="6978374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36" name="Freeform 625"/>
          <xdr:cNvSpPr>
            <a:spLocks/>
          </xdr:cNvSpPr>
        </xdr:nvSpPr>
        <xdr:spPr bwMode="auto">
          <a:xfrm rot="10800000">
            <a:off x="5614470" y="6978599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Блок-схема: сопоставление 99"/>
          <xdr:cNvSpPr/>
        </xdr:nvSpPr>
        <xdr:spPr>
          <a:xfrm rot="16200000">
            <a:off x="5266071" y="8141333"/>
            <a:ext cx="252312" cy="700800"/>
          </a:xfrm>
          <a:prstGeom prst="flowChartCollate">
            <a:avLst/>
          </a:prstGeom>
          <a:gradFill flip="none" rotWithShape="1"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37000">
                <a:srgbClr val="FFA800"/>
              </a:gs>
              <a:gs pos="58000">
                <a:srgbClr val="825600"/>
              </a:gs>
              <a:gs pos="64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0" scaled="0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35286</xdr:colOff>
      <xdr:row>5</xdr:row>
      <xdr:rowOff>142046</xdr:rowOff>
    </xdr:from>
    <xdr:to>
      <xdr:col>7</xdr:col>
      <xdr:colOff>188772</xdr:colOff>
      <xdr:row>9</xdr:row>
      <xdr:rowOff>117209</xdr:rowOff>
    </xdr:to>
    <xdr:sp macro="" textlink="">
      <xdr:nvSpPr>
        <xdr:cNvPr id="119" name="TextBox 2170"/>
        <xdr:cNvSpPr txBox="1"/>
      </xdr:nvSpPr>
      <xdr:spPr>
        <a:xfrm flipH="1">
          <a:off x="3692886" y="951671"/>
          <a:ext cx="763086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Наружный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54мм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240мм </a:t>
          </a:r>
        </a:p>
      </xdr:txBody>
    </xdr:sp>
    <xdr:clientData/>
  </xdr:twoCellAnchor>
  <xdr:twoCellAnchor>
    <xdr:from>
      <xdr:col>6</xdr:col>
      <xdr:colOff>112765</xdr:colOff>
      <xdr:row>3</xdr:row>
      <xdr:rowOff>17401</xdr:rowOff>
    </xdr:from>
    <xdr:to>
      <xdr:col>7</xdr:col>
      <xdr:colOff>222647</xdr:colOff>
      <xdr:row>4</xdr:row>
      <xdr:rowOff>142875</xdr:rowOff>
    </xdr:to>
    <xdr:sp macro="" textlink="">
      <xdr:nvSpPr>
        <xdr:cNvPr id="120" name="TextBox 2170"/>
        <xdr:cNvSpPr txBox="1"/>
      </xdr:nvSpPr>
      <xdr:spPr>
        <a:xfrm flipH="1">
          <a:off x="3770365" y="503176"/>
          <a:ext cx="719482" cy="287399"/>
        </a:xfrm>
        <a:prstGeom prst="rect">
          <a:avLst/>
        </a:prstGeom>
        <a:noFill/>
        <a:ln>
          <a:noFill/>
        </a:ln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44.45мм</a:t>
          </a:r>
        </a:p>
      </xdr:txBody>
    </xdr:sp>
    <xdr:clientData/>
  </xdr:twoCellAnchor>
  <xdr:twoCellAnchor>
    <xdr:from>
      <xdr:col>6</xdr:col>
      <xdr:colOff>91004</xdr:colOff>
      <xdr:row>39</xdr:row>
      <xdr:rowOff>8472</xdr:rowOff>
    </xdr:from>
    <xdr:to>
      <xdr:col>7</xdr:col>
      <xdr:colOff>523677</xdr:colOff>
      <xdr:row>42</xdr:row>
      <xdr:rowOff>57139</xdr:rowOff>
    </xdr:to>
    <xdr:sp macro="" textlink="">
      <xdr:nvSpPr>
        <xdr:cNvPr id="121" name="TextBox 2170"/>
        <xdr:cNvSpPr txBox="1"/>
      </xdr:nvSpPr>
      <xdr:spPr>
        <a:xfrm flipH="1">
          <a:off x="3748604" y="6323547"/>
          <a:ext cx="1042273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Фрезер торцевой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ФТ – 68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68мм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З – 45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650мм</a:t>
          </a:r>
        </a:p>
      </xdr:txBody>
    </xdr:sp>
    <xdr:clientData/>
  </xdr:twoCellAnchor>
  <xdr:twoCellAnchor>
    <xdr:from>
      <xdr:col>6</xdr:col>
      <xdr:colOff>29307</xdr:colOff>
      <xdr:row>18</xdr:row>
      <xdr:rowOff>0</xdr:rowOff>
    </xdr:from>
    <xdr:to>
      <xdr:col>7</xdr:col>
      <xdr:colOff>434728</xdr:colOff>
      <xdr:row>21</xdr:row>
      <xdr:rowOff>48667</xdr:rowOff>
    </xdr:to>
    <xdr:sp macro="" textlink="">
      <xdr:nvSpPr>
        <xdr:cNvPr id="122" name="TextBox 2170"/>
        <xdr:cNvSpPr txBox="1"/>
      </xdr:nvSpPr>
      <xdr:spPr>
        <a:xfrm flipH="1">
          <a:off x="3686907" y="2914650"/>
          <a:ext cx="1015021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4</xdr:col>
      <xdr:colOff>423318</xdr:colOff>
      <xdr:row>1</xdr:row>
      <xdr:rowOff>46240</xdr:rowOff>
    </xdr:from>
    <xdr:to>
      <xdr:col>7</xdr:col>
      <xdr:colOff>80822</xdr:colOff>
      <xdr:row>2</xdr:row>
      <xdr:rowOff>94565</xdr:rowOff>
    </xdr:to>
    <xdr:sp macro="" textlink="">
      <xdr:nvSpPr>
        <xdr:cNvPr id="123" name="TextBox 2170"/>
        <xdr:cNvSpPr txBox="1"/>
      </xdr:nvSpPr>
      <xdr:spPr>
        <a:xfrm flipH="1">
          <a:off x="2861718" y="208165"/>
          <a:ext cx="1486304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 фрезеровочная № 2</a:t>
          </a:r>
        </a:p>
      </xdr:txBody>
    </xdr:sp>
    <xdr:clientData/>
  </xdr:twoCellAnchor>
  <xdr:twoCellAnchor>
    <xdr:from>
      <xdr:col>5</xdr:col>
      <xdr:colOff>466497</xdr:colOff>
      <xdr:row>45</xdr:row>
      <xdr:rowOff>9358</xdr:rowOff>
    </xdr:from>
    <xdr:to>
      <xdr:col>8</xdr:col>
      <xdr:colOff>0</xdr:colOff>
      <xdr:row>46</xdr:row>
      <xdr:rowOff>116599</xdr:rowOff>
    </xdr:to>
    <xdr:sp macro="" textlink="">
      <xdr:nvSpPr>
        <xdr:cNvPr id="124" name="Text Box 2"/>
        <xdr:cNvSpPr txBox="1">
          <a:spLocks noChangeArrowheads="1"/>
        </xdr:cNvSpPr>
      </xdr:nvSpPr>
      <xdr:spPr bwMode="auto">
        <a:xfrm>
          <a:off x="3514497" y="7295983"/>
          <a:ext cx="1362303" cy="269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28" tIns="45715" rIns="91428" bIns="45715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Суммарная  длина – 5 720мм</a:t>
          </a:r>
        </a:p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Ø нар.макс. –  68мм </a:t>
          </a:r>
        </a:p>
      </xdr:txBody>
    </xdr:sp>
    <xdr:clientData/>
  </xdr:twoCellAnchor>
  <xdr:twoCellAnchor>
    <xdr:from>
      <xdr:col>4</xdr:col>
      <xdr:colOff>600075</xdr:colOff>
      <xdr:row>12</xdr:row>
      <xdr:rowOff>0</xdr:rowOff>
    </xdr:from>
    <xdr:to>
      <xdr:col>6</xdr:col>
      <xdr:colOff>161925</xdr:colOff>
      <xdr:row>17</xdr:row>
      <xdr:rowOff>19050</xdr:rowOff>
    </xdr:to>
    <xdr:grpSp>
      <xdr:nvGrpSpPr>
        <xdr:cNvPr id="9017" name="Группа 500"/>
        <xdr:cNvGrpSpPr>
          <a:grpSpLocks/>
        </xdr:cNvGrpSpPr>
      </xdr:nvGrpSpPr>
      <xdr:grpSpPr bwMode="auto">
        <a:xfrm>
          <a:off x="3051727" y="1987826"/>
          <a:ext cx="787676" cy="847311"/>
          <a:chOff x="3594638" y="1972077"/>
          <a:chExt cx="773234" cy="827021"/>
        </a:xfrm>
      </xdr:grpSpPr>
      <xdr:grpSp>
        <xdr:nvGrpSpPr>
          <xdr:cNvPr id="9101" name="Группа 501"/>
          <xdr:cNvGrpSpPr>
            <a:grpSpLocks/>
          </xdr:cNvGrpSpPr>
        </xdr:nvGrpSpPr>
        <xdr:grpSpPr bwMode="auto">
          <a:xfrm rot="10800000">
            <a:off x="3827215" y="2437915"/>
            <a:ext cx="452090" cy="361183"/>
            <a:chOff x="1203782" y="3534880"/>
            <a:chExt cx="676724" cy="845669"/>
          </a:xfrm>
        </xdr:grpSpPr>
        <xdr:grpSp>
          <xdr:nvGrpSpPr>
            <xdr:cNvPr id="9107" name="Группа 507"/>
            <xdr:cNvGrpSpPr>
              <a:grpSpLocks/>
            </xdr:cNvGrpSpPr>
          </xdr:nvGrpSpPr>
          <xdr:grpSpPr bwMode="auto">
            <a:xfrm rot="10800000">
              <a:off x="1203782" y="3534880"/>
              <a:ext cx="676724" cy="845669"/>
              <a:chOff x="3399289" y="2318137"/>
              <a:chExt cx="2589202" cy="3326900"/>
            </a:xfrm>
          </xdr:grpSpPr>
          <xdr:sp macro="" textlink="">
            <xdr:nvSpPr>
              <xdr:cNvPr id="9109" name="Freeform 625"/>
              <xdr:cNvSpPr>
                <a:spLocks/>
              </xdr:cNvSpPr>
            </xdr:nvSpPr>
            <xdr:spPr bwMode="auto">
              <a:xfrm>
                <a:off x="3424474" y="2334887"/>
                <a:ext cx="2523150" cy="126699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0" name="Freeform 625"/>
              <xdr:cNvSpPr>
                <a:spLocks/>
              </xdr:cNvSpPr>
            </xdr:nvSpPr>
            <xdr:spPr bwMode="auto">
              <a:xfrm>
                <a:off x="3402054" y="3419116"/>
                <a:ext cx="2564245" cy="279499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1" name="Freeform 625"/>
              <xdr:cNvSpPr>
                <a:spLocks/>
              </xdr:cNvSpPr>
            </xdr:nvSpPr>
            <xdr:spPr bwMode="auto">
              <a:xfrm>
                <a:off x="3399289" y="2318137"/>
                <a:ext cx="2589202" cy="209090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2" name="Freeform 625"/>
              <xdr:cNvSpPr>
                <a:spLocks/>
              </xdr:cNvSpPr>
            </xdr:nvSpPr>
            <xdr:spPr bwMode="auto">
              <a:xfrm>
                <a:off x="3685660" y="3696501"/>
                <a:ext cx="1985098" cy="107762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3" name="Freeform 1113"/>
              <xdr:cNvSpPr>
                <a:spLocks noChangeAspect="1"/>
              </xdr:cNvSpPr>
            </xdr:nvSpPr>
            <xdr:spPr bwMode="auto">
              <a:xfrm rot="-5400000" flipH="1" flipV="1">
                <a:off x="4640908" y="2723240"/>
                <a:ext cx="48618" cy="2060285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786733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5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87225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6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961804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7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04980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6" y="3130020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9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5" y="3213491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0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396" y="3367410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1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291886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2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101" y="3443585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3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5197" y="3614944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6824" y="3530559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5" name="Freeform 625"/>
              <xdr:cNvSpPr>
                <a:spLocks/>
              </xdr:cNvSpPr>
            </xdr:nvSpPr>
            <xdr:spPr bwMode="auto">
              <a:xfrm>
                <a:off x="3722506" y="4774656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6" name="Freeform 625"/>
              <xdr:cNvSpPr>
                <a:spLocks/>
              </xdr:cNvSpPr>
            </xdr:nvSpPr>
            <xdr:spPr bwMode="auto">
              <a:xfrm>
                <a:off x="3681484" y="4842875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7" name="Freeform 625"/>
              <xdr:cNvSpPr>
                <a:spLocks/>
              </xdr:cNvSpPr>
            </xdr:nvSpPr>
            <xdr:spPr bwMode="auto">
              <a:xfrm>
                <a:off x="3718147" y="5215561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8" name="Freeform 625"/>
              <xdr:cNvSpPr>
                <a:spLocks/>
              </xdr:cNvSpPr>
            </xdr:nvSpPr>
            <xdr:spPr bwMode="auto">
              <a:xfrm>
                <a:off x="3679310" y="5276074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5" name="Скругленный прямоугольник 184"/>
              <xdr:cNvSpPr/>
            </xdr:nvSpPr>
            <xdr:spPr>
              <a:xfrm rot="5400000" flipH="1">
                <a:off x="4642764" y="3814107"/>
                <a:ext cx="87561" cy="1998203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  <xdr:sp macro="" textlink="">
            <xdr:nvSpPr>
              <xdr:cNvPr id="186" name="Скругленный прямоугольник 185"/>
              <xdr:cNvSpPr/>
            </xdr:nvSpPr>
            <xdr:spPr>
              <a:xfrm rot="5400000" flipH="1">
                <a:off x="4669764" y="4224913"/>
                <a:ext cx="87561" cy="2052209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</xdr:grpSp>
        <xdr:sp macro="" textlink="">
          <xdr:nvSpPr>
            <xdr:cNvPr id="164" name="Freeform 136"/>
            <xdr:cNvSpPr>
              <a:spLocks/>
            </xdr:cNvSpPr>
          </xdr:nvSpPr>
          <xdr:spPr bwMode="auto">
            <a:xfrm rot="5400000" flipV="1">
              <a:off x="1420565" y="4008505"/>
              <a:ext cx="289344" cy="67752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43000">
                  <a:schemeClr val="bg2">
                    <a:lumMod val="7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  <xdr:sp macro="" textlink="">
        <xdr:nvSpPr>
          <xdr:cNvPr id="158" name="Freeform 136"/>
          <xdr:cNvSpPr>
            <a:spLocks/>
          </xdr:cNvSpPr>
        </xdr:nvSpPr>
        <xdr:spPr bwMode="auto">
          <a:xfrm rot="16200000" flipV="1">
            <a:off x="3985397" y="1978662"/>
            <a:ext cx="142590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59" name="Freeform 136"/>
          <xdr:cNvSpPr>
            <a:spLocks/>
          </xdr:cNvSpPr>
        </xdr:nvSpPr>
        <xdr:spPr bwMode="auto">
          <a:xfrm rot="16200000" flipV="1">
            <a:off x="3980645" y="2135510"/>
            <a:ext cx="152096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60" name="Freeform 136"/>
          <xdr:cNvSpPr>
            <a:spLocks/>
          </xdr:cNvSpPr>
        </xdr:nvSpPr>
        <xdr:spPr bwMode="auto">
          <a:xfrm rot="16200000" flipV="1">
            <a:off x="3990151" y="1840824"/>
            <a:ext cx="133084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9105" name="Freeform 625"/>
          <xdr:cNvSpPr>
            <a:spLocks/>
          </xdr:cNvSpPr>
        </xdr:nvSpPr>
        <xdr:spPr bwMode="auto">
          <a:xfrm>
            <a:off x="3827697" y="1972077"/>
            <a:ext cx="447732" cy="3034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2" name="Полилиния 161"/>
          <xdr:cNvSpPr/>
        </xdr:nvSpPr>
        <xdr:spPr>
          <a:xfrm>
            <a:off x="3594638" y="2304787"/>
            <a:ext cx="773234" cy="66542"/>
          </a:xfrm>
          <a:custGeom>
            <a:avLst/>
            <a:gdLst>
              <a:gd name="connsiteX0" fmla="*/ 0 w 929640"/>
              <a:gd name="connsiteY0" fmla="*/ 144780 h 144942"/>
              <a:gd name="connsiteX1" fmla="*/ 190500 w 929640"/>
              <a:gd name="connsiteY1" fmla="*/ 45720 h 144942"/>
              <a:gd name="connsiteX2" fmla="*/ 342900 w 929640"/>
              <a:gd name="connsiteY2" fmla="*/ 121920 h 144942"/>
              <a:gd name="connsiteX3" fmla="*/ 571500 w 929640"/>
              <a:gd name="connsiteY3" fmla="*/ 30480 h 144942"/>
              <a:gd name="connsiteX4" fmla="*/ 800100 w 929640"/>
              <a:gd name="connsiteY4" fmla="*/ 144780 h 144942"/>
              <a:gd name="connsiteX5" fmla="*/ 929640 w 929640"/>
              <a:gd name="connsiteY5" fmla="*/ 0 h 144942"/>
              <a:gd name="connsiteX6" fmla="*/ 929640 w 929640"/>
              <a:gd name="connsiteY6" fmla="*/ 0 h 144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929640" h="144942">
                <a:moveTo>
                  <a:pt x="0" y="144780"/>
                </a:moveTo>
                <a:cubicBezTo>
                  <a:pt x="66675" y="97155"/>
                  <a:pt x="133350" y="49530"/>
                  <a:pt x="190500" y="45720"/>
                </a:cubicBezTo>
                <a:cubicBezTo>
                  <a:pt x="247650" y="41910"/>
                  <a:pt x="279400" y="124460"/>
                  <a:pt x="342900" y="121920"/>
                </a:cubicBezTo>
                <a:cubicBezTo>
                  <a:pt x="406400" y="119380"/>
                  <a:pt x="495300" y="26670"/>
                  <a:pt x="571500" y="30480"/>
                </a:cubicBezTo>
                <a:cubicBezTo>
                  <a:pt x="647700" y="34290"/>
                  <a:pt x="740410" y="149860"/>
                  <a:pt x="800100" y="144780"/>
                </a:cubicBezTo>
                <a:cubicBezTo>
                  <a:pt x="859790" y="139700"/>
                  <a:pt x="929640" y="0"/>
                  <a:pt x="929640" y="0"/>
                </a:cubicBezTo>
                <a:lnTo>
                  <a:pt x="929640" y="0"/>
                </a:lnTo>
              </a:path>
            </a:pathLst>
          </a:custGeom>
          <a:noFill/>
          <a:ln w="762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27533</xdr:colOff>
      <xdr:row>11</xdr:row>
      <xdr:rowOff>120093</xdr:rowOff>
    </xdr:from>
    <xdr:to>
      <xdr:col>7</xdr:col>
      <xdr:colOff>541650</xdr:colOff>
      <xdr:row>16</xdr:row>
      <xdr:rowOff>110174</xdr:rowOff>
    </xdr:to>
    <xdr:sp macro="" textlink="">
      <xdr:nvSpPr>
        <xdr:cNvPr id="187" name="TextBox 2170"/>
        <xdr:cNvSpPr txBox="1"/>
      </xdr:nvSpPr>
      <xdr:spPr>
        <a:xfrm flipH="1">
          <a:off x="3685133" y="1901268"/>
          <a:ext cx="1123717" cy="799706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Клапан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обратный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створчатый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КОС - 54 </a:t>
          </a:r>
        </a:p>
        <a:p>
          <a:pPr>
            <a:defRPr/>
          </a:pPr>
          <a:r>
            <a:rPr lang="en-US" sz="600" b="1" i="1">
              <a:latin typeface="Arial"/>
              <a:cs typeface="Arial"/>
            </a:rPr>
            <a:t>Ø</a:t>
          </a:r>
          <a:r>
            <a:rPr lang="ru-RU" sz="600" b="1" i="1">
              <a:latin typeface="Arial"/>
              <a:cs typeface="Arial"/>
            </a:rPr>
            <a:t> нар. - 54мм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М42х2 муфта – М42х2 ниппель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Длина – 400мм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76200</xdr:colOff>
      <xdr:row>22</xdr:row>
      <xdr:rowOff>47625</xdr:rowOff>
    </xdr:from>
    <xdr:to>
      <xdr:col>6</xdr:col>
      <xdr:colOff>123825</xdr:colOff>
      <xdr:row>23</xdr:row>
      <xdr:rowOff>66675</xdr:rowOff>
    </xdr:to>
    <xdr:sp macro="" textlink="">
      <xdr:nvSpPr>
        <xdr:cNvPr id="9019" name="Freeform 136"/>
        <xdr:cNvSpPr>
          <a:spLocks/>
        </xdr:cNvSpPr>
      </xdr:nvSpPr>
      <xdr:spPr bwMode="auto">
        <a:xfrm flipV="1">
          <a:off x="3733800" y="3609975"/>
          <a:ext cx="47625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209550</xdr:colOff>
      <xdr:row>22</xdr:row>
      <xdr:rowOff>47625</xdr:rowOff>
    </xdr:from>
    <xdr:to>
      <xdr:col>5</xdr:col>
      <xdr:colOff>266700</xdr:colOff>
      <xdr:row>23</xdr:row>
      <xdr:rowOff>66675</xdr:rowOff>
    </xdr:to>
    <xdr:sp macro="" textlink="">
      <xdr:nvSpPr>
        <xdr:cNvPr id="9020" name="Freeform 136"/>
        <xdr:cNvSpPr>
          <a:spLocks/>
        </xdr:cNvSpPr>
      </xdr:nvSpPr>
      <xdr:spPr bwMode="auto">
        <a:xfrm flipV="1">
          <a:off x="3257550" y="3609975"/>
          <a:ext cx="57150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286495</xdr:colOff>
      <xdr:row>4</xdr:row>
      <xdr:rowOff>145470</xdr:rowOff>
    </xdr:from>
    <xdr:to>
      <xdr:col>2</xdr:col>
      <xdr:colOff>428623</xdr:colOff>
      <xdr:row>6</xdr:row>
      <xdr:rowOff>4757</xdr:rowOff>
    </xdr:to>
    <xdr:sp macro="" textlink="">
      <xdr:nvSpPr>
        <xdr:cNvPr id="226" name="TextBox 2170"/>
        <xdr:cNvSpPr txBox="1"/>
      </xdr:nvSpPr>
      <xdr:spPr>
        <a:xfrm flipH="1">
          <a:off x="893714" y="788408"/>
          <a:ext cx="749347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44,45мм</a:t>
          </a:r>
        </a:p>
      </xdr:txBody>
    </xdr:sp>
    <xdr:clientData/>
  </xdr:twoCellAnchor>
  <xdr:twoCellAnchor>
    <xdr:from>
      <xdr:col>1</xdr:col>
      <xdr:colOff>193123</xdr:colOff>
      <xdr:row>7</xdr:row>
      <xdr:rowOff>8464</xdr:rowOff>
    </xdr:from>
    <xdr:to>
      <xdr:col>2</xdr:col>
      <xdr:colOff>571499</xdr:colOff>
      <xdr:row>10</xdr:row>
      <xdr:rowOff>60703</xdr:rowOff>
    </xdr:to>
    <xdr:sp macro="" textlink="">
      <xdr:nvSpPr>
        <xdr:cNvPr id="227" name="TextBox 2170"/>
        <xdr:cNvSpPr txBox="1"/>
      </xdr:nvSpPr>
      <xdr:spPr>
        <a:xfrm flipH="1">
          <a:off x="800342" y="1133605"/>
          <a:ext cx="985595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Внутренний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44.45мм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М30х2 муфта </a:t>
          </a:r>
        </a:p>
      </xdr:txBody>
    </xdr:sp>
    <xdr:clientData/>
  </xdr:twoCellAnchor>
  <xdr:twoCellAnchor>
    <xdr:from>
      <xdr:col>0</xdr:col>
      <xdr:colOff>295275</xdr:colOff>
      <xdr:row>3</xdr:row>
      <xdr:rowOff>66675</xdr:rowOff>
    </xdr:from>
    <xdr:to>
      <xdr:col>1</xdr:col>
      <xdr:colOff>28575</xdr:colOff>
      <xdr:row>9</xdr:row>
      <xdr:rowOff>133350</xdr:rowOff>
    </xdr:to>
    <xdr:grpSp>
      <xdr:nvGrpSpPr>
        <xdr:cNvPr id="9023" name="Группа 3"/>
        <xdr:cNvGrpSpPr>
          <a:grpSpLocks/>
        </xdr:cNvGrpSpPr>
      </xdr:nvGrpSpPr>
      <xdr:grpSpPr bwMode="auto">
        <a:xfrm>
          <a:off x="295275" y="563632"/>
          <a:ext cx="346213" cy="1060588"/>
          <a:chOff x="2276477" y="408706"/>
          <a:chExt cx="1027111" cy="3732705"/>
        </a:xfrm>
      </xdr:grpSpPr>
      <xdr:sp macro="" textlink="">
        <xdr:nvSpPr>
          <xdr:cNvPr id="229" name="Трапеция 228"/>
          <xdr:cNvSpPr/>
        </xdr:nvSpPr>
        <xdr:spPr>
          <a:xfrm>
            <a:off x="2390600" y="408706"/>
            <a:ext cx="798864" cy="136980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230" name="Freeform 136"/>
          <xdr:cNvSpPr>
            <a:spLocks/>
          </xdr:cNvSpPr>
        </xdr:nvSpPr>
        <xdr:spPr bwMode="auto">
          <a:xfrm rot="5400000" flipV="1">
            <a:off x="1882539" y="985258"/>
            <a:ext cx="1814985" cy="798864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31" name="Трапеция 230"/>
          <xdr:cNvSpPr/>
        </xdr:nvSpPr>
        <xdr:spPr>
          <a:xfrm>
            <a:off x="2276477" y="2292181"/>
            <a:ext cx="1027111" cy="102735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9087" name="Line 591"/>
          <xdr:cNvSpPr>
            <a:spLocks noChangeShapeType="1"/>
          </xdr:cNvSpPr>
        </xdr:nvSpPr>
        <xdr:spPr bwMode="ltGray">
          <a:xfrm flipH="1">
            <a:off x="2418584" y="20967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" name="Freeform 136"/>
          <xdr:cNvSpPr>
            <a:spLocks/>
          </xdr:cNvSpPr>
        </xdr:nvSpPr>
        <xdr:spPr bwMode="auto">
          <a:xfrm rot="5400000" flipV="1">
            <a:off x="1899663" y="2737486"/>
            <a:ext cx="1780740" cy="102711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34" name="Блок-схема: задержка 233"/>
          <xdr:cNvSpPr/>
        </xdr:nvSpPr>
        <xdr:spPr>
          <a:xfrm>
            <a:off x="2390600" y="1710016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5" name="Блок-схема: задержка 234"/>
          <xdr:cNvSpPr/>
        </xdr:nvSpPr>
        <xdr:spPr>
          <a:xfrm>
            <a:off x="2390600" y="57993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6" name="Блок-схема: задержка 235"/>
          <xdr:cNvSpPr/>
        </xdr:nvSpPr>
        <xdr:spPr>
          <a:xfrm>
            <a:off x="2390600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7" name="Блок-схема: задержка 236"/>
          <xdr:cNvSpPr/>
        </xdr:nvSpPr>
        <xdr:spPr>
          <a:xfrm rot="10800000">
            <a:off x="3132403" y="1744261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8" name="Блок-схема: задержка 237"/>
          <xdr:cNvSpPr/>
        </xdr:nvSpPr>
        <xdr:spPr>
          <a:xfrm rot="10800000">
            <a:off x="3132403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9" name="Блок-схема: задержка 238"/>
          <xdr:cNvSpPr/>
        </xdr:nvSpPr>
        <xdr:spPr>
          <a:xfrm rot="10800000">
            <a:off x="3132403" y="614176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9095" name="Line 591"/>
          <xdr:cNvSpPr>
            <a:spLocks noChangeShapeType="1"/>
          </xdr:cNvSpPr>
        </xdr:nvSpPr>
        <xdr:spPr bwMode="ltGray">
          <a:xfrm flipH="1">
            <a:off x="2399520" y="96321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6" name="Line 591"/>
          <xdr:cNvSpPr>
            <a:spLocks noChangeShapeType="1"/>
          </xdr:cNvSpPr>
        </xdr:nvSpPr>
        <xdr:spPr bwMode="ltGray">
          <a:xfrm flipH="1">
            <a:off x="2409059" y="11915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7" name="Line 591"/>
          <xdr:cNvSpPr>
            <a:spLocks noChangeShapeType="1"/>
          </xdr:cNvSpPr>
        </xdr:nvSpPr>
        <xdr:spPr bwMode="ltGray">
          <a:xfrm flipH="1">
            <a:off x="2399829" y="1564257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8" name="Line 591"/>
          <xdr:cNvSpPr>
            <a:spLocks noChangeShapeType="1"/>
          </xdr:cNvSpPr>
        </xdr:nvSpPr>
        <xdr:spPr bwMode="ltGray">
          <a:xfrm flipH="1">
            <a:off x="2411423" y="173479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9" name="Line 591"/>
          <xdr:cNvSpPr>
            <a:spLocks noChangeShapeType="1"/>
          </xdr:cNvSpPr>
        </xdr:nvSpPr>
        <xdr:spPr bwMode="ltGray">
          <a:xfrm flipH="1">
            <a:off x="2399519" y="58400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5" name="Прямоугольник 244"/>
          <xdr:cNvSpPr/>
        </xdr:nvSpPr>
        <xdr:spPr>
          <a:xfrm>
            <a:off x="2561786" y="477196"/>
            <a:ext cx="57062" cy="1883475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</xdr:grpSp>
    <xdr:clientData/>
  </xdr:twoCellAnchor>
  <xdr:twoCellAnchor>
    <xdr:from>
      <xdr:col>0</xdr:col>
      <xdr:colOff>285750</xdr:colOff>
      <xdr:row>1</xdr:row>
      <xdr:rowOff>152400</xdr:rowOff>
    </xdr:from>
    <xdr:to>
      <xdr:col>1</xdr:col>
      <xdr:colOff>28575</xdr:colOff>
      <xdr:row>6</xdr:row>
      <xdr:rowOff>19050</xdr:rowOff>
    </xdr:to>
    <xdr:sp macro="" textlink="">
      <xdr:nvSpPr>
        <xdr:cNvPr id="9024" name="Freeform 366"/>
        <xdr:cNvSpPr>
          <a:spLocks/>
        </xdr:cNvSpPr>
      </xdr:nvSpPr>
      <xdr:spPr bwMode="auto">
        <a:xfrm rot="10800000">
          <a:off x="285750" y="314325"/>
          <a:ext cx="352425" cy="676275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285750</xdr:colOff>
      <xdr:row>9</xdr:row>
      <xdr:rowOff>133350</xdr:rowOff>
    </xdr:from>
    <xdr:to>
      <xdr:col>3</xdr:col>
      <xdr:colOff>0</xdr:colOff>
      <xdr:row>17</xdr:row>
      <xdr:rowOff>161925</xdr:rowOff>
    </xdr:to>
    <xdr:grpSp>
      <xdr:nvGrpSpPr>
        <xdr:cNvPr id="9025" name="Группа 5"/>
        <xdr:cNvGrpSpPr>
          <a:grpSpLocks/>
        </xdr:cNvGrpSpPr>
      </xdr:nvGrpSpPr>
      <xdr:grpSpPr bwMode="auto">
        <a:xfrm>
          <a:off x="285750" y="1624220"/>
          <a:ext cx="1552989" cy="1353792"/>
          <a:chOff x="616346" y="2000790"/>
          <a:chExt cx="1552180" cy="1602528"/>
        </a:xfrm>
      </xdr:grpSpPr>
      <xdr:sp macro="" textlink="">
        <xdr:nvSpPr>
          <xdr:cNvPr id="248" name="TextBox 2170"/>
          <xdr:cNvSpPr txBox="1"/>
        </xdr:nvSpPr>
        <xdr:spPr>
          <a:xfrm flipH="1">
            <a:off x="1047507" y="2531123"/>
            <a:ext cx="1121019" cy="760913"/>
          </a:xfrm>
          <a:prstGeom prst="rect">
            <a:avLst/>
          </a:prstGeom>
          <a:noFill/>
          <a:ln>
            <a:noFill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Клапан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обратный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створчатый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КОС - 44.45</a:t>
            </a:r>
            <a:r>
              <a:rPr lang="ru-RU" sz="600" b="1" i="1">
                <a:latin typeface="Arial"/>
                <a:cs typeface="Arial"/>
              </a:rPr>
              <a:t>мм</a:t>
            </a:r>
            <a:br>
              <a:rPr lang="ru-RU" sz="600" b="1" i="1">
                <a:latin typeface="Arial"/>
                <a:cs typeface="Arial"/>
              </a:rPr>
            </a:br>
            <a:r>
              <a:rPr lang="ru-RU" sz="600" b="1" i="1">
                <a:latin typeface="Arial"/>
                <a:cs typeface="Arial"/>
              </a:rPr>
              <a:t>Резьба М30х2 ниппель – М30х2 муфта</a:t>
            </a:r>
          </a:p>
        </xdr:txBody>
      </xdr:sp>
      <xdr:grpSp>
        <xdr:nvGrpSpPr>
          <xdr:cNvPr id="9058" name="Группа 67"/>
          <xdr:cNvGrpSpPr>
            <a:grpSpLocks/>
          </xdr:cNvGrpSpPr>
        </xdr:nvGrpSpPr>
        <xdr:grpSpPr bwMode="auto">
          <a:xfrm>
            <a:off x="616346" y="2000790"/>
            <a:ext cx="345215" cy="1602528"/>
            <a:chOff x="3260694" y="1865732"/>
            <a:chExt cx="345215" cy="1602528"/>
          </a:xfrm>
        </xdr:grpSpPr>
        <xdr:grpSp>
          <xdr:nvGrpSpPr>
            <xdr:cNvPr id="9059" name="Группа 68"/>
            <xdr:cNvGrpSpPr>
              <a:grpSpLocks/>
            </xdr:cNvGrpSpPr>
          </xdr:nvGrpSpPr>
          <xdr:grpSpPr bwMode="auto">
            <a:xfrm>
              <a:off x="3309672" y="1865732"/>
              <a:ext cx="240645" cy="357591"/>
              <a:chOff x="2120871" y="2139690"/>
              <a:chExt cx="676872" cy="761717"/>
            </a:xfrm>
          </xdr:grpSpPr>
          <xdr:sp macro="" textlink="">
            <xdr:nvSpPr>
              <xdr:cNvPr id="9065" name="Freeform 625"/>
              <xdr:cNvSpPr>
                <a:spLocks/>
              </xdr:cNvSpPr>
            </xdr:nvSpPr>
            <xdr:spPr bwMode="auto">
              <a:xfrm rot="10800000">
                <a:off x="2137242" y="2480144"/>
                <a:ext cx="644088" cy="4212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6" name="Freeform 1113"/>
              <xdr:cNvSpPr>
                <a:spLocks noChangeAspect="1"/>
              </xdr:cNvSpPr>
            </xdr:nvSpPr>
            <xdr:spPr bwMode="auto">
              <a:xfrm rot="5400000" flipH="1" flipV="1">
                <a:off x="2453999" y="2544930"/>
                <a:ext cx="19005" cy="668483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517657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8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84226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9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49218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0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14819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8346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2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5083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3" name="Freeform 1110"/>
              <xdr:cNvSpPr>
                <a:spLocks noChangeAspect="1"/>
              </xdr:cNvSpPr>
            </xdr:nvSpPr>
            <xdr:spPr bwMode="auto">
              <a:xfrm rot="5400000" flipH="1" flipV="1">
                <a:off x="2436662" y="2291801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4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32018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5" name="Freeform 1110"/>
              <xdr:cNvSpPr>
                <a:spLocks noChangeAspect="1"/>
              </xdr:cNvSpPr>
            </xdr:nvSpPr>
            <xdr:spPr bwMode="auto">
              <a:xfrm rot="5400000" flipH="1" flipV="1">
                <a:off x="2437440" y="2260882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6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323" y="219389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188" y="2226883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8" name="Freeform 625"/>
              <xdr:cNvSpPr>
                <a:spLocks/>
              </xdr:cNvSpPr>
            </xdr:nvSpPr>
            <xdr:spPr bwMode="auto">
              <a:xfrm rot="10800000">
                <a:off x="2157428" y="2448834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9" name="Freeform 625"/>
              <xdr:cNvSpPr>
                <a:spLocks/>
              </xdr:cNvSpPr>
            </xdr:nvSpPr>
            <xdr:spPr bwMode="auto">
              <a:xfrm rot="10800000">
                <a:off x="2138597" y="2309036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80" name="Freeform 625"/>
              <xdr:cNvSpPr>
                <a:spLocks/>
              </xdr:cNvSpPr>
            </xdr:nvSpPr>
            <xdr:spPr bwMode="auto">
              <a:xfrm rot="10800000">
                <a:off x="2158841" y="2276478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81" name="Freeform 625"/>
              <xdr:cNvSpPr>
                <a:spLocks/>
              </xdr:cNvSpPr>
            </xdr:nvSpPr>
            <xdr:spPr bwMode="auto">
              <a:xfrm rot="10800000">
                <a:off x="2139303" y="2139690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3" name="Скругленный прямоугольник 272"/>
              <xdr:cNvSpPr/>
            </xdr:nvSpPr>
            <xdr:spPr>
              <a:xfrm rot="16200000" flipH="1">
                <a:off x="2442453" y="2109794"/>
                <a:ext cx="24558" cy="673748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  <xdr:sp macro="" textlink="">
            <xdr:nvSpPr>
              <xdr:cNvPr id="274" name="Скругленный прямоугольник 273"/>
              <xdr:cNvSpPr/>
            </xdr:nvSpPr>
            <xdr:spPr>
              <a:xfrm rot="16200000" flipH="1">
                <a:off x="2442453" y="1962445"/>
                <a:ext cx="24558" cy="673748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</xdr:grpSp>
        <xdr:sp macro="" textlink="">
          <xdr:nvSpPr>
            <xdr:cNvPr id="251" name="Freeform 136"/>
            <xdr:cNvSpPr>
              <a:spLocks/>
            </xdr:cNvSpPr>
          </xdr:nvSpPr>
          <xdr:spPr bwMode="auto">
            <a:xfrm rot="5400000" flipV="1">
              <a:off x="3364959" y="2095808"/>
              <a:ext cx="126819" cy="335348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2" name="Freeform 136"/>
            <xdr:cNvSpPr>
              <a:spLocks/>
            </xdr:cNvSpPr>
          </xdr:nvSpPr>
          <xdr:spPr bwMode="auto">
            <a:xfrm rot="5400000" flipV="1">
              <a:off x="3185285" y="2390771"/>
              <a:ext cx="495746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3" name="Freeform 136"/>
            <xdr:cNvSpPr>
              <a:spLocks/>
            </xdr:cNvSpPr>
          </xdr:nvSpPr>
          <xdr:spPr bwMode="auto">
            <a:xfrm rot="5400000" flipV="1">
              <a:off x="3375514" y="2673231"/>
              <a:ext cx="115290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4" name="Freeform 136"/>
            <xdr:cNvSpPr>
              <a:spLocks/>
            </xdr:cNvSpPr>
          </xdr:nvSpPr>
          <xdr:spPr bwMode="auto">
            <a:xfrm rot="5400000" flipV="1">
              <a:off x="3173756" y="2967220"/>
              <a:ext cx="518804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5" name="Freeform 136"/>
            <xdr:cNvSpPr>
              <a:spLocks/>
            </xdr:cNvSpPr>
          </xdr:nvSpPr>
          <xdr:spPr bwMode="auto">
            <a:xfrm rot="5400000" flipV="1">
              <a:off x="3392807" y="3255445"/>
              <a:ext cx="80703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276225</xdr:colOff>
      <xdr:row>18</xdr:row>
      <xdr:rowOff>0</xdr:rowOff>
    </xdr:from>
    <xdr:to>
      <xdr:col>1</xdr:col>
      <xdr:colOff>28575</xdr:colOff>
      <xdr:row>21</xdr:row>
      <xdr:rowOff>9525</xdr:rowOff>
    </xdr:to>
    <xdr:grpSp>
      <xdr:nvGrpSpPr>
        <xdr:cNvPr id="9026" name="Группа 6"/>
        <xdr:cNvGrpSpPr>
          <a:grpSpLocks/>
        </xdr:cNvGrpSpPr>
      </xdr:nvGrpSpPr>
      <xdr:grpSpPr bwMode="auto">
        <a:xfrm>
          <a:off x="276225" y="2981739"/>
          <a:ext cx="365263" cy="506482"/>
          <a:chOff x="5055476" y="4961394"/>
          <a:chExt cx="363767" cy="770295"/>
        </a:xfrm>
      </xdr:grpSpPr>
      <xdr:grpSp>
        <xdr:nvGrpSpPr>
          <xdr:cNvPr id="9029" name="Группа 38"/>
          <xdr:cNvGrpSpPr>
            <a:grpSpLocks/>
          </xdr:cNvGrpSpPr>
        </xdr:nvGrpSpPr>
        <xdr:grpSpPr bwMode="auto">
          <a:xfrm>
            <a:off x="5101534" y="4961394"/>
            <a:ext cx="272742" cy="327600"/>
            <a:chOff x="2120871" y="2139690"/>
            <a:chExt cx="676872" cy="761717"/>
          </a:xfrm>
        </xdr:grpSpPr>
        <xdr:sp macro="" textlink="">
          <xdr:nvSpPr>
            <xdr:cNvPr id="9038" name="Freeform 625"/>
            <xdr:cNvSpPr>
              <a:spLocks/>
            </xdr:cNvSpPr>
          </xdr:nvSpPr>
          <xdr:spPr bwMode="auto">
            <a:xfrm rot="10800000">
              <a:off x="2137242" y="2480144"/>
              <a:ext cx="644088" cy="4212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39" name="Freeform 1113"/>
            <xdr:cNvSpPr>
              <a:spLocks noChangeAspect="1"/>
            </xdr:cNvSpPr>
          </xdr:nvSpPr>
          <xdr:spPr bwMode="auto">
            <a:xfrm rot="5400000" flipH="1" flipV="1">
              <a:off x="2453999" y="2544930"/>
              <a:ext cx="19005" cy="668483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0" name="Freeform 1110"/>
            <xdr:cNvSpPr>
              <a:spLocks noChangeAspect="1"/>
            </xdr:cNvSpPr>
          </xdr:nvSpPr>
          <xdr:spPr bwMode="auto">
            <a:xfrm rot="5400000" flipH="1" flipV="1">
              <a:off x="2438192" y="2517657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1" name="Freeform 1110"/>
            <xdr:cNvSpPr>
              <a:spLocks noChangeAspect="1"/>
            </xdr:cNvSpPr>
          </xdr:nvSpPr>
          <xdr:spPr bwMode="auto">
            <a:xfrm rot="5400000" flipH="1" flipV="1">
              <a:off x="2438192" y="2484226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2" name="Freeform 1110"/>
            <xdr:cNvSpPr>
              <a:spLocks noChangeAspect="1"/>
            </xdr:cNvSpPr>
          </xdr:nvSpPr>
          <xdr:spPr bwMode="auto">
            <a:xfrm rot="5400000" flipH="1" flipV="1">
              <a:off x="2438192" y="2449218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3" name="Freeform 1110"/>
            <xdr:cNvSpPr>
              <a:spLocks noChangeAspect="1"/>
            </xdr:cNvSpPr>
          </xdr:nvSpPr>
          <xdr:spPr bwMode="auto">
            <a:xfrm rot="5400000" flipH="1" flipV="1">
              <a:off x="2438192" y="2414819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4" name="Freeform 1110"/>
            <xdr:cNvSpPr>
              <a:spLocks noChangeAspect="1"/>
            </xdr:cNvSpPr>
          </xdr:nvSpPr>
          <xdr:spPr bwMode="auto">
            <a:xfrm rot="5400000" flipH="1" flipV="1">
              <a:off x="2439725" y="238346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5" name="Freeform 1110"/>
            <xdr:cNvSpPr>
              <a:spLocks noChangeAspect="1"/>
            </xdr:cNvSpPr>
          </xdr:nvSpPr>
          <xdr:spPr bwMode="auto">
            <a:xfrm rot="5400000" flipH="1" flipV="1">
              <a:off x="2439725" y="235083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6" name="Freeform 1110"/>
            <xdr:cNvSpPr>
              <a:spLocks noChangeAspect="1"/>
            </xdr:cNvSpPr>
          </xdr:nvSpPr>
          <xdr:spPr bwMode="auto">
            <a:xfrm rot="5400000" flipH="1" flipV="1">
              <a:off x="2436662" y="2291801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7" name="Freeform 1110"/>
            <xdr:cNvSpPr>
              <a:spLocks noChangeAspect="1"/>
            </xdr:cNvSpPr>
          </xdr:nvSpPr>
          <xdr:spPr bwMode="auto">
            <a:xfrm rot="5400000" flipH="1" flipV="1">
              <a:off x="2438192" y="232018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8" name="Freeform 1110"/>
            <xdr:cNvSpPr>
              <a:spLocks noChangeAspect="1"/>
            </xdr:cNvSpPr>
          </xdr:nvSpPr>
          <xdr:spPr bwMode="auto">
            <a:xfrm rot="5400000" flipH="1" flipV="1">
              <a:off x="2437440" y="2260882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9" name="Freeform 1110"/>
            <xdr:cNvSpPr>
              <a:spLocks noChangeAspect="1"/>
            </xdr:cNvSpPr>
          </xdr:nvSpPr>
          <xdr:spPr bwMode="auto">
            <a:xfrm rot="5400000" flipH="1" flipV="1">
              <a:off x="2439323" y="219389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0" name="Freeform 1110"/>
            <xdr:cNvSpPr>
              <a:spLocks noChangeAspect="1"/>
            </xdr:cNvSpPr>
          </xdr:nvSpPr>
          <xdr:spPr bwMode="auto">
            <a:xfrm rot="5400000" flipH="1" flipV="1">
              <a:off x="2439188" y="2226883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1" name="Freeform 625"/>
            <xdr:cNvSpPr>
              <a:spLocks/>
            </xdr:cNvSpPr>
          </xdr:nvSpPr>
          <xdr:spPr bwMode="auto">
            <a:xfrm rot="10800000">
              <a:off x="2157428" y="2448834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2" name="Freeform 625"/>
            <xdr:cNvSpPr>
              <a:spLocks/>
            </xdr:cNvSpPr>
          </xdr:nvSpPr>
          <xdr:spPr bwMode="auto">
            <a:xfrm rot="10800000">
              <a:off x="2138597" y="2309036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3" name="Freeform 625"/>
            <xdr:cNvSpPr>
              <a:spLocks/>
            </xdr:cNvSpPr>
          </xdr:nvSpPr>
          <xdr:spPr bwMode="auto">
            <a:xfrm rot="10800000">
              <a:off x="2158841" y="2276478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4" name="Freeform 625"/>
            <xdr:cNvSpPr>
              <a:spLocks/>
            </xdr:cNvSpPr>
          </xdr:nvSpPr>
          <xdr:spPr bwMode="auto">
            <a:xfrm rot="10800000">
              <a:off x="2139303" y="2139690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2" name="Скругленный прямоугольник 301"/>
            <xdr:cNvSpPr/>
          </xdr:nvSpPr>
          <xdr:spPr>
            <a:xfrm rot="16200000" flipH="1">
              <a:off x="2440730" y="2134302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303" name="Скругленный прямоугольник 302"/>
            <xdr:cNvSpPr/>
          </xdr:nvSpPr>
          <xdr:spPr>
            <a:xfrm rot="16200000" flipH="1">
              <a:off x="2440730" y="1962087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  <xdr:grpSp>
        <xdr:nvGrpSpPr>
          <xdr:cNvPr id="9030" name="Группа 39"/>
          <xdr:cNvGrpSpPr>
            <a:grpSpLocks/>
          </xdr:cNvGrpSpPr>
        </xdr:nvGrpSpPr>
        <xdr:grpSpPr bwMode="auto">
          <a:xfrm>
            <a:off x="5055476" y="5262590"/>
            <a:ext cx="363767" cy="469099"/>
            <a:chOff x="3435333" y="5210641"/>
            <a:chExt cx="1050488" cy="847144"/>
          </a:xfrm>
        </xdr:grpSpPr>
        <xdr:sp macro="" textlink="">
          <xdr:nvSpPr>
            <xdr:cNvPr id="278" name="Блок-схема: задержка 277"/>
            <xdr:cNvSpPr/>
          </xdr:nvSpPr>
          <xdr:spPr>
            <a:xfrm rot="5400000">
              <a:off x="3559306" y="5131270"/>
              <a:ext cx="802542" cy="1050488"/>
            </a:xfrm>
            <a:prstGeom prst="flowChartDelay">
              <a:avLst/>
            </a:prstGeom>
            <a:gradFill flip="none" rotWithShape="1">
              <a:gsLst>
                <a:gs pos="36000">
                  <a:schemeClr val="tx1">
                    <a:lumMod val="85000"/>
                    <a:lumOff val="15000"/>
                  </a:schemeClr>
                </a:gs>
                <a:gs pos="79000">
                  <a:schemeClr val="accent1">
                    <a:tint val="44500"/>
                    <a:satMod val="160000"/>
                    <a:lumMod val="89000"/>
                    <a:alpha val="37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79" name="Блок-схема: ручное управление 278"/>
            <xdr:cNvSpPr/>
          </xdr:nvSpPr>
          <xdr:spPr>
            <a:xfrm rot="10800000">
              <a:off x="3435333" y="5201741"/>
              <a:ext cx="1050488" cy="53503"/>
            </a:xfrm>
            <a:prstGeom prst="flowChartManualOperation">
              <a:avLst/>
            </a:prstGeom>
            <a:gradFill flip="none" rotWithShape="1">
              <a:gsLst>
                <a:gs pos="28000">
                  <a:schemeClr val="tx1">
                    <a:lumMod val="85000"/>
                    <a:lumOff val="15000"/>
                  </a:schemeClr>
                </a:gs>
                <a:gs pos="85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0" name="Блок-схема: задержка 279"/>
            <xdr:cNvSpPr/>
          </xdr:nvSpPr>
          <xdr:spPr>
            <a:xfrm rot="16200000">
              <a:off x="3786248" y="5042551"/>
              <a:ext cx="321017" cy="746399"/>
            </a:xfrm>
            <a:prstGeom prst="flowChartDelay">
              <a:avLst/>
            </a:prstGeom>
            <a:solidFill>
              <a:schemeClr val="bg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1" name="Блок-схема: задержка 280"/>
            <xdr:cNvSpPr/>
          </xdr:nvSpPr>
          <xdr:spPr>
            <a:xfrm rot="5400000">
              <a:off x="3934272" y="5243187"/>
              <a:ext cx="80254" cy="746399"/>
            </a:xfrm>
            <a:prstGeom prst="flowChartDelay">
              <a:avLst/>
            </a:prstGeom>
            <a:gradFill flip="none" rotWithShape="1">
              <a:gsLst>
                <a:gs pos="18000">
                  <a:schemeClr val="bg2">
                    <a:lumMod val="40000"/>
                    <a:lumOff val="60000"/>
                  </a:schemeClr>
                </a:gs>
                <a:gs pos="50000">
                  <a:schemeClr val="bg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bg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2" name="Овал 281"/>
            <xdr:cNvSpPr/>
          </xdr:nvSpPr>
          <xdr:spPr>
            <a:xfrm>
              <a:off x="3905288" y="6004282"/>
              <a:ext cx="165867" cy="53503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83" name="Овал 282"/>
            <xdr:cNvSpPr/>
          </xdr:nvSpPr>
          <xdr:spPr>
            <a:xfrm rot="1600789">
              <a:off x="3656488" y="5763520"/>
              <a:ext cx="82933" cy="187260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84" name="Овал 283"/>
            <xdr:cNvSpPr/>
          </xdr:nvSpPr>
          <xdr:spPr>
            <a:xfrm rot="20072787">
              <a:off x="4237021" y="5763520"/>
              <a:ext cx="82933" cy="160508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47625</xdr:rowOff>
    </xdr:from>
    <xdr:to>
      <xdr:col>2</xdr:col>
      <xdr:colOff>142070</xdr:colOff>
      <xdr:row>1</xdr:row>
      <xdr:rowOff>95950</xdr:rowOff>
    </xdr:to>
    <xdr:sp macro="" textlink="">
      <xdr:nvSpPr>
        <xdr:cNvPr id="304" name="TextBox 2170"/>
        <xdr:cNvSpPr txBox="1"/>
      </xdr:nvSpPr>
      <xdr:spPr>
        <a:xfrm flipH="1">
          <a:off x="0" y="47625"/>
          <a:ext cx="1361270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промывочная № 1</a:t>
          </a:r>
        </a:p>
      </xdr:txBody>
    </xdr:sp>
    <xdr:clientData/>
  </xdr:twoCellAnchor>
  <xdr:twoCellAnchor>
    <xdr:from>
      <xdr:col>1</xdr:col>
      <xdr:colOff>219065</xdr:colOff>
      <xdr:row>18</xdr:row>
      <xdr:rowOff>2827</xdr:rowOff>
    </xdr:from>
    <xdr:to>
      <xdr:col>3</xdr:col>
      <xdr:colOff>0</xdr:colOff>
      <xdr:row>21</xdr:row>
      <xdr:rowOff>55066</xdr:rowOff>
    </xdr:to>
    <xdr:sp macro="" textlink="">
      <xdr:nvSpPr>
        <xdr:cNvPr id="305" name="Прямоугольник 304"/>
        <xdr:cNvSpPr/>
      </xdr:nvSpPr>
      <xdr:spPr>
        <a:xfrm>
          <a:off x="826284" y="3217515"/>
          <a:ext cx="995372" cy="53444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Насадка</a:t>
          </a:r>
          <a:br>
            <a:rPr lang="ru-RU" sz="600" b="1" i="1">
              <a:latin typeface="Arial" pitchFamily="34" charset="0"/>
              <a:cs typeface="Arial" pitchFamily="34" charset="0"/>
            </a:rPr>
          </a:br>
          <a:r>
            <a:rPr lang="ru-RU" sz="600" b="1" i="1">
              <a:latin typeface="Arial" pitchFamily="34" charset="0"/>
              <a:cs typeface="Arial" pitchFamily="34" charset="0"/>
            </a:rPr>
            <a:t>промывочная 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42-45мм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/>
              <a:cs typeface="Arial"/>
            </a:rPr>
            <a:t>Резьба М30х2 ниппель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222914</xdr:colOff>
      <xdr:row>25</xdr:row>
      <xdr:rowOff>93936</xdr:rowOff>
    </xdr:from>
    <xdr:to>
      <xdr:col>6</xdr:col>
      <xdr:colOff>90003</xdr:colOff>
      <xdr:row>26</xdr:row>
      <xdr:rowOff>67760</xdr:rowOff>
    </xdr:to>
    <xdr:sp macro="" textlink="">
      <xdr:nvSpPr>
        <xdr:cNvPr id="2" name="Freeform 136"/>
        <xdr:cNvSpPr>
          <a:spLocks/>
        </xdr:cNvSpPr>
      </xdr:nvSpPr>
      <xdr:spPr bwMode="auto">
        <a:xfrm rot="5400000" flipV="1">
          <a:off x="3441384" y="4295441"/>
          <a:ext cx="13574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54336</xdr:colOff>
      <xdr:row>34</xdr:row>
      <xdr:rowOff>89863</xdr:rowOff>
    </xdr:from>
    <xdr:to>
      <xdr:col>7</xdr:col>
      <xdr:colOff>466169</xdr:colOff>
      <xdr:row>38</xdr:row>
      <xdr:rowOff>65026</xdr:rowOff>
    </xdr:to>
    <xdr:sp macro="" textlink="">
      <xdr:nvSpPr>
        <xdr:cNvPr id="3" name="TextBox 2170"/>
        <xdr:cNvSpPr txBox="1"/>
      </xdr:nvSpPr>
      <xdr:spPr>
        <a:xfrm flipH="1">
          <a:off x="3711936" y="5595313"/>
          <a:ext cx="1021433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 х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З – 45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6</xdr:col>
      <xdr:colOff>62520</xdr:colOff>
      <xdr:row>29</xdr:row>
      <xdr:rowOff>44549</xdr:rowOff>
    </xdr:from>
    <xdr:to>
      <xdr:col>8</xdr:col>
      <xdr:colOff>0</xdr:colOff>
      <xdr:row>35</xdr:row>
      <xdr:rowOff>49548</xdr:rowOff>
    </xdr:to>
    <xdr:sp macro="" textlink="">
      <xdr:nvSpPr>
        <xdr:cNvPr id="4" name="TextBox 2170"/>
        <xdr:cNvSpPr txBox="1"/>
      </xdr:nvSpPr>
      <xdr:spPr>
        <a:xfrm flipH="1">
          <a:off x="3720120" y="4740374"/>
          <a:ext cx="1156680" cy="976549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ВЗД </a:t>
          </a:r>
          <a:r>
            <a:rPr lang="en-US" sz="600" b="1" i="1">
              <a:latin typeface="Arial" pitchFamily="34" charset="0"/>
              <a:cs typeface="Arial" pitchFamily="34" charset="0"/>
            </a:rPr>
            <a:t>BICO</a:t>
          </a:r>
          <a:r>
            <a:rPr lang="ru-RU" sz="600" b="1" i="1">
              <a:latin typeface="Arial" pitchFamily="34" charset="0"/>
              <a:cs typeface="Arial" pitchFamily="34" charset="0"/>
            </a:rPr>
            <a:t> </a:t>
          </a:r>
          <a:r>
            <a:rPr lang="en-US" sz="600" b="1" i="1">
              <a:latin typeface="Arial" pitchFamily="34" charset="0"/>
              <a:cs typeface="Arial" pitchFamily="34" charset="0"/>
            </a:rPr>
            <a:t>SS150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SPIROSTAR 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– АММТ 1-1/2</a:t>
          </a: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Ø</a:t>
          </a:r>
          <a:r>
            <a:rPr lang="ru-RU" sz="600" b="1" i="1">
              <a:latin typeface="Arial" pitchFamily="34" charset="0"/>
              <a:cs typeface="Arial" pitchFamily="34" charset="0"/>
            </a:rPr>
            <a:t> нар. - </a:t>
          </a:r>
          <a:r>
            <a:rPr lang="en-US" sz="600" b="1" i="1">
              <a:latin typeface="Arial" pitchFamily="34" charset="0"/>
              <a:cs typeface="Arial" pitchFamily="34" charset="0"/>
            </a:rPr>
            <a:t>2-1</a:t>
          </a:r>
          <a:r>
            <a:rPr lang="ru-RU" sz="600" b="1" i="1">
              <a:latin typeface="Arial" pitchFamily="34" charset="0"/>
              <a:cs typeface="Arial" pitchFamily="34" charset="0"/>
            </a:rPr>
            <a:t>/8 (54мм)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3 630мм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Макс.расход – 190 л/мин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Макс.крут.момент – 680 об/мин</a:t>
          </a:r>
        </a:p>
        <a:p>
          <a:pPr>
            <a:defRPr/>
          </a:pP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276225</xdr:colOff>
      <xdr:row>2</xdr:row>
      <xdr:rowOff>95250</xdr:rowOff>
    </xdr:from>
    <xdr:to>
      <xdr:col>6</xdr:col>
      <xdr:colOff>9525</xdr:colOff>
      <xdr:row>6</xdr:row>
      <xdr:rowOff>133350</xdr:rowOff>
    </xdr:to>
    <xdr:sp macro="" textlink="">
      <xdr:nvSpPr>
        <xdr:cNvPr id="10016" name="Freeform 366"/>
        <xdr:cNvSpPr>
          <a:spLocks/>
        </xdr:cNvSpPr>
      </xdr:nvSpPr>
      <xdr:spPr bwMode="auto">
        <a:xfrm rot="10800000">
          <a:off x="3324225" y="419100"/>
          <a:ext cx="342900" cy="685800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237966</xdr:colOff>
      <xdr:row>30</xdr:row>
      <xdr:rowOff>80688</xdr:rowOff>
    </xdr:from>
    <xdr:to>
      <xdr:col>6</xdr:col>
      <xdr:colOff>101459</xdr:colOff>
      <xdr:row>31</xdr:row>
      <xdr:rowOff>31994</xdr:rowOff>
    </xdr:to>
    <xdr:sp macro="" textlink="">
      <xdr:nvSpPr>
        <xdr:cNvPr id="6" name="Трапеция 5"/>
        <xdr:cNvSpPr/>
      </xdr:nvSpPr>
      <xdr:spPr>
        <a:xfrm>
          <a:off x="3285966" y="5262288"/>
          <a:ext cx="473093" cy="113231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234656</xdr:colOff>
      <xdr:row>30</xdr:row>
      <xdr:rowOff>49945</xdr:rowOff>
    </xdr:from>
    <xdr:to>
      <xdr:col>6</xdr:col>
      <xdr:colOff>104887</xdr:colOff>
      <xdr:row>30</xdr:row>
      <xdr:rowOff>82378</xdr:rowOff>
    </xdr:to>
    <xdr:sp macro="" textlink="">
      <xdr:nvSpPr>
        <xdr:cNvPr id="7" name="Трапеция 6"/>
        <xdr:cNvSpPr/>
      </xdr:nvSpPr>
      <xdr:spPr>
        <a:xfrm rot="10800000">
          <a:off x="3282656" y="5231545"/>
          <a:ext cx="479831" cy="3243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22</xdr:row>
      <xdr:rowOff>64413</xdr:rowOff>
    </xdr:from>
    <xdr:to>
      <xdr:col>6</xdr:col>
      <xdr:colOff>90103</xdr:colOff>
      <xdr:row>24</xdr:row>
      <xdr:rowOff>16432</xdr:rowOff>
    </xdr:to>
    <xdr:sp macro="" textlink="">
      <xdr:nvSpPr>
        <xdr:cNvPr id="8" name="Freeform 136"/>
        <xdr:cNvSpPr>
          <a:spLocks/>
        </xdr:cNvSpPr>
      </xdr:nvSpPr>
      <xdr:spPr bwMode="auto">
        <a:xfrm rot="5400000" flipV="1">
          <a:off x="3371424" y="3850203"/>
          <a:ext cx="27586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215394</xdr:colOff>
      <xdr:row>22</xdr:row>
      <xdr:rowOff>18103</xdr:rowOff>
    </xdr:from>
    <xdr:to>
      <xdr:col>6</xdr:col>
      <xdr:colOff>85625</xdr:colOff>
      <xdr:row>22</xdr:row>
      <xdr:rowOff>62886</xdr:rowOff>
    </xdr:to>
    <xdr:sp macro="" textlink="">
      <xdr:nvSpPr>
        <xdr:cNvPr id="9" name="Трапеция 8"/>
        <xdr:cNvSpPr/>
      </xdr:nvSpPr>
      <xdr:spPr>
        <a:xfrm>
          <a:off x="3263394" y="3904303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220536</xdr:colOff>
      <xdr:row>24</xdr:row>
      <xdr:rowOff>59246</xdr:rowOff>
    </xdr:from>
    <xdr:to>
      <xdr:col>6</xdr:col>
      <xdr:colOff>90767</xdr:colOff>
      <xdr:row>24</xdr:row>
      <xdr:rowOff>104029</xdr:rowOff>
    </xdr:to>
    <xdr:sp macro="" textlink="">
      <xdr:nvSpPr>
        <xdr:cNvPr id="10" name="Трапеция 9"/>
        <xdr:cNvSpPr/>
      </xdr:nvSpPr>
      <xdr:spPr>
        <a:xfrm>
          <a:off x="3268536" y="4269296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219872</xdr:colOff>
      <xdr:row>24</xdr:row>
      <xdr:rowOff>15807</xdr:rowOff>
    </xdr:from>
    <xdr:to>
      <xdr:col>6</xdr:col>
      <xdr:colOff>90103</xdr:colOff>
      <xdr:row>24</xdr:row>
      <xdr:rowOff>60590</xdr:rowOff>
    </xdr:to>
    <xdr:sp macro="" textlink="">
      <xdr:nvSpPr>
        <xdr:cNvPr id="11" name="Трапеция 10"/>
        <xdr:cNvSpPr/>
      </xdr:nvSpPr>
      <xdr:spPr>
        <a:xfrm rot="10800000">
          <a:off x="3267872" y="4225857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24</xdr:row>
      <xdr:rowOff>107909</xdr:rowOff>
    </xdr:from>
    <xdr:to>
      <xdr:col>6</xdr:col>
      <xdr:colOff>90103</xdr:colOff>
      <xdr:row>25</xdr:row>
      <xdr:rowOff>83918</xdr:rowOff>
    </xdr:to>
    <xdr:sp macro="" textlink="">
      <xdr:nvSpPr>
        <xdr:cNvPr id="12" name="Freeform 136"/>
        <xdr:cNvSpPr>
          <a:spLocks/>
        </xdr:cNvSpPr>
      </xdr:nvSpPr>
      <xdr:spPr bwMode="auto">
        <a:xfrm rot="5400000" flipV="1">
          <a:off x="3440392" y="4148581"/>
          <a:ext cx="137934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223015</xdr:colOff>
      <xdr:row>25</xdr:row>
      <xdr:rowOff>79100</xdr:rowOff>
    </xdr:from>
    <xdr:to>
      <xdr:col>6</xdr:col>
      <xdr:colOff>90104</xdr:colOff>
      <xdr:row>25</xdr:row>
      <xdr:rowOff>100286</xdr:rowOff>
    </xdr:to>
    <xdr:sp macro="" textlink="">
      <xdr:nvSpPr>
        <xdr:cNvPr id="13" name="Freeform 136"/>
        <xdr:cNvSpPr>
          <a:spLocks/>
        </xdr:cNvSpPr>
      </xdr:nvSpPr>
      <xdr:spPr bwMode="auto">
        <a:xfrm rot="5400000" flipV="1">
          <a:off x="3498767" y="4223323"/>
          <a:ext cx="21186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216163</xdr:colOff>
      <xdr:row>26</xdr:row>
      <xdr:rowOff>25674</xdr:rowOff>
    </xdr:from>
    <xdr:to>
      <xdr:col>6</xdr:col>
      <xdr:colOff>100097</xdr:colOff>
      <xdr:row>27</xdr:row>
      <xdr:rowOff>62646</xdr:rowOff>
    </xdr:to>
    <xdr:sp macro="" textlink="">
      <xdr:nvSpPr>
        <xdr:cNvPr id="14" name="Freeform 136"/>
        <xdr:cNvSpPr>
          <a:spLocks/>
        </xdr:cNvSpPr>
      </xdr:nvSpPr>
      <xdr:spPr bwMode="auto">
        <a:xfrm rot="5400000" flipV="1">
          <a:off x="3411481" y="4412256"/>
          <a:ext cx="198897" cy="493534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231629</xdr:colOff>
      <xdr:row>27</xdr:row>
      <xdr:rowOff>59574</xdr:rowOff>
    </xdr:from>
    <xdr:to>
      <xdr:col>6</xdr:col>
      <xdr:colOff>95122</xdr:colOff>
      <xdr:row>29</xdr:row>
      <xdr:rowOff>84199</xdr:rowOff>
    </xdr:to>
    <xdr:sp macro="" textlink="">
      <xdr:nvSpPr>
        <xdr:cNvPr id="15" name="Freeform 136"/>
        <xdr:cNvSpPr>
          <a:spLocks/>
        </xdr:cNvSpPr>
      </xdr:nvSpPr>
      <xdr:spPr bwMode="auto">
        <a:xfrm rot="5400000" flipV="1">
          <a:off x="3341938" y="4693090"/>
          <a:ext cx="348475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231628</xdr:colOff>
      <xdr:row>29</xdr:row>
      <xdr:rowOff>84103</xdr:rowOff>
    </xdr:from>
    <xdr:to>
      <xdr:col>6</xdr:col>
      <xdr:colOff>95121</xdr:colOff>
      <xdr:row>30</xdr:row>
      <xdr:rowOff>49590</xdr:rowOff>
    </xdr:to>
    <xdr:sp macro="" textlink="">
      <xdr:nvSpPr>
        <xdr:cNvPr id="16" name="Freeform 136"/>
        <xdr:cNvSpPr>
          <a:spLocks/>
        </xdr:cNvSpPr>
      </xdr:nvSpPr>
      <xdr:spPr bwMode="auto">
        <a:xfrm rot="5400000" flipV="1">
          <a:off x="3452469" y="4930937"/>
          <a:ext cx="127412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228600</xdr:colOff>
      <xdr:row>31</xdr:row>
      <xdr:rowOff>38100</xdr:rowOff>
    </xdr:from>
    <xdr:to>
      <xdr:col>6</xdr:col>
      <xdr:colOff>104775</xdr:colOff>
      <xdr:row>33</xdr:row>
      <xdr:rowOff>104775</xdr:rowOff>
    </xdr:to>
    <xdr:grpSp>
      <xdr:nvGrpSpPr>
        <xdr:cNvPr id="10028" name="Группа 94"/>
        <xdr:cNvGrpSpPr>
          <a:grpSpLocks/>
        </xdr:cNvGrpSpPr>
      </xdr:nvGrpSpPr>
      <xdr:grpSpPr bwMode="auto">
        <a:xfrm>
          <a:off x="3276600" y="5057775"/>
          <a:ext cx="485775" cy="390525"/>
          <a:chOff x="756475" y="8469686"/>
          <a:chExt cx="491495" cy="499093"/>
        </a:xfrm>
      </xdr:grpSpPr>
      <xdr:sp macro="" textlink="">
        <xdr:nvSpPr>
          <xdr:cNvPr id="18" name="Трапеция 17"/>
          <xdr:cNvSpPr/>
        </xdr:nvSpPr>
        <xdr:spPr>
          <a:xfrm rot="10800000">
            <a:off x="756475" y="8932260"/>
            <a:ext cx="491495" cy="36519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9" name="Freeform 136"/>
          <xdr:cNvSpPr>
            <a:spLocks/>
          </xdr:cNvSpPr>
        </xdr:nvSpPr>
        <xdr:spPr bwMode="auto">
          <a:xfrm rot="5400000" flipV="1">
            <a:off x="971790" y="8264008"/>
            <a:ext cx="60865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Freeform 136"/>
          <xdr:cNvSpPr>
            <a:spLocks/>
          </xdr:cNvSpPr>
        </xdr:nvSpPr>
        <xdr:spPr bwMode="auto">
          <a:xfrm rot="5400000" flipV="1">
            <a:off x="990050" y="8306613"/>
            <a:ext cx="24346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Freeform 136"/>
          <xdr:cNvSpPr>
            <a:spLocks/>
          </xdr:cNvSpPr>
        </xdr:nvSpPr>
        <xdr:spPr bwMode="auto">
          <a:xfrm rot="5400000" flipV="1">
            <a:off x="807455" y="8503917"/>
            <a:ext cx="389536" cy="49149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12979</xdr:colOff>
      <xdr:row>27</xdr:row>
      <xdr:rowOff>120521</xdr:rowOff>
    </xdr:from>
    <xdr:to>
      <xdr:col>6</xdr:col>
      <xdr:colOff>176613</xdr:colOff>
      <xdr:row>28</xdr:row>
      <xdr:rowOff>25762</xdr:rowOff>
    </xdr:to>
    <xdr:sp macro="" textlink="">
      <xdr:nvSpPr>
        <xdr:cNvPr id="22" name="Полилиния 21"/>
        <xdr:cNvSpPr/>
      </xdr:nvSpPr>
      <xdr:spPr>
        <a:xfrm>
          <a:off x="3060979" y="4816346"/>
          <a:ext cx="773234" cy="67166"/>
        </a:xfrm>
        <a:custGeom>
          <a:avLst/>
          <a:gdLst>
            <a:gd name="connsiteX0" fmla="*/ 0 w 929640"/>
            <a:gd name="connsiteY0" fmla="*/ 144780 h 144942"/>
            <a:gd name="connsiteX1" fmla="*/ 190500 w 929640"/>
            <a:gd name="connsiteY1" fmla="*/ 45720 h 144942"/>
            <a:gd name="connsiteX2" fmla="*/ 342900 w 929640"/>
            <a:gd name="connsiteY2" fmla="*/ 121920 h 144942"/>
            <a:gd name="connsiteX3" fmla="*/ 571500 w 929640"/>
            <a:gd name="connsiteY3" fmla="*/ 30480 h 144942"/>
            <a:gd name="connsiteX4" fmla="*/ 800100 w 929640"/>
            <a:gd name="connsiteY4" fmla="*/ 144780 h 144942"/>
            <a:gd name="connsiteX5" fmla="*/ 929640 w 929640"/>
            <a:gd name="connsiteY5" fmla="*/ 0 h 144942"/>
            <a:gd name="connsiteX6" fmla="*/ 929640 w 929640"/>
            <a:gd name="connsiteY6" fmla="*/ 0 h 144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29640" h="144942">
              <a:moveTo>
                <a:pt x="0" y="144780"/>
              </a:moveTo>
              <a:cubicBezTo>
                <a:pt x="66675" y="97155"/>
                <a:pt x="133350" y="49530"/>
                <a:pt x="190500" y="45720"/>
              </a:cubicBezTo>
              <a:cubicBezTo>
                <a:pt x="247650" y="41910"/>
                <a:pt x="279400" y="124460"/>
                <a:pt x="342900" y="121920"/>
              </a:cubicBezTo>
              <a:cubicBezTo>
                <a:pt x="406400" y="119380"/>
                <a:pt x="495300" y="26670"/>
                <a:pt x="571500" y="30480"/>
              </a:cubicBezTo>
              <a:cubicBezTo>
                <a:pt x="647700" y="34290"/>
                <a:pt x="740410" y="149860"/>
                <a:pt x="800100" y="144780"/>
              </a:cubicBezTo>
              <a:cubicBezTo>
                <a:pt x="859790" y="139700"/>
                <a:pt x="929640" y="0"/>
                <a:pt x="929640" y="0"/>
              </a:cubicBezTo>
              <a:lnTo>
                <a:pt x="929640" y="0"/>
              </a:lnTo>
            </a:path>
          </a:pathLst>
        </a:cu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300145</xdr:colOff>
      <xdr:row>28</xdr:row>
      <xdr:rowOff>85652</xdr:rowOff>
    </xdr:from>
    <xdr:to>
      <xdr:col>5</xdr:col>
      <xdr:colOff>345864</xdr:colOff>
      <xdr:row>28</xdr:row>
      <xdr:rowOff>129400</xdr:rowOff>
    </xdr:to>
    <xdr:sp macro="" textlink="">
      <xdr:nvSpPr>
        <xdr:cNvPr id="23" name="Oval 109"/>
        <xdr:cNvSpPr>
          <a:spLocks noChangeArrowheads="1"/>
        </xdr:cNvSpPr>
      </xdr:nvSpPr>
      <xdr:spPr bwMode="auto">
        <a:xfrm flipV="1">
          <a:off x="3348145" y="4943402"/>
          <a:ext cx="45719" cy="43748"/>
        </a:xfrm>
        <a:prstGeom prst="ellipse">
          <a:avLst/>
        </a:prstGeom>
        <a:solidFill>
          <a:schemeClr val="bg1">
            <a:lumMod val="65000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5</xdr:col>
      <xdr:colOff>219075</xdr:colOff>
      <xdr:row>5</xdr:row>
      <xdr:rowOff>9525</xdr:rowOff>
    </xdr:from>
    <xdr:to>
      <xdr:col>6</xdr:col>
      <xdr:colOff>66675</xdr:colOff>
      <xdr:row>11</xdr:row>
      <xdr:rowOff>76200</xdr:rowOff>
    </xdr:to>
    <xdr:grpSp>
      <xdr:nvGrpSpPr>
        <xdr:cNvPr id="10031" name="Группа 101"/>
        <xdr:cNvGrpSpPr>
          <a:grpSpLocks/>
        </xdr:cNvGrpSpPr>
      </xdr:nvGrpSpPr>
      <xdr:grpSpPr bwMode="auto">
        <a:xfrm>
          <a:off x="3267075" y="819150"/>
          <a:ext cx="457200" cy="1038225"/>
          <a:chOff x="5850646" y="3298056"/>
          <a:chExt cx="600128" cy="1818854"/>
        </a:xfrm>
      </xdr:grpSpPr>
      <xdr:grpSp>
        <xdr:nvGrpSpPr>
          <xdr:cNvPr id="10214" name="Группа 102"/>
          <xdr:cNvGrpSpPr>
            <a:grpSpLocks/>
          </xdr:cNvGrpSpPr>
        </xdr:nvGrpSpPr>
        <xdr:grpSpPr bwMode="auto">
          <a:xfrm>
            <a:off x="5857812" y="4271241"/>
            <a:ext cx="592958" cy="845669"/>
            <a:chOff x="3399289" y="2318137"/>
            <a:chExt cx="2589202" cy="3326900"/>
          </a:xfrm>
        </xdr:grpSpPr>
        <xdr:sp macro="" textlink="">
          <xdr:nvSpPr>
            <xdr:cNvPr id="10224" name="Freeform 625"/>
            <xdr:cNvSpPr>
              <a:spLocks/>
            </xdr:cNvSpPr>
          </xdr:nvSpPr>
          <xdr:spPr bwMode="auto">
            <a:xfrm>
              <a:off x="3424474" y="2334887"/>
              <a:ext cx="2523150" cy="126699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5" name="Freeform 625"/>
            <xdr:cNvSpPr>
              <a:spLocks/>
            </xdr:cNvSpPr>
          </xdr:nvSpPr>
          <xdr:spPr bwMode="auto">
            <a:xfrm>
              <a:off x="3402054" y="3419116"/>
              <a:ext cx="2564245" cy="279499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6" name="Freeform 625"/>
            <xdr:cNvSpPr>
              <a:spLocks/>
            </xdr:cNvSpPr>
          </xdr:nvSpPr>
          <xdr:spPr bwMode="auto">
            <a:xfrm>
              <a:off x="3399289" y="2318137"/>
              <a:ext cx="2589202" cy="209090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7" name="Freeform 625"/>
            <xdr:cNvSpPr>
              <a:spLocks/>
            </xdr:cNvSpPr>
          </xdr:nvSpPr>
          <xdr:spPr bwMode="auto">
            <a:xfrm>
              <a:off x="3685660" y="3696501"/>
              <a:ext cx="1985098" cy="107762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8" name="Freeform 1113"/>
            <xdr:cNvSpPr>
              <a:spLocks noChangeAspect="1"/>
            </xdr:cNvSpPr>
          </xdr:nvSpPr>
          <xdr:spPr bwMode="auto">
            <a:xfrm rot="-5400000" flipH="1" flipV="1">
              <a:off x="4640908" y="2723240"/>
              <a:ext cx="48618" cy="2060285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9" name="Freeform 1110"/>
            <xdr:cNvSpPr>
              <a:spLocks noChangeAspect="1"/>
            </xdr:cNvSpPr>
          </xdr:nvSpPr>
          <xdr:spPr bwMode="auto">
            <a:xfrm rot="-5400000" flipH="1" flipV="1">
              <a:off x="4632888" y="278673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0" name="Freeform 1110"/>
            <xdr:cNvSpPr>
              <a:spLocks noChangeAspect="1"/>
            </xdr:cNvSpPr>
          </xdr:nvSpPr>
          <xdr:spPr bwMode="auto">
            <a:xfrm rot="-5400000" flipH="1" flipV="1">
              <a:off x="4632888" y="287225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1" name="Freeform 1110"/>
            <xdr:cNvSpPr>
              <a:spLocks noChangeAspect="1"/>
            </xdr:cNvSpPr>
          </xdr:nvSpPr>
          <xdr:spPr bwMode="auto">
            <a:xfrm rot="-5400000" flipH="1" flipV="1">
              <a:off x="4632888" y="296180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2" name="Freeform 1110"/>
            <xdr:cNvSpPr>
              <a:spLocks noChangeAspect="1"/>
            </xdr:cNvSpPr>
          </xdr:nvSpPr>
          <xdr:spPr bwMode="auto">
            <a:xfrm rot="-5400000" flipH="1" flipV="1">
              <a:off x="4632888" y="304980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3" name="Freeform 1110"/>
            <xdr:cNvSpPr>
              <a:spLocks noChangeAspect="1"/>
            </xdr:cNvSpPr>
          </xdr:nvSpPr>
          <xdr:spPr bwMode="auto">
            <a:xfrm rot="-5400000" flipH="1" flipV="1">
              <a:off x="4628166" y="3130020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4" name="Freeform 1110"/>
            <xdr:cNvSpPr>
              <a:spLocks noChangeAspect="1"/>
            </xdr:cNvSpPr>
          </xdr:nvSpPr>
          <xdr:spPr bwMode="auto">
            <a:xfrm rot="-5400000" flipH="1" flipV="1">
              <a:off x="4628165" y="3213491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5" name="Freeform 1110"/>
            <xdr:cNvSpPr>
              <a:spLocks noChangeAspect="1"/>
            </xdr:cNvSpPr>
          </xdr:nvSpPr>
          <xdr:spPr bwMode="auto">
            <a:xfrm rot="-5400000" flipH="1" flipV="1">
              <a:off x="4615175" y="335804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6" name="Freeform 1110"/>
            <xdr:cNvSpPr>
              <a:spLocks noChangeAspect="1"/>
            </xdr:cNvSpPr>
          </xdr:nvSpPr>
          <xdr:spPr bwMode="auto">
            <a:xfrm rot="-5400000" flipH="1" flipV="1">
              <a:off x="4632888" y="3291886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7" name="Freeform 1110"/>
            <xdr:cNvSpPr>
              <a:spLocks noChangeAspect="1"/>
            </xdr:cNvSpPr>
          </xdr:nvSpPr>
          <xdr:spPr bwMode="auto">
            <a:xfrm rot="-5400000" flipH="1" flipV="1">
              <a:off x="4623992" y="344358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8" name="Freeform 1110"/>
            <xdr:cNvSpPr>
              <a:spLocks noChangeAspect="1"/>
            </xdr:cNvSpPr>
          </xdr:nvSpPr>
          <xdr:spPr bwMode="auto">
            <a:xfrm rot="-5400000" flipH="1" flipV="1">
              <a:off x="4606976" y="3614945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9" name="Freeform 1110"/>
            <xdr:cNvSpPr>
              <a:spLocks noChangeAspect="1"/>
            </xdr:cNvSpPr>
          </xdr:nvSpPr>
          <xdr:spPr bwMode="auto">
            <a:xfrm rot="-5400000" flipH="1" flipV="1">
              <a:off x="4618603" y="3530557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4" name="Freeform 625"/>
            <xdr:cNvSpPr>
              <a:spLocks/>
            </xdr:cNvSpPr>
          </xdr:nvSpPr>
          <xdr:spPr bwMode="auto">
            <a:xfrm>
              <a:off x="3722506" y="4774656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5" name="Freeform 625"/>
            <xdr:cNvSpPr>
              <a:spLocks/>
            </xdr:cNvSpPr>
          </xdr:nvSpPr>
          <xdr:spPr bwMode="auto">
            <a:xfrm>
              <a:off x="3681484" y="4842875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6" name="Freeform 625"/>
            <xdr:cNvSpPr>
              <a:spLocks/>
            </xdr:cNvSpPr>
          </xdr:nvSpPr>
          <xdr:spPr bwMode="auto">
            <a:xfrm>
              <a:off x="3718147" y="5215561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7" name="Freeform 625"/>
            <xdr:cNvSpPr>
              <a:spLocks/>
            </xdr:cNvSpPr>
          </xdr:nvSpPr>
          <xdr:spPr bwMode="auto">
            <a:xfrm>
              <a:off x="3679310" y="5276074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5" name="Скругленный прямоугольник 54"/>
            <xdr:cNvSpPr/>
          </xdr:nvSpPr>
          <xdr:spPr>
            <a:xfrm rot="5400000" flipH="1">
              <a:off x="4672728" y="3814471"/>
              <a:ext cx="65646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56" name="Скругленный прямоугольник 55"/>
            <xdr:cNvSpPr/>
          </xdr:nvSpPr>
          <xdr:spPr>
            <a:xfrm rot="5400000" flipH="1">
              <a:off x="4639908" y="4241168"/>
              <a:ext cx="131293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</xdr:grpSp>
      <xdr:grpSp>
        <xdr:nvGrpSpPr>
          <xdr:cNvPr id="10215" name="Группа 103"/>
          <xdr:cNvGrpSpPr>
            <a:grpSpLocks/>
          </xdr:cNvGrpSpPr>
        </xdr:nvGrpSpPr>
        <xdr:grpSpPr bwMode="auto">
          <a:xfrm>
            <a:off x="5850646" y="3298056"/>
            <a:ext cx="600128" cy="1346690"/>
            <a:chOff x="4585410" y="471488"/>
            <a:chExt cx="562744" cy="1162052"/>
          </a:xfrm>
        </xdr:grpSpPr>
        <xdr:sp macro="" textlink="">
          <xdr:nvSpPr>
            <xdr:cNvPr id="27" name="Freeform 136"/>
            <xdr:cNvSpPr>
              <a:spLocks/>
            </xdr:cNvSpPr>
          </xdr:nvSpPr>
          <xdr:spPr bwMode="auto">
            <a:xfrm rot="5400000" flipV="1">
              <a:off x="4420416" y="838066"/>
              <a:ext cx="892731" cy="56274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8" name="Трапеция 27"/>
            <xdr:cNvSpPr/>
          </xdr:nvSpPr>
          <xdr:spPr>
            <a:xfrm>
              <a:off x="4597134" y="471488"/>
              <a:ext cx="539296" cy="201585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29" name="Овал 28"/>
            <xdr:cNvSpPr/>
          </xdr:nvSpPr>
          <xdr:spPr>
            <a:xfrm flipH="1">
              <a:off x="4597134" y="1393017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0" name="Овал 29"/>
            <xdr:cNvSpPr/>
          </xdr:nvSpPr>
          <xdr:spPr>
            <a:xfrm flipH="1">
              <a:off x="4796439" y="1119438"/>
              <a:ext cx="82067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1" name="Овал 30"/>
            <xdr:cNvSpPr/>
          </xdr:nvSpPr>
          <xdr:spPr>
            <a:xfrm flipH="1">
              <a:off x="4984020" y="831460"/>
              <a:ext cx="70343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2" name="Овал 31"/>
            <xdr:cNvSpPr/>
          </xdr:nvSpPr>
          <xdr:spPr>
            <a:xfrm flipH="1">
              <a:off x="5019192" y="1378618"/>
              <a:ext cx="46895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3" name="Овал 32"/>
            <xdr:cNvSpPr/>
          </xdr:nvSpPr>
          <xdr:spPr>
            <a:xfrm flipH="1">
              <a:off x="4597134" y="831460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4" name="Трапеция 33"/>
            <xdr:cNvSpPr/>
          </xdr:nvSpPr>
          <xdr:spPr>
            <a:xfrm rot="10800000">
              <a:off x="4585410" y="1565804"/>
              <a:ext cx="562744" cy="71994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5</xdr:col>
      <xdr:colOff>228600</xdr:colOff>
      <xdr:row>18</xdr:row>
      <xdr:rowOff>0</xdr:rowOff>
    </xdr:from>
    <xdr:to>
      <xdr:col>6</xdr:col>
      <xdr:colOff>85725</xdr:colOff>
      <xdr:row>21</xdr:row>
      <xdr:rowOff>152400</xdr:rowOff>
    </xdr:to>
    <xdr:grpSp>
      <xdr:nvGrpSpPr>
        <xdr:cNvPr id="10032" name="Группа 134"/>
        <xdr:cNvGrpSpPr>
          <a:grpSpLocks/>
        </xdr:cNvGrpSpPr>
      </xdr:nvGrpSpPr>
      <xdr:grpSpPr bwMode="auto">
        <a:xfrm>
          <a:off x="3276600" y="2914650"/>
          <a:ext cx="466725" cy="638175"/>
          <a:chOff x="755408" y="4811527"/>
          <a:chExt cx="465501" cy="638056"/>
        </a:xfrm>
      </xdr:grpSpPr>
      <xdr:sp macro="" textlink="">
        <xdr:nvSpPr>
          <xdr:cNvPr id="10197" name="Freeform 625"/>
          <xdr:cNvSpPr>
            <a:spLocks/>
          </xdr:cNvSpPr>
        </xdr:nvSpPr>
        <xdr:spPr bwMode="auto">
          <a:xfrm>
            <a:off x="763504" y="4850279"/>
            <a:ext cx="455508" cy="26536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98" name="Freeform 625"/>
          <xdr:cNvSpPr>
            <a:spLocks/>
          </xdr:cNvSpPr>
        </xdr:nvSpPr>
        <xdr:spPr bwMode="auto">
          <a:xfrm>
            <a:off x="755408" y="4811527"/>
            <a:ext cx="465501" cy="38751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99" name="Группа 137"/>
          <xdr:cNvGrpSpPr>
            <a:grpSpLocks/>
          </xdr:cNvGrpSpPr>
        </xdr:nvGrpSpPr>
        <xdr:grpSpPr bwMode="auto">
          <a:xfrm>
            <a:off x="777263" y="5112967"/>
            <a:ext cx="426270" cy="336616"/>
            <a:chOff x="3466781" y="2934064"/>
            <a:chExt cx="970202" cy="672635"/>
          </a:xfrm>
        </xdr:grpSpPr>
        <xdr:sp macro="" textlink="">
          <xdr:nvSpPr>
            <xdr:cNvPr id="61" name="Трапеция 60"/>
            <xdr:cNvSpPr/>
          </xdr:nvSpPr>
          <xdr:spPr>
            <a:xfrm rot="10800000">
              <a:off x="3503529" y="2997754"/>
              <a:ext cx="908136" cy="608945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01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2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3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4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5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6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7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8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209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210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1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2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3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247650</xdr:colOff>
      <xdr:row>33</xdr:row>
      <xdr:rowOff>142875</xdr:rowOff>
    </xdr:from>
    <xdr:to>
      <xdr:col>6</xdr:col>
      <xdr:colOff>95250</xdr:colOff>
      <xdr:row>37</xdr:row>
      <xdr:rowOff>95250</xdr:rowOff>
    </xdr:to>
    <xdr:grpSp>
      <xdr:nvGrpSpPr>
        <xdr:cNvPr id="10033" name="Группа 152"/>
        <xdr:cNvGrpSpPr>
          <a:grpSpLocks/>
        </xdr:cNvGrpSpPr>
      </xdr:nvGrpSpPr>
      <xdr:grpSpPr bwMode="auto">
        <a:xfrm rot="10800000">
          <a:off x="3295650" y="5486400"/>
          <a:ext cx="457200" cy="600075"/>
          <a:chOff x="2923819" y="1933822"/>
          <a:chExt cx="855481" cy="1370353"/>
        </a:xfrm>
      </xdr:grpSpPr>
      <xdr:sp macro="" textlink="">
        <xdr:nvSpPr>
          <xdr:cNvPr id="10180" name="Freeform 625"/>
          <xdr:cNvSpPr>
            <a:spLocks/>
          </xdr:cNvSpPr>
        </xdr:nvSpPr>
        <xdr:spPr bwMode="auto">
          <a:xfrm>
            <a:off x="2938631" y="2017048"/>
            <a:ext cx="833267" cy="56992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81" name="Freeform 625"/>
          <xdr:cNvSpPr>
            <a:spLocks/>
          </xdr:cNvSpPr>
        </xdr:nvSpPr>
        <xdr:spPr bwMode="auto">
          <a:xfrm>
            <a:off x="2923821" y="1933822"/>
            <a:ext cx="851548" cy="83225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82" name="Группа 155"/>
          <xdr:cNvGrpSpPr>
            <a:grpSpLocks/>
          </xdr:cNvGrpSpPr>
        </xdr:nvGrpSpPr>
        <xdr:grpSpPr bwMode="auto">
          <a:xfrm>
            <a:off x="2923819" y="2581229"/>
            <a:ext cx="855481" cy="722946"/>
            <a:chOff x="3466781" y="2934064"/>
            <a:chExt cx="970202" cy="672635"/>
          </a:xfrm>
        </xdr:grpSpPr>
        <xdr:sp macro="" textlink="">
          <xdr:nvSpPr>
            <xdr:cNvPr id="79" name="Трапеция 78"/>
            <xdr:cNvSpPr/>
          </xdr:nvSpPr>
          <xdr:spPr>
            <a:xfrm rot="10800000">
              <a:off x="3689119" y="2898373"/>
              <a:ext cx="909564" cy="607136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184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5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6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87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8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9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0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1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92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93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4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5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6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200025</xdr:colOff>
      <xdr:row>37</xdr:row>
      <xdr:rowOff>123825</xdr:rowOff>
    </xdr:from>
    <xdr:to>
      <xdr:col>6</xdr:col>
      <xdr:colOff>123825</xdr:colOff>
      <xdr:row>47</xdr:row>
      <xdr:rowOff>47625</xdr:rowOff>
    </xdr:to>
    <xdr:grpSp>
      <xdr:nvGrpSpPr>
        <xdr:cNvPr id="10034" name="Группа 170"/>
        <xdr:cNvGrpSpPr>
          <a:grpSpLocks/>
        </xdr:cNvGrpSpPr>
      </xdr:nvGrpSpPr>
      <xdr:grpSpPr bwMode="auto">
        <a:xfrm>
          <a:off x="3248025" y="6115050"/>
          <a:ext cx="533400" cy="1543050"/>
          <a:chOff x="5041827" y="5698274"/>
          <a:chExt cx="700800" cy="2919615"/>
        </a:xfrm>
      </xdr:grpSpPr>
      <xdr:sp macro="" textlink="">
        <xdr:nvSpPr>
          <xdr:cNvPr id="10155" name="Freeform 625"/>
          <xdr:cNvSpPr>
            <a:spLocks/>
          </xdr:cNvSpPr>
        </xdr:nvSpPr>
        <xdr:spPr bwMode="auto">
          <a:xfrm rot="10800000">
            <a:off x="5108017" y="6149419"/>
            <a:ext cx="580649" cy="67763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56" name="Группа 172"/>
          <xdr:cNvGrpSpPr>
            <a:grpSpLocks/>
          </xdr:cNvGrpSpPr>
        </xdr:nvGrpSpPr>
        <xdr:grpSpPr bwMode="auto">
          <a:xfrm rot="10800000">
            <a:off x="5107631" y="5698274"/>
            <a:ext cx="591716" cy="483044"/>
            <a:chOff x="476336" y="1219873"/>
            <a:chExt cx="2771292" cy="2159441"/>
          </a:xfrm>
        </xdr:grpSpPr>
        <xdr:sp macro="" textlink="">
          <xdr:nvSpPr>
            <xdr:cNvPr id="101" name="Трапеция 100"/>
            <xdr:cNvSpPr/>
          </xdr:nvSpPr>
          <xdr:spPr>
            <a:xfrm rot="10800000">
              <a:off x="625296" y="1687374"/>
              <a:ext cx="2696080" cy="1530803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" name="Freeform 1105"/>
            <xdr:cNvSpPr>
              <a:spLocks noChangeAspect="1"/>
            </xdr:cNvSpPr>
          </xdr:nvSpPr>
          <xdr:spPr bwMode="auto">
            <a:xfrm rot="16200000" flipH="1" flipV="1">
              <a:off x="1852486" y="137908"/>
              <a:ext cx="241706" cy="2696080"/>
            </a:xfrm>
            <a:custGeom>
              <a:avLst/>
              <a:gdLst/>
              <a:ahLst/>
              <a:cxnLst>
                <a:cxn ang="0">
                  <a:pos x="284" y="0"/>
                </a:cxn>
                <a:cxn ang="0">
                  <a:pos x="284" y="547"/>
                </a:cxn>
                <a:cxn ang="0">
                  <a:pos x="269" y="513"/>
                </a:cxn>
                <a:cxn ang="0">
                  <a:pos x="0" y="513"/>
                </a:cxn>
                <a:cxn ang="0">
                  <a:pos x="2" y="42"/>
                </a:cxn>
                <a:cxn ang="0">
                  <a:pos x="272" y="42"/>
                </a:cxn>
                <a:cxn ang="0">
                  <a:pos x="284" y="0"/>
                </a:cxn>
              </a:cxnLst>
              <a:rect l="0" t="0" r="r" b="b"/>
              <a:pathLst>
                <a:path w="284" h="547">
                  <a:moveTo>
                    <a:pt x="284" y="0"/>
                  </a:moveTo>
                  <a:lnTo>
                    <a:pt x="284" y="547"/>
                  </a:lnTo>
                  <a:lnTo>
                    <a:pt x="269" y="513"/>
                  </a:lnTo>
                  <a:lnTo>
                    <a:pt x="0" y="513"/>
                  </a:lnTo>
                  <a:lnTo>
                    <a:pt x="2" y="42"/>
                  </a:lnTo>
                  <a:lnTo>
                    <a:pt x="272" y="42"/>
                  </a:lnTo>
                  <a:lnTo>
                    <a:pt x="284" y="0"/>
                  </a:lnTo>
                  <a:close/>
                </a:path>
              </a:pathLst>
            </a:custGeom>
            <a:gradFill rotWithShape="1">
              <a:gsLst>
                <a:gs pos="0">
                  <a:schemeClr val="bg2"/>
                </a:gs>
                <a:gs pos="50000">
                  <a:schemeClr val="bg2">
                    <a:gamma/>
                    <a:tint val="49020"/>
                    <a:invGamma/>
                  </a:schemeClr>
                </a:gs>
                <a:gs pos="100000">
                  <a:schemeClr val="bg2"/>
                </a:gs>
              </a:gsLst>
              <a:lin ang="5400000" scaled="1"/>
            </a:gradFill>
            <a:ln w="3175" cmpd="sng">
              <a:solidFill>
                <a:schemeClr val="tx1"/>
              </a:solidFill>
              <a:round/>
              <a:headEnd/>
              <a:tailEnd/>
            </a:ln>
            <a:effectLst/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10164" name="Freeform 1107"/>
            <xdr:cNvSpPr>
              <a:spLocks noChangeAspect="1"/>
            </xdr:cNvSpPr>
          </xdr:nvSpPr>
          <xdr:spPr bwMode="auto">
            <a:xfrm rot="-5400000" flipH="1" flipV="1">
              <a:off x="1841804" y="339895"/>
              <a:ext cx="5162" cy="2717894"/>
            </a:xfrm>
            <a:custGeom>
              <a:avLst/>
              <a:gdLst>
                <a:gd name="T0" fmla="*/ 0 w 2"/>
                <a:gd name="T1" fmla="*/ 0 h 697"/>
                <a:gd name="T2" fmla="*/ 2147483647 w 2"/>
                <a:gd name="T3" fmla="*/ 2147483647 h 697"/>
                <a:gd name="T4" fmla="*/ 0 60000 65536"/>
                <a:gd name="T5" fmla="*/ 0 60000 65536"/>
                <a:gd name="T6" fmla="*/ 0 w 2"/>
                <a:gd name="T7" fmla="*/ 0 h 697"/>
                <a:gd name="T8" fmla="*/ 2 w 2"/>
                <a:gd name="T9" fmla="*/ 697 h 697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" h="697">
                  <a:moveTo>
                    <a:pt x="0" y="0"/>
                  </a:moveTo>
                  <a:lnTo>
                    <a:pt x="2" y="697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65" name="Freeform 1108"/>
            <xdr:cNvSpPr>
              <a:spLocks noChangeAspect="1"/>
            </xdr:cNvSpPr>
          </xdr:nvSpPr>
          <xdr:spPr bwMode="auto">
            <a:xfrm rot="-5400000" flipH="1" flipV="1">
              <a:off x="1716009" y="717626"/>
              <a:ext cx="280507" cy="2615247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66" name="Freeform 1110"/>
            <xdr:cNvSpPr>
              <a:spLocks noChangeAspect="1"/>
            </xdr:cNvSpPr>
          </xdr:nvSpPr>
          <xdr:spPr bwMode="auto">
            <a:xfrm rot="-5400000" flipH="1" flipV="1">
              <a:off x="1686891" y="1026332"/>
              <a:ext cx="327982" cy="251996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67" name="Line 1111"/>
            <xdr:cNvSpPr>
              <a:spLocks noChangeAspect="1" noChangeShapeType="1"/>
            </xdr:cNvSpPr>
          </xdr:nvSpPr>
          <xdr:spPr bwMode="auto">
            <a:xfrm rot="16200000" flipV="1">
              <a:off x="1780543" y="709131"/>
              <a:ext cx="193432" cy="2573257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8" name="Freeform 1112"/>
            <xdr:cNvSpPr>
              <a:spLocks noChangeAspect="1"/>
            </xdr:cNvSpPr>
          </xdr:nvSpPr>
          <xdr:spPr bwMode="auto">
            <a:xfrm rot="-5400000" flipH="1" flipV="1">
              <a:off x="1779179" y="1009401"/>
              <a:ext cx="196158" cy="2471341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69" name="Freeform 1113"/>
            <xdr:cNvSpPr>
              <a:spLocks noChangeAspect="1"/>
            </xdr:cNvSpPr>
          </xdr:nvSpPr>
          <xdr:spPr bwMode="auto">
            <a:xfrm rot="-5400000" flipH="1" flipV="1">
              <a:off x="1677963" y="387325"/>
              <a:ext cx="348433" cy="2751687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0" name="Freeform 1114"/>
            <xdr:cNvSpPr>
              <a:spLocks noChangeAspect="1"/>
            </xdr:cNvSpPr>
          </xdr:nvSpPr>
          <xdr:spPr bwMode="auto">
            <a:xfrm rot="-5400000" flipH="1" flipV="1">
              <a:off x="1837144" y="614851"/>
              <a:ext cx="0" cy="1863423"/>
            </a:xfrm>
            <a:custGeom>
              <a:avLst/>
              <a:gdLst>
                <a:gd name="T0" fmla="*/ 0 w 1"/>
                <a:gd name="T1" fmla="*/ 0 h 476"/>
                <a:gd name="T2" fmla="*/ 0 w 1"/>
                <a:gd name="T3" fmla="*/ 2147483647 h 476"/>
                <a:gd name="T4" fmla="*/ 0 60000 65536"/>
                <a:gd name="T5" fmla="*/ 0 60000 65536"/>
                <a:gd name="T6" fmla="*/ 0 w 1"/>
                <a:gd name="T7" fmla="*/ 0 h 476"/>
                <a:gd name="T8" fmla="*/ 0 w 1"/>
                <a:gd name="T9" fmla="*/ 476 h 47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" h="476">
                  <a:moveTo>
                    <a:pt x="1" y="0"/>
                  </a:moveTo>
                  <a:lnTo>
                    <a:pt x="0" y="476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1" name="Line 1116"/>
            <xdr:cNvSpPr>
              <a:spLocks noChangeAspect="1" noChangeShapeType="1"/>
            </xdr:cNvSpPr>
          </xdr:nvSpPr>
          <xdr:spPr bwMode="auto">
            <a:xfrm rot="16200000" flipV="1">
              <a:off x="2739293" y="1203257"/>
              <a:ext cx="92917" cy="89309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Freeform 1110"/>
            <xdr:cNvSpPr>
              <a:spLocks noChangeAspect="1"/>
            </xdr:cNvSpPr>
          </xdr:nvSpPr>
          <xdr:spPr bwMode="auto">
            <a:xfrm rot="-5400000" flipH="1" flipV="1">
              <a:off x="1698639" y="1418131"/>
              <a:ext cx="327982" cy="237709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3" name="Freeform 1112"/>
            <xdr:cNvSpPr>
              <a:spLocks noChangeAspect="1"/>
            </xdr:cNvSpPr>
          </xdr:nvSpPr>
          <xdr:spPr bwMode="auto">
            <a:xfrm rot="-5400000" flipH="1" flipV="1">
              <a:off x="1779830" y="1391788"/>
              <a:ext cx="196158" cy="2346533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4" name="Freeform 1110"/>
            <xdr:cNvSpPr>
              <a:spLocks noChangeAspect="1"/>
            </xdr:cNvSpPr>
          </xdr:nvSpPr>
          <xdr:spPr bwMode="auto">
            <a:xfrm rot="-5400000" flipH="1" flipV="1">
              <a:off x="1694141" y="1796751"/>
              <a:ext cx="327982" cy="2227970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5" name="Freeform 1110"/>
            <xdr:cNvSpPr>
              <a:spLocks noChangeAspect="1"/>
            </xdr:cNvSpPr>
          </xdr:nvSpPr>
          <xdr:spPr bwMode="auto">
            <a:xfrm rot="-5400000" flipH="1" flipV="1">
              <a:off x="1694547" y="2176093"/>
              <a:ext cx="327982" cy="207845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6" name="Freeform 1112"/>
            <xdr:cNvSpPr>
              <a:spLocks noChangeAspect="1"/>
            </xdr:cNvSpPr>
          </xdr:nvSpPr>
          <xdr:spPr bwMode="auto">
            <a:xfrm rot="-5400000" flipH="1" flipV="1">
              <a:off x="1767673" y="1754763"/>
              <a:ext cx="196158" cy="2227970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7" name="Freeform 1109"/>
            <xdr:cNvSpPr>
              <a:spLocks noChangeAspect="1"/>
            </xdr:cNvSpPr>
          </xdr:nvSpPr>
          <xdr:spPr bwMode="auto">
            <a:xfrm rot="-5400000" flipH="1" flipV="1">
              <a:off x="1773871" y="2157492"/>
              <a:ext cx="201320" cy="206171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8" name="Freeform 1115"/>
            <xdr:cNvSpPr>
              <a:spLocks noChangeAspect="1"/>
            </xdr:cNvSpPr>
          </xdr:nvSpPr>
          <xdr:spPr bwMode="auto">
            <a:xfrm rot="-5400000" flipH="1" flipV="1">
              <a:off x="1710709" y="532936"/>
              <a:ext cx="196158" cy="2646699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9" name="Freeform 625"/>
            <xdr:cNvSpPr>
              <a:spLocks/>
            </xdr:cNvSpPr>
          </xdr:nvSpPr>
          <xdr:spPr bwMode="auto">
            <a:xfrm>
              <a:off x="483877" y="1219873"/>
              <a:ext cx="2763751" cy="457978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0157" name="Freeform 625"/>
          <xdr:cNvSpPr>
            <a:spLocks/>
          </xdr:cNvSpPr>
        </xdr:nvSpPr>
        <xdr:spPr bwMode="auto">
          <a:xfrm rot="10800000">
            <a:off x="5045583" y="6979909"/>
            <a:ext cx="696560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Трапеция 96"/>
          <xdr:cNvSpPr/>
        </xdr:nvSpPr>
        <xdr:spPr>
          <a:xfrm>
            <a:off x="5041827" y="6797635"/>
            <a:ext cx="700800" cy="180223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0159" name="Freeform 625"/>
          <xdr:cNvSpPr>
            <a:spLocks/>
          </xdr:cNvSpPr>
        </xdr:nvSpPr>
        <xdr:spPr bwMode="auto">
          <a:xfrm rot="10800000">
            <a:off x="5133655" y="6978374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60" name="Freeform 625"/>
          <xdr:cNvSpPr>
            <a:spLocks/>
          </xdr:cNvSpPr>
        </xdr:nvSpPr>
        <xdr:spPr bwMode="auto">
          <a:xfrm rot="10800000">
            <a:off x="5614470" y="6978599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Блок-схема: сопоставление 99"/>
          <xdr:cNvSpPr/>
        </xdr:nvSpPr>
        <xdr:spPr>
          <a:xfrm rot="16200000">
            <a:off x="5266071" y="8141333"/>
            <a:ext cx="252312" cy="700800"/>
          </a:xfrm>
          <a:prstGeom prst="flowChartCollate">
            <a:avLst/>
          </a:prstGeom>
          <a:gradFill flip="none" rotWithShape="1"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37000">
                <a:srgbClr val="FFA800"/>
              </a:gs>
              <a:gs pos="58000">
                <a:srgbClr val="825600"/>
              </a:gs>
              <a:gs pos="64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0" scaled="0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35286</xdr:colOff>
      <xdr:row>5</xdr:row>
      <xdr:rowOff>142046</xdr:rowOff>
    </xdr:from>
    <xdr:to>
      <xdr:col>7</xdr:col>
      <xdr:colOff>188772</xdr:colOff>
      <xdr:row>9</xdr:row>
      <xdr:rowOff>117209</xdr:rowOff>
    </xdr:to>
    <xdr:sp macro="" textlink="">
      <xdr:nvSpPr>
        <xdr:cNvPr id="119" name="TextBox 2170"/>
        <xdr:cNvSpPr txBox="1"/>
      </xdr:nvSpPr>
      <xdr:spPr>
        <a:xfrm flipH="1">
          <a:off x="3692886" y="951671"/>
          <a:ext cx="763086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Наружный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54мм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240мм </a:t>
          </a:r>
        </a:p>
      </xdr:txBody>
    </xdr:sp>
    <xdr:clientData/>
  </xdr:twoCellAnchor>
  <xdr:twoCellAnchor>
    <xdr:from>
      <xdr:col>5</xdr:col>
      <xdr:colOff>556870</xdr:colOff>
      <xdr:row>3</xdr:row>
      <xdr:rowOff>51929</xdr:rowOff>
    </xdr:from>
    <xdr:to>
      <xdr:col>6</xdr:col>
      <xdr:colOff>543908</xdr:colOff>
      <xdr:row>4</xdr:row>
      <xdr:rowOff>70759</xdr:rowOff>
    </xdr:to>
    <xdr:sp macro="" textlink="">
      <xdr:nvSpPr>
        <xdr:cNvPr id="120" name="TextBox 2170"/>
        <xdr:cNvSpPr txBox="1"/>
      </xdr:nvSpPr>
      <xdr:spPr>
        <a:xfrm flipH="1">
          <a:off x="3604870" y="537704"/>
          <a:ext cx="596638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38.1</a:t>
          </a:r>
        </a:p>
      </xdr:txBody>
    </xdr:sp>
    <xdr:clientData/>
  </xdr:twoCellAnchor>
  <xdr:twoCellAnchor>
    <xdr:from>
      <xdr:col>6</xdr:col>
      <xdr:colOff>91004</xdr:colOff>
      <xdr:row>39</xdr:row>
      <xdr:rowOff>8472</xdr:rowOff>
    </xdr:from>
    <xdr:to>
      <xdr:col>7</xdr:col>
      <xdr:colOff>523677</xdr:colOff>
      <xdr:row>42</xdr:row>
      <xdr:rowOff>57139</xdr:rowOff>
    </xdr:to>
    <xdr:sp macro="" textlink="">
      <xdr:nvSpPr>
        <xdr:cNvPr id="121" name="TextBox 2170"/>
        <xdr:cNvSpPr txBox="1"/>
      </xdr:nvSpPr>
      <xdr:spPr>
        <a:xfrm flipH="1">
          <a:off x="3748604" y="6323547"/>
          <a:ext cx="1042273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Фрезер торцевой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ФТ – 68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68мм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З – 45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650мм</a:t>
          </a:r>
        </a:p>
      </xdr:txBody>
    </xdr:sp>
    <xdr:clientData/>
  </xdr:twoCellAnchor>
  <xdr:twoCellAnchor>
    <xdr:from>
      <xdr:col>6</xdr:col>
      <xdr:colOff>181707</xdr:colOff>
      <xdr:row>18</xdr:row>
      <xdr:rowOff>9525</xdr:rowOff>
    </xdr:from>
    <xdr:to>
      <xdr:col>7</xdr:col>
      <xdr:colOff>587128</xdr:colOff>
      <xdr:row>21</xdr:row>
      <xdr:rowOff>58192</xdr:rowOff>
    </xdr:to>
    <xdr:sp macro="" textlink="">
      <xdr:nvSpPr>
        <xdr:cNvPr id="122" name="TextBox 2170"/>
        <xdr:cNvSpPr txBox="1"/>
      </xdr:nvSpPr>
      <xdr:spPr>
        <a:xfrm flipH="1">
          <a:off x="3839307" y="2924175"/>
          <a:ext cx="1015021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4</xdr:col>
      <xdr:colOff>423318</xdr:colOff>
      <xdr:row>1</xdr:row>
      <xdr:rowOff>46240</xdr:rowOff>
    </xdr:from>
    <xdr:to>
      <xdr:col>7</xdr:col>
      <xdr:colOff>80822</xdr:colOff>
      <xdr:row>2</xdr:row>
      <xdr:rowOff>94565</xdr:rowOff>
    </xdr:to>
    <xdr:sp macro="" textlink="">
      <xdr:nvSpPr>
        <xdr:cNvPr id="123" name="TextBox 2170"/>
        <xdr:cNvSpPr txBox="1"/>
      </xdr:nvSpPr>
      <xdr:spPr>
        <a:xfrm flipH="1">
          <a:off x="2861718" y="208165"/>
          <a:ext cx="1486304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 фрезеровочная № 2</a:t>
          </a:r>
        </a:p>
      </xdr:txBody>
    </xdr:sp>
    <xdr:clientData/>
  </xdr:twoCellAnchor>
  <xdr:twoCellAnchor>
    <xdr:from>
      <xdr:col>5</xdr:col>
      <xdr:colOff>466497</xdr:colOff>
      <xdr:row>45</xdr:row>
      <xdr:rowOff>9358</xdr:rowOff>
    </xdr:from>
    <xdr:to>
      <xdr:col>8</xdr:col>
      <xdr:colOff>0</xdr:colOff>
      <xdr:row>46</xdr:row>
      <xdr:rowOff>116599</xdr:rowOff>
    </xdr:to>
    <xdr:sp macro="" textlink="">
      <xdr:nvSpPr>
        <xdr:cNvPr id="124" name="Text Box 2"/>
        <xdr:cNvSpPr txBox="1">
          <a:spLocks noChangeArrowheads="1"/>
        </xdr:cNvSpPr>
      </xdr:nvSpPr>
      <xdr:spPr bwMode="auto">
        <a:xfrm>
          <a:off x="3514497" y="7295983"/>
          <a:ext cx="1362303" cy="269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28" tIns="45715" rIns="91428" bIns="45715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Суммарная  длина – 5 720мм</a:t>
          </a:r>
        </a:p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Ø нар.макс. –  68мм </a:t>
          </a:r>
        </a:p>
      </xdr:txBody>
    </xdr:sp>
    <xdr:clientData/>
  </xdr:twoCellAnchor>
  <xdr:twoCellAnchor>
    <xdr:from>
      <xdr:col>4</xdr:col>
      <xdr:colOff>600075</xdr:colOff>
      <xdr:row>12</xdr:row>
      <xdr:rowOff>19050</xdr:rowOff>
    </xdr:from>
    <xdr:to>
      <xdr:col>6</xdr:col>
      <xdr:colOff>161925</xdr:colOff>
      <xdr:row>17</xdr:row>
      <xdr:rowOff>38100</xdr:rowOff>
    </xdr:to>
    <xdr:grpSp>
      <xdr:nvGrpSpPr>
        <xdr:cNvPr id="10041" name="Группа 500"/>
        <xdr:cNvGrpSpPr>
          <a:grpSpLocks/>
        </xdr:cNvGrpSpPr>
      </xdr:nvGrpSpPr>
      <xdr:grpSpPr bwMode="auto">
        <a:xfrm>
          <a:off x="3038475" y="1962150"/>
          <a:ext cx="781050" cy="828675"/>
          <a:chOff x="3594638" y="1972077"/>
          <a:chExt cx="773234" cy="827021"/>
        </a:xfrm>
      </xdr:grpSpPr>
      <xdr:grpSp>
        <xdr:nvGrpSpPr>
          <xdr:cNvPr id="10125" name="Группа 501"/>
          <xdr:cNvGrpSpPr>
            <a:grpSpLocks/>
          </xdr:cNvGrpSpPr>
        </xdr:nvGrpSpPr>
        <xdr:grpSpPr bwMode="auto">
          <a:xfrm rot="10800000">
            <a:off x="3827215" y="2437915"/>
            <a:ext cx="452090" cy="361183"/>
            <a:chOff x="1203782" y="3534880"/>
            <a:chExt cx="676724" cy="845669"/>
          </a:xfrm>
        </xdr:grpSpPr>
        <xdr:grpSp>
          <xdr:nvGrpSpPr>
            <xdr:cNvPr id="10131" name="Группа 507"/>
            <xdr:cNvGrpSpPr>
              <a:grpSpLocks/>
            </xdr:cNvGrpSpPr>
          </xdr:nvGrpSpPr>
          <xdr:grpSpPr bwMode="auto">
            <a:xfrm rot="10800000">
              <a:off x="1203782" y="3534880"/>
              <a:ext cx="676724" cy="845669"/>
              <a:chOff x="3399289" y="2318137"/>
              <a:chExt cx="2589202" cy="3326900"/>
            </a:xfrm>
          </xdr:grpSpPr>
          <xdr:sp macro="" textlink="">
            <xdr:nvSpPr>
              <xdr:cNvPr id="10133" name="Freeform 625"/>
              <xdr:cNvSpPr>
                <a:spLocks/>
              </xdr:cNvSpPr>
            </xdr:nvSpPr>
            <xdr:spPr bwMode="auto">
              <a:xfrm>
                <a:off x="3424474" y="2334887"/>
                <a:ext cx="2523150" cy="126699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4" name="Freeform 625"/>
              <xdr:cNvSpPr>
                <a:spLocks/>
              </xdr:cNvSpPr>
            </xdr:nvSpPr>
            <xdr:spPr bwMode="auto">
              <a:xfrm>
                <a:off x="3402054" y="3419116"/>
                <a:ext cx="2564245" cy="279499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5" name="Freeform 625"/>
              <xdr:cNvSpPr>
                <a:spLocks/>
              </xdr:cNvSpPr>
            </xdr:nvSpPr>
            <xdr:spPr bwMode="auto">
              <a:xfrm>
                <a:off x="3399289" y="2318137"/>
                <a:ext cx="2589202" cy="209090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6" name="Freeform 625"/>
              <xdr:cNvSpPr>
                <a:spLocks/>
              </xdr:cNvSpPr>
            </xdr:nvSpPr>
            <xdr:spPr bwMode="auto">
              <a:xfrm>
                <a:off x="3685660" y="3696501"/>
                <a:ext cx="1985098" cy="107762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7" name="Freeform 1113"/>
              <xdr:cNvSpPr>
                <a:spLocks noChangeAspect="1"/>
              </xdr:cNvSpPr>
            </xdr:nvSpPr>
            <xdr:spPr bwMode="auto">
              <a:xfrm rot="-5400000" flipH="1" flipV="1">
                <a:off x="4640908" y="2723240"/>
                <a:ext cx="48618" cy="2060285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786733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9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87225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0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961804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1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04980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2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6" y="3130020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3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5" y="3213491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396" y="3367410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5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291886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6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101" y="3443585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7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5197" y="3614944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6824" y="3530559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9" name="Freeform 625"/>
              <xdr:cNvSpPr>
                <a:spLocks/>
              </xdr:cNvSpPr>
            </xdr:nvSpPr>
            <xdr:spPr bwMode="auto">
              <a:xfrm>
                <a:off x="3722506" y="4774656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0" name="Freeform 625"/>
              <xdr:cNvSpPr>
                <a:spLocks/>
              </xdr:cNvSpPr>
            </xdr:nvSpPr>
            <xdr:spPr bwMode="auto">
              <a:xfrm>
                <a:off x="3681484" y="4842875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1" name="Freeform 625"/>
              <xdr:cNvSpPr>
                <a:spLocks/>
              </xdr:cNvSpPr>
            </xdr:nvSpPr>
            <xdr:spPr bwMode="auto">
              <a:xfrm>
                <a:off x="3718147" y="5215561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2" name="Freeform 625"/>
              <xdr:cNvSpPr>
                <a:spLocks/>
              </xdr:cNvSpPr>
            </xdr:nvSpPr>
            <xdr:spPr bwMode="auto">
              <a:xfrm>
                <a:off x="3679310" y="5276074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" name="Скругленный прямоугольник 153"/>
              <xdr:cNvSpPr/>
            </xdr:nvSpPr>
            <xdr:spPr>
              <a:xfrm rot="5400000" flipH="1">
                <a:off x="4642764" y="3814107"/>
                <a:ext cx="87561" cy="1998203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  <xdr:sp macro="" textlink="">
            <xdr:nvSpPr>
              <xdr:cNvPr id="155" name="Скругленный прямоугольник 154"/>
              <xdr:cNvSpPr/>
            </xdr:nvSpPr>
            <xdr:spPr>
              <a:xfrm rot="5400000" flipH="1">
                <a:off x="4669764" y="4224913"/>
                <a:ext cx="87561" cy="2052209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</xdr:grpSp>
        <xdr:sp macro="" textlink="">
          <xdr:nvSpPr>
            <xdr:cNvPr id="133" name="Freeform 136"/>
            <xdr:cNvSpPr>
              <a:spLocks/>
            </xdr:cNvSpPr>
          </xdr:nvSpPr>
          <xdr:spPr bwMode="auto">
            <a:xfrm rot="5400000" flipV="1">
              <a:off x="1420565" y="4008505"/>
              <a:ext cx="289344" cy="67752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43000">
                  <a:schemeClr val="bg2">
                    <a:lumMod val="7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  <xdr:sp macro="" textlink="">
        <xdr:nvSpPr>
          <xdr:cNvPr id="127" name="Freeform 136"/>
          <xdr:cNvSpPr>
            <a:spLocks/>
          </xdr:cNvSpPr>
        </xdr:nvSpPr>
        <xdr:spPr bwMode="auto">
          <a:xfrm rot="16200000" flipV="1">
            <a:off x="3985397" y="1978662"/>
            <a:ext cx="142590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8" name="Freeform 136"/>
          <xdr:cNvSpPr>
            <a:spLocks/>
          </xdr:cNvSpPr>
        </xdr:nvSpPr>
        <xdr:spPr bwMode="auto">
          <a:xfrm rot="16200000" flipV="1">
            <a:off x="3980645" y="2135510"/>
            <a:ext cx="152096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9" name="Freeform 136"/>
          <xdr:cNvSpPr>
            <a:spLocks/>
          </xdr:cNvSpPr>
        </xdr:nvSpPr>
        <xdr:spPr bwMode="auto">
          <a:xfrm rot="16200000" flipV="1">
            <a:off x="3990151" y="1840824"/>
            <a:ext cx="133084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0129" name="Freeform 625"/>
          <xdr:cNvSpPr>
            <a:spLocks/>
          </xdr:cNvSpPr>
        </xdr:nvSpPr>
        <xdr:spPr bwMode="auto">
          <a:xfrm>
            <a:off x="3827697" y="1972077"/>
            <a:ext cx="447732" cy="3034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1" name="Полилиния 130"/>
          <xdr:cNvSpPr/>
        </xdr:nvSpPr>
        <xdr:spPr>
          <a:xfrm>
            <a:off x="3594638" y="2304787"/>
            <a:ext cx="773234" cy="66542"/>
          </a:xfrm>
          <a:custGeom>
            <a:avLst/>
            <a:gdLst>
              <a:gd name="connsiteX0" fmla="*/ 0 w 929640"/>
              <a:gd name="connsiteY0" fmla="*/ 144780 h 144942"/>
              <a:gd name="connsiteX1" fmla="*/ 190500 w 929640"/>
              <a:gd name="connsiteY1" fmla="*/ 45720 h 144942"/>
              <a:gd name="connsiteX2" fmla="*/ 342900 w 929640"/>
              <a:gd name="connsiteY2" fmla="*/ 121920 h 144942"/>
              <a:gd name="connsiteX3" fmla="*/ 571500 w 929640"/>
              <a:gd name="connsiteY3" fmla="*/ 30480 h 144942"/>
              <a:gd name="connsiteX4" fmla="*/ 800100 w 929640"/>
              <a:gd name="connsiteY4" fmla="*/ 144780 h 144942"/>
              <a:gd name="connsiteX5" fmla="*/ 929640 w 929640"/>
              <a:gd name="connsiteY5" fmla="*/ 0 h 144942"/>
              <a:gd name="connsiteX6" fmla="*/ 929640 w 929640"/>
              <a:gd name="connsiteY6" fmla="*/ 0 h 144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929640" h="144942">
                <a:moveTo>
                  <a:pt x="0" y="144780"/>
                </a:moveTo>
                <a:cubicBezTo>
                  <a:pt x="66675" y="97155"/>
                  <a:pt x="133350" y="49530"/>
                  <a:pt x="190500" y="45720"/>
                </a:cubicBezTo>
                <a:cubicBezTo>
                  <a:pt x="247650" y="41910"/>
                  <a:pt x="279400" y="124460"/>
                  <a:pt x="342900" y="121920"/>
                </a:cubicBezTo>
                <a:cubicBezTo>
                  <a:pt x="406400" y="119380"/>
                  <a:pt x="495300" y="26670"/>
                  <a:pt x="571500" y="30480"/>
                </a:cubicBezTo>
                <a:cubicBezTo>
                  <a:pt x="647700" y="34290"/>
                  <a:pt x="740410" y="149860"/>
                  <a:pt x="800100" y="144780"/>
                </a:cubicBezTo>
                <a:cubicBezTo>
                  <a:pt x="859790" y="139700"/>
                  <a:pt x="929640" y="0"/>
                  <a:pt x="929640" y="0"/>
                </a:cubicBezTo>
                <a:lnTo>
                  <a:pt x="929640" y="0"/>
                </a:lnTo>
              </a:path>
            </a:pathLst>
          </a:custGeom>
          <a:noFill/>
          <a:ln w="762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141833</xdr:colOff>
      <xdr:row>11</xdr:row>
      <xdr:rowOff>148668</xdr:rowOff>
    </xdr:from>
    <xdr:to>
      <xdr:col>8</xdr:col>
      <xdr:colOff>46350</xdr:colOff>
      <xdr:row>16</xdr:row>
      <xdr:rowOff>138749</xdr:rowOff>
    </xdr:to>
    <xdr:sp macro="" textlink="">
      <xdr:nvSpPr>
        <xdr:cNvPr id="156" name="TextBox 2170"/>
        <xdr:cNvSpPr txBox="1"/>
      </xdr:nvSpPr>
      <xdr:spPr>
        <a:xfrm flipH="1">
          <a:off x="3799433" y="1929843"/>
          <a:ext cx="1123717" cy="799706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Клапан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обратный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створчатый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КОС - 54 </a:t>
          </a:r>
        </a:p>
        <a:p>
          <a:pPr>
            <a:defRPr/>
          </a:pPr>
          <a:r>
            <a:rPr lang="en-US" sz="600" b="1" i="1">
              <a:latin typeface="Arial"/>
              <a:cs typeface="Arial"/>
            </a:rPr>
            <a:t>Ø</a:t>
          </a:r>
          <a:r>
            <a:rPr lang="ru-RU" sz="600" b="1" i="1">
              <a:latin typeface="Arial"/>
              <a:cs typeface="Arial"/>
            </a:rPr>
            <a:t> нар. - 54мм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М42х2 муфта – М42х2 ниппель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Длина – 400мм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76200</xdr:colOff>
      <xdr:row>22</xdr:row>
      <xdr:rowOff>47625</xdr:rowOff>
    </xdr:from>
    <xdr:to>
      <xdr:col>6</xdr:col>
      <xdr:colOff>123825</xdr:colOff>
      <xdr:row>23</xdr:row>
      <xdr:rowOff>66675</xdr:rowOff>
    </xdr:to>
    <xdr:sp macro="" textlink="">
      <xdr:nvSpPr>
        <xdr:cNvPr id="10043" name="Freeform 136"/>
        <xdr:cNvSpPr>
          <a:spLocks/>
        </xdr:cNvSpPr>
      </xdr:nvSpPr>
      <xdr:spPr bwMode="auto">
        <a:xfrm flipV="1">
          <a:off x="3733800" y="3609975"/>
          <a:ext cx="47625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209550</xdr:colOff>
      <xdr:row>22</xdr:row>
      <xdr:rowOff>47625</xdr:rowOff>
    </xdr:from>
    <xdr:to>
      <xdr:col>5</xdr:col>
      <xdr:colOff>266700</xdr:colOff>
      <xdr:row>23</xdr:row>
      <xdr:rowOff>66675</xdr:rowOff>
    </xdr:to>
    <xdr:sp macro="" textlink="">
      <xdr:nvSpPr>
        <xdr:cNvPr id="10044" name="Freeform 136"/>
        <xdr:cNvSpPr>
          <a:spLocks/>
        </xdr:cNvSpPr>
      </xdr:nvSpPr>
      <xdr:spPr bwMode="auto">
        <a:xfrm flipV="1">
          <a:off x="3257550" y="3609975"/>
          <a:ext cx="57150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286496</xdr:colOff>
      <xdr:row>4</xdr:row>
      <xdr:rowOff>145470</xdr:rowOff>
    </xdr:from>
    <xdr:to>
      <xdr:col>2</xdr:col>
      <xdr:colOff>230253</xdr:colOff>
      <xdr:row>6</xdr:row>
      <xdr:rowOff>2375</xdr:rowOff>
    </xdr:to>
    <xdr:sp macro="" textlink="">
      <xdr:nvSpPr>
        <xdr:cNvPr id="179" name="TextBox 2170"/>
        <xdr:cNvSpPr txBox="1"/>
      </xdr:nvSpPr>
      <xdr:spPr>
        <a:xfrm flipH="1">
          <a:off x="896096" y="793170"/>
          <a:ext cx="553357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38.1</a:t>
          </a:r>
        </a:p>
      </xdr:txBody>
    </xdr:sp>
    <xdr:clientData/>
  </xdr:twoCellAnchor>
  <xdr:twoCellAnchor>
    <xdr:from>
      <xdr:col>1</xdr:col>
      <xdr:colOff>228842</xdr:colOff>
      <xdr:row>9</xdr:row>
      <xdr:rowOff>2512</xdr:rowOff>
    </xdr:from>
    <xdr:to>
      <xdr:col>3</xdr:col>
      <xdr:colOff>0</xdr:colOff>
      <xdr:row>12</xdr:row>
      <xdr:rowOff>51179</xdr:rowOff>
    </xdr:to>
    <xdr:sp macro="" textlink="">
      <xdr:nvSpPr>
        <xdr:cNvPr id="180" name="TextBox 2170"/>
        <xdr:cNvSpPr txBox="1"/>
      </xdr:nvSpPr>
      <xdr:spPr>
        <a:xfrm flipH="1">
          <a:off x="838442" y="1459837"/>
          <a:ext cx="990358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Внутренний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38мм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М30х2 муфта </a:t>
          </a:r>
        </a:p>
      </xdr:txBody>
    </xdr:sp>
    <xdr:clientData/>
  </xdr:twoCellAnchor>
  <xdr:twoCellAnchor>
    <xdr:from>
      <xdr:col>0</xdr:col>
      <xdr:colOff>314325</xdr:colOff>
      <xdr:row>3</xdr:row>
      <xdr:rowOff>66675</xdr:rowOff>
    </xdr:from>
    <xdr:to>
      <xdr:col>1</xdr:col>
      <xdr:colOff>47625</xdr:colOff>
      <xdr:row>9</xdr:row>
      <xdr:rowOff>133350</xdr:rowOff>
    </xdr:to>
    <xdr:grpSp>
      <xdr:nvGrpSpPr>
        <xdr:cNvPr id="10047" name="Группа 3"/>
        <xdr:cNvGrpSpPr>
          <a:grpSpLocks/>
        </xdr:cNvGrpSpPr>
      </xdr:nvGrpSpPr>
      <xdr:grpSpPr bwMode="auto">
        <a:xfrm>
          <a:off x="314325" y="552450"/>
          <a:ext cx="342900" cy="1038225"/>
          <a:chOff x="2276477" y="408706"/>
          <a:chExt cx="1027111" cy="3732705"/>
        </a:xfrm>
      </xdr:grpSpPr>
      <xdr:sp macro="" textlink="">
        <xdr:nvSpPr>
          <xdr:cNvPr id="182" name="Трапеция 181"/>
          <xdr:cNvSpPr/>
        </xdr:nvSpPr>
        <xdr:spPr>
          <a:xfrm>
            <a:off x="2390600" y="408706"/>
            <a:ext cx="798864" cy="136980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83" name="Freeform 136"/>
          <xdr:cNvSpPr>
            <a:spLocks/>
          </xdr:cNvSpPr>
        </xdr:nvSpPr>
        <xdr:spPr bwMode="auto">
          <a:xfrm rot="5400000" flipV="1">
            <a:off x="1882539" y="985258"/>
            <a:ext cx="1814985" cy="798864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84" name="Трапеция 183"/>
          <xdr:cNvSpPr/>
        </xdr:nvSpPr>
        <xdr:spPr>
          <a:xfrm>
            <a:off x="2276477" y="2292181"/>
            <a:ext cx="1027111" cy="102735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0111" name="Line 591"/>
          <xdr:cNvSpPr>
            <a:spLocks noChangeShapeType="1"/>
          </xdr:cNvSpPr>
        </xdr:nvSpPr>
        <xdr:spPr bwMode="ltGray">
          <a:xfrm flipH="1">
            <a:off x="2418584" y="20967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6" name="Freeform 136"/>
          <xdr:cNvSpPr>
            <a:spLocks/>
          </xdr:cNvSpPr>
        </xdr:nvSpPr>
        <xdr:spPr bwMode="auto">
          <a:xfrm rot="5400000" flipV="1">
            <a:off x="1899663" y="2737486"/>
            <a:ext cx="1780740" cy="102711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87" name="Блок-схема: задержка 186"/>
          <xdr:cNvSpPr/>
        </xdr:nvSpPr>
        <xdr:spPr>
          <a:xfrm>
            <a:off x="2390600" y="1710016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88" name="Блок-схема: задержка 187"/>
          <xdr:cNvSpPr/>
        </xdr:nvSpPr>
        <xdr:spPr>
          <a:xfrm>
            <a:off x="2390600" y="57993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89" name="Блок-схема: задержка 188"/>
          <xdr:cNvSpPr/>
        </xdr:nvSpPr>
        <xdr:spPr>
          <a:xfrm>
            <a:off x="2390600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0" name="Блок-схема: задержка 189"/>
          <xdr:cNvSpPr/>
        </xdr:nvSpPr>
        <xdr:spPr>
          <a:xfrm rot="10800000">
            <a:off x="3132403" y="1744261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1" name="Блок-схема: задержка 190"/>
          <xdr:cNvSpPr/>
        </xdr:nvSpPr>
        <xdr:spPr>
          <a:xfrm rot="10800000">
            <a:off x="3132403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2" name="Блок-схема: задержка 191"/>
          <xdr:cNvSpPr/>
        </xdr:nvSpPr>
        <xdr:spPr>
          <a:xfrm rot="10800000">
            <a:off x="3132403" y="614176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0119" name="Line 591"/>
          <xdr:cNvSpPr>
            <a:spLocks noChangeShapeType="1"/>
          </xdr:cNvSpPr>
        </xdr:nvSpPr>
        <xdr:spPr bwMode="ltGray">
          <a:xfrm flipH="1">
            <a:off x="2399520" y="96321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0" name="Line 591"/>
          <xdr:cNvSpPr>
            <a:spLocks noChangeShapeType="1"/>
          </xdr:cNvSpPr>
        </xdr:nvSpPr>
        <xdr:spPr bwMode="ltGray">
          <a:xfrm flipH="1">
            <a:off x="2409059" y="11915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1" name="Line 591"/>
          <xdr:cNvSpPr>
            <a:spLocks noChangeShapeType="1"/>
          </xdr:cNvSpPr>
        </xdr:nvSpPr>
        <xdr:spPr bwMode="ltGray">
          <a:xfrm flipH="1">
            <a:off x="2399829" y="1564257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2" name="Line 591"/>
          <xdr:cNvSpPr>
            <a:spLocks noChangeShapeType="1"/>
          </xdr:cNvSpPr>
        </xdr:nvSpPr>
        <xdr:spPr bwMode="ltGray">
          <a:xfrm flipH="1">
            <a:off x="2411423" y="173479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3" name="Line 591"/>
          <xdr:cNvSpPr>
            <a:spLocks noChangeShapeType="1"/>
          </xdr:cNvSpPr>
        </xdr:nvSpPr>
        <xdr:spPr bwMode="ltGray">
          <a:xfrm flipH="1">
            <a:off x="2399519" y="58400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8" name="Прямоугольник 197"/>
          <xdr:cNvSpPr/>
        </xdr:nvSpPr>
        <xdr:spPr>
          <a:xfrm>
            <a:off x="2561786" y="477196"/>
            <a:ext cx="57062" cy="1883475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</xdr:grpSp>
    <xdr:clientData/>
  </xdr:twoCellAnchor>
  <xdr:twoCellAnchor>
    <xdr:from>
      <xdr:col>0</xdr:col>
      <xdr:colOff>314325</xdr:colOff>
      <xdr:row>1</xdr:row>
      <xdr:rowOff>152400</xdr:rowOff>
    </xdr:from>
    <xdr:to>
      <xdr:col>1</xdr:col>
      <xdr:colOff>57150</xdr:colOff>
      <xdr:row>6</xdr:row>
      <xdr:rowOff>19050</xdr:rowOff>
    </xdr:to>
    <xdr:sp macro="" textlink="">
      <xdr:nvSpPr>
        <xdr:cNvPr id="10048" name="Freeform 366"/>
        <xdr:cNvSpPr>
          <a:spLocks/>
        </xdr:cNvSpPr>
      </xdr:nvSpPr>
      <xdr:spPr bwMode="auto">
        <a:xfrm rot="10800000">
          <a:off x="314325" y="314325"/>
          <a:ext cx="352425" cy="676275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12</xdr:row>
      <xdr:rowOff>85725</xdr:rowOff>
    </xdr:from>
    <xdr:to>
      <xdr:col>3</xdr:col>
      <xdr:colOff>0</xdr:colOff>
      <xdr:row>16</xdr:row>
      <xdr:rowOff>152400</xdr:rowOff>
    </xdr:to>
    <xdr:grpSp>
      <xdr:nvGrpSpPr>
        <xdr:cNvPr id="10049" name="Группа 5"/>
        <xdr:cNvGrpSpPr>
          <a:grpSpLocks/>
        </xdr:cNvGrpSpPr>
      </xdr:nvGrpSpPr>
      <xdr:grpSpPr bwMode="auto">
        <a:xfrm>
          <a:off x="714375" y="2028825"/>
          <a:ext cx="1114425" cy="714375"/>
          <a:chOff x="1044862" y="2531805"/>
          <a:chExt cx="1123664" cy="868559"/>
        </a:xfrm>
      </xdr:grpSpPr>
      <xdr:sp macro="" textlink="">
        <xdr:nvSpPr>
          <xdr:cNvPr id="201" name="TextBox 2170"/>
          <xdr:cNvSpPr txBox="1"/>
        </xdr:nvSpPr>
        <xdr:spPr>
          <a:xfrm flipH="1">
            <a:off x="1044862" y="2531805"/>
            <a:ext cx="1123664" cy="868559"/>
          </a:xfrm>
          <a:prstGeom prst="rect">
            <a:avLst/>
          </a:prstGeom>
          <a:noFill/>
          <a:ln>
            <a:noFill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Клапан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обратный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створчатый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КОС - 38</a:t>
            </a:r>
          </a:p>
          <a:p>
            <a:pPr>
              <a:defRPr/>
            </a:pPr>
            <a:r>
              <a:rPr lang="en-US" sz="600" b="1" i="1">
                <a:latin typeface="Arial"/>
                <a:cs typeface="Arial"/>
              </a:rPr>
              <a:t>Ø</a:t>
            </a:r>
            <a:r>
              <a:rPr lang="ru-RU" sz="600" b="1" i="1">
                <a:latin typeface="Arial"/>
                <a:cs typeface="Arial"/>
              </a:rPr>
              <a:t> нар. – 38 мм</a:t>
            </a:r>
          </a:p>
          <a:p>
            <a:pPr>
              <a:defRPr/>
            </a:pPr>
            <a:r>
              <a:rPr lang="ru-RU" sz="600" b="1" i="1">
                <a:latin typeface="Arial"/>
                <a:cs typeface="Arial"/>
              </a:rPr>
              <a:t>Резьба М30х2 ниппель – М30х2 муфта</a:t>
            </a:r>
          </a:p>
        </xdr:txBody>
      </xdr:sp>
      <xdr:grpSp>
        <xdr:nvGrpSpPr>
          <xdr:cNvPr id="10082" name="Группа 67"/>
          <xdr:cNvGrpSpPr>
            <a:grpSpLocks/>
          </xdr:cNvGrpSpPr>
        </xdr:nvGrpSpPr>
        <xdr:grpSpPr bwMode="auto">
          <a:xfrm>
            <a:off x="616346" y="2000790"/>
            <a:ext cx="345215" cy="1602528"/>
            <a:chOff x="3260694" y="1865732"/>
            <a:chExt cx="345215" cy="1602528"/>
          </a:xfrm>
        </xdr:grpSpPr>
        <xdr:grpSp>
          <xdr:nvGrpSpPr>
            <xdr:cNvPr id="10083" name="Группа 68"/>
            <xdr:cNvGrpSpPr>
              <a:grpSpLocks/>
            </xdr:cNvGrpSpPr>
          </xdr:nvGrpSpPr>
          <xdr:grpSpPr bwMode="auto">
            <a:xfrm>
              <a:off x="3309672" y="1865732"/>
              <a:ext cx="240645" cy="357591"/>
              <a:chOff x="2120871" y="2139690"/>
              <a:chExt cx="676872" cy="761717"/>
            </a:xfrm>
          </xdr:grpSpPr>
          <xdr:sp macro="" textlink="">
            <xdr:nvSpPr>
              <xdr:cNvPr id="10089" name="Freeform 625"/>
              <xdr:cNvSpPr>
                <a:spLocks/>
              </xdr:cNvSpPr>
            </xdr:nvSpPr>
            <xdr:spPr bwMode="auto">
              <a:xfrm rot="10800000">
                <a:off x="2137242" y="2480144"/>
                <a:ext cx="644088" cy="4212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0" name="Freeform 1113"/>
              <xdr:cNvSpPr>
                <a:spLocks noChangeAspect="1"/>
              </xdr:cNvSpPr>
            </xdr:nvSpPr>
            <xdr:spPr bwMode="auto">
              <a:xfrm rot="5400000" flipH="1" flipV="1">
                <a:off x="2453999" y="2544930"/>
                <a:ext cx="19005" cy="668483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517657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2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84226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3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49218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4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14819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5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8346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6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5083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6662" y="2291801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8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32018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9" name="Freeform 1110"/>
              <xdr:cNvSpPr>
                <a:spLocks noChangeAspect="1"/>
              </xdr:cNvSpPr>
            </xdr:nvSpPr>
            <xdr:spPr bwMode="auto">
              <a:xfrm rot="5400000" flipH="1" flipV="1">
                <a:off x="2437440" y="2260882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0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323" y="219389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188" y="2226883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2" name="Freeform 625"/>
              <xdr:cNvSpPr>
                <a:spLocks/>
              </xdr:cNvSpPr>
            </xdr:nvSpPr>
            <xdr:spPr bwMode="auto">
              <a:xfrm rot="10800000">
                <a:off x="2157428" y="2448834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3" name="Freeform 625"/>
              <xdr:cNvSpPr>
                <a:spLocks/>
              </xdr:cNvSpPr>
            </xdr:nvSpPr>
            <xdr:spPr bwMode="auto">
              <a:xfrm rot="10800000">
                <a:off x="2138597" y="2309036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4" name="Freeform 625"/>
              <xdr:cNvSpPr>
                <a:spLocks/>
              </xdr:cNvSpPr>
            </xdr:nvSpPr>
            <xdr:spPr bwMode="auto">
              <a:xfrm rot="10800000">
                <a:off x="2158841" y="2276478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5" name="Freeform 625"/>
              <xdr:cNvSpPr>
                <a:spLocks/>
              </xdr:cNvSpPr>
            </xdr:nvSpPr>
            <xdr:spPr bwMode="auto">
              <a:xfrm rot="10800000">
                <a:off x="2139303" y="2139690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6" name="Скругленный прямоугольник 225"/>
              <xdr:cNvSpPr/>
            </xdr:nvSpPr>
            <xdr:spPr>
              <a:xfrm rot="16200000" flipH="1">
                <a:off x="2419701" y="2120265"/>
                <a:ext cx="24669" cy="648321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  <xdr:sp macro="" textlink="">
            <xdr:nvSpPr>
              <xdr:cNvPr id="227" name="Скругленный прямоугольник 226"/>
              <xdr:cNvSpPr/>
            </xdr:nvSpPr>
            <xdr:spPr>
              <a:xfrm rot="16200000" flipH="1">
                <a:off x="2419701" y="1972253"/>
                <a:ext cx="24669" cy="648321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</xdr:grpSp>
        <xdr:sp macro="" textlink="">
          <xdr:nvSpPr>
            <xdr:cNvPr id="204" name="Freeform 136"/>
            <xdr:cNvSpPr>
              <a:spLocks/>
            </xdr:cNvSpPr>
          </xdr:nvSpPr>
          <xdr:spPr bwMode="auto">
            <a:xfrm rot="5400000" flipV="1">
              <a:off x="3361407" y="2095499"/>
              <a:ext cx="127389" cy="336138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5" name="Freeform 136"/>
            <xdr:cNvSpPr>
              <a:spLocks/>
            </xdr:cNvSpPr>
          </xdr:nvSpPr>
          <xdr:spPr bwMode="auto">
            <a:xfrm rot="5400000" flipV="1">
              <a:off x="3180916" y="2391798"/>
              <a:ext cx="497974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6" name="Freeform 136"/>
            <xdr:cNvSpPr>
              <a:spLocks/>
            </xdr:cNvSpPr>
          </xdr:nvSpPr>
          <xdr:spPr bwMode="auto">
            <a:xfrm rot="5400000" flipV="1">
              <a:off x="3371999" y="2675527"/>
              <a:ext cx="115808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7" name="Freeform 136"/>
            <xdr:cNvSpPr>
              <a:spLocks/>
            </xdr:cNvSpPr>
          </xdr:nvSpPr>
          <xdr:spPr bwMode="auto">
            <a:xfrm rot="5400000" flipV="1">
              <a:off x="3169335" y="2970837"/>
              <a:ext cx="521135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8" name="Freeform 136"/>
            <xdr:cNvSpPr>
              <a:spLocks/>
            </xdr:cNvSpPr>
          </xdr:nvSpPr>
          <xdr:spPr bwMode="auto">
            <a:xfrm rot="5400000" flipV="1">
              <a:off x="3389370" y="3260357"/>
              <a:ext cx="81066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276225</xdr:colOff>
      <xdr:row>18</xdr:row>
      <xdr:rowOff>0</xdr:rowOff>
    </xdr:from>
    <xdr:to>
      <xdr:col>1</xdr:col>
      <xdr:colOff>28575</xdr:colOff>
      <xdr:row>21</xdr:row>
      <xdr:rowOff>9525</xdr:rowOff>
    </xdr:to>
    <xdr:grpSp>
      <xdr:nvGrpSpPr>
        <xdr:cNvPr id="10050" name="Группа 6"/>
        <xdr:cNvGrpSpPr>
          <a:grpSpLocks/>
        </xdr:cNvGrpSpPr>
      </xdr:nvGrpSpPr>
      <xdr:grpSpPr bwMode="auto">
        <a:xfrm>
          <a:off x="276225" y="2914650"/>
          <a:ext cx="361950" cy="495300"/>
          <a:chOff x="5055476" y="4961394"/>
          <a:chExt cx="363767" cy="770295"/>
        </a:xfrm>
      </xdr:grpSpPr>
      <xdr:grpSp>
        <xdr:nvGrpSpPr>
          <xdr:cNvPr id="10053" name="Группа 38"/>
          <xdr:cNvGrpSpPr>
            <a:grpSpLocks/>
          </xdr:cNvGrpSpPr>
        </xdr:nvGrpSpPr>
        <xdr:grpSpPr bwMode="auto">
          <a:xfrm>
            <a:off x="5101534" y="4961394"/>
            <a:ext cx="272742" cy="327600"/>
            <a:chOff x="2120871" y="2139690"/>
            <a:chExt cx="676872" cy="761717"/>
          </a:xfrm>
        </xdr:grpSpPr>
        <xdr:sp macro="" textlink="">
          <xdr:nvSpPr>
            <xdr:cNvPr id="10062" name="Freeform 625"/>
            <xdr:cNvSpPr>
              <a:spLocks/>
            </xdr:cNvSpPr>
          </xdr:nvSpPr>
          <xdr:spPr bwMode="auto">
            <a:xfrm rot="10800000">
              <a:off x="2137242" y="2480144"/>
              <a:ext cx="644088" cy="4212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3" name="Freeform 1113"/>
            <xdr:cNvSpPr>
              <a:spLocks noChangeAspect="1"/>
            </xdr:cNvSpPr>
          </xdr:nvSpPr>
          <xdr:spPr bwMode="auto">
            <a:xfrm rot="5400000" flipH="1" flipV="1">
              <a:off x="2453999" y="2544930"/>
              <a:ext cx="19005" cy="668483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4" name="Freeform 1110"/>
            <xdr:cNvSpPr>
              <a:spLocks noChangeAspect="1"/>
            </xdr:cNvSpPr>
          </xdr:nvSpPr>
          <xdr:spPr bwMode="auto">
            <a:xfrm rot="5400000" flipH="1" flipV="1">
              <a:off x="2438192" y="2517657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5" name="Freeform 1110"/>
            <xdr:cNvSpPr>
              <a:spLocks noChangeAspect="1"/>
            </xdr:cNvSpPr>
          </xdr:nvSpPr>
          <xdr:spPr bwMode="auto">
            <a:xfrm rot="5400000" flipH="1" flipV="1">
              <a:off x="2438192" y="2484226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6" name="Freeform 1110"/>
            <xdr:cNvSpPr>
              <a:spLocks noChangeAspect="1"/>
            </xdr:cNvSpPr>
          </xdr:nvSpPr>
          <xdr:spPr bwMode="auto">
            <a:xfrm rot="5400000" flipH="1" flipV="1">
              <a:off x="2438192" y="2449218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7" name="Freeform 1110"/>
            <xdr:cNvSpPr>
              <a:spLocks noChangeAspect="1"/>
            </xdr:cNvSpPr>
          </xdr:nvSpPr>
          <xdr:spPr bwMode="auto">
            <a:xfrm rot="5400000" flipH="1" flipV="1">
              <a:off x="2438192" y="2414819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8" name="Freeform 1110"/>
            <xdr:cNvSpPr>
              <a:spLocks noChangeAspect="1"/>
            </xdr:cNvSpPr>
          </xdr:nvSpPr>
          <xdr:spPr bwMode="auto">
            <a:xfrm rot="5400000" flipH="1" flipV="1">
              <a:off x="2439725" y="238346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9" name="Freeform 1110"/>
            <xdr:cNvSpPr>
              <a:spLocks noChangeAspect="1"/>
            </xdr:cNvSpPr>
          </xdr:nvSpPr>
          <xdr:spPr bwMode="auto">
            <a:xfrm rot="5400000" flipH="1" flipV="1">
              <a:off x="2439725" y="235083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0" name="Freeform 1110"/>
            <xdr:cNvSpPr>
              <a:spLocks noChangeAspect="1"/>
            </xdr:cNvSpPr>
          </xdr:nvSpPr>
          <xdr:spPr bwMode="auto">
            <a:xfrm rot="5400000" flipH="1" flipV="1">
              <a:off x="2436662" y="2291801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1" name="Freeform 1110"/>
            <xdr:cNvSpPr>
              <a:spLocks noChangeAspect="1"/>
            </xdr:cNvSpPr>
          </xdr:nvSpPr>
          <xdr:spPr bwMode="auto">
            <a:xfrm rot="5400000" flipH="1" flipV="1">
              <a:off x="2438192" y="232018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2" name="Freeform 1110"/>
            <xdr:cNvSpPr>
              <a:spLocks noChangeAspect="1"/>
            </xdr:cNvSpPr>
          </xdr:nvSpPr>
          <xdr:spPr bwMode="auto">
            <a:xfrm rot="5400000" flipH="1" flipV="1">
              <a:off x="2437440" y="2260882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3" name="Freeform 1110"/>
            <xdr:cNvSpPr>
              <a:spLocks noChangeAspect="1"/>
            </xdr:cNvSpPr>
          </xdr:nvSpPr>
          <xdr:spPr bwMode="auto">
            <a:xfrm rot="5400000" flipH="1" flipV="1">
              <a:off x="2439323" y="219389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4" name="Freeform 1110"/>
            <xdr:cNvSpPr>
              <a:spLocks noChangeAspect="1"/>
            </xdr:cNvSpPr>
          </xdr:nvSpPr>
          <xdr:spPr bwMode="auto">
            <a:xfrm rot="5400000" flipH="1" flipV="1">
              <a:off x="2439188" y="2226883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5" name="Freeform 625"/>
            <xdr:cNvSpPr>
              <a:spLocks/>
            </xdr:cNvSpPr>
          </xdr:nvSpPr>
          <xdr:spPr bwMode="auto">
            <a:xfrm rot="10800000">
              <a:off x="2157428" y="2448834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6" name="Freeform 625"/>
            <xdr:cNvSpPr>
              <a:spLocks/>
            </xdr:cNvSpPr>
          </xdr:nvSpPr>
          <xdr:spPr bwMode="auto">
            <a:xfrm rot="10800000">
              <a:off x="2138597" y="2309036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7" name="Freeform 625"/>
            <xdr:cNvSpPr>
              <a:spLocks/>
            </xdr:cNvSpPr>
          </xdr:nvSpPr>
          <xdr:spPr bwMode="auto">
            <a:xfrm rot="10800000">
              <a:off x="2158841" y="2276478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8" name="Freeform 625"/>
            <xdr:cNvSpPr>
              <a:spLocks/>
            </xdr:cNvSpPr>
          </xdr:nvSpPr>
          <xdr:spPr bwMode="auto">
            <a:xfrm rot="10800000">
              <a:off x="2139303" y="2139690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5" name="Скругленный прямоугольник 254"/>
            <xdr:cNvSpPr/>
          </xdr:nvSpPr>
          <xdr:spPr>
            <a:xfrm rot="16200000" flipH="1">
              <a:off x="2440730" y="2134302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56" name="Скругленный прямоугольник 255"/>
            <xdr:cNvSpPr/>
          </xdr:nvSpPr>
          <xdr:spPr>
            <a:xfrm rot="16200000" flipH="1">
              <a:off x="2440730" y="1962087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  <xdr:grpSp>
        <xdr:nvGrpSpPr>
          <xdr:cNvPr id="10054" name="Группа 39"/>
          <xdr:cNvGrpSpPr>
            <a:grpSpLocks/>
          </xdr:cNvGrpSpPr>
        </xdr:nvGrpSpPr>
        <xdr:grpSpPr bwMode="auto">
          <a:xfrm>
            <a:off x="5055476" y="5262590"/>
            <a:ext cx="363767" cy="469099"/>
            <a:chOff x="3435333" y="5210641"/>
            <a:chExt cx="1050488" cy="847144"/>
          </a:xfrm>
        </xdr:grpSpPr>
        <xdr:sp macro="" textlink="">
          <xdr:nvSpPr>
            <xdr:cNvPr id="231" name="Блок-схема: задержка 230"/>
            <xdr:cNvSpPr/>
          </xdr:nvSpPr>
          <xdr:spPr>
            <a:xfrm rot="5400000">
              <a:off x="3559306" y="5131270"/>
              <a:ext cx="802542" cy="1050488"/>
            </a:xfrm>
            <a:prstGeom prst="flowChartDelay">
              <a:avLst/>
            </a:prstGeom>
            <a:gradFill flip="none" rotWithShape="1">
              <a:gsLst>
                <a:gs pos="36000">
                  <a:schemeClr val="tx1">
                    <a:lumMod val="85000"/>
                    <a:lumOff val="15000"/>
                  </a:schemeClr>
                </a:gs>
                <a:gs pos="79000">
                  <a:schemeClr val="accent1">
                    <a:tint val="44500"/>
                    <a:satMod val="160000"/>
                    <a:lumMod val="89000"/>
                    <a:alpha val="37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2" name="Блок-схема: ручное управление 231"/>
            <xdr:cNvSpPr/>
          </xdr:nvSpPr>
          <xdr:spPr>
            <a:xfrm rot="10800000">
              <a:off x="3435333" y="5201741"/>
              <a:ext cx="1050488" cy="53503"/>
            </a:xfrm>
            <a:prstGeom prst="flowChartManualOperation">
              <a:avLst/>
            </a:prstGeom>
            <a:gradFill flip="none" rotWithShape="1">
              <a:gsLst>
                <a:gs pos="28000">
                  <a:schemeClr val="tx1">
                    <a:lumMod val="85000"/>
                    <a:lumOff val="15000"/>
                  </a:schemeClr>
                </a:gs>
                <a:gs pos="85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3" name="Блок-схема: задержка 232"/>
            <xdr:cNvSpPr/>
          </xdr:nvSpPr>
          <xdr:spPr>
            <a:xfrm rot="16200000">
              <a:off x="3786248" y="5042551"/>
              <a:ext cx="321017" cy="746399"/>
            </a:xfrm>
            <a:prstGeom prst="flowChartDelay">
              <a:avLst/>
            </a:prstGeom>
            <a:solidFill>
              <a:schemeClr val="bg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4" name="Блок-схема: задержка 233"/>
            <xdr:cNvSpPr/>
          </xdr:nvSpPr>
          <xdr:spPr>
            <a:xfrm rot="5400000">
              <a:off x="3934272" y="5243187"/>
              <a:ext cx="80254" cy="746399"/>
            </a:xfrm>
            <a:prstGeom prst="flowChartDelay">
              <a:avLst/>
            </a:prstGeom>
            <a:gradFill flip="none" rotWithShape="1">
              <a:gsLst>
                <a:gs pos="18000">
                  <a:schemeClr val="bg2">
                    <a:lumMod val="40000"/>
                    <a:lumOff val="60000"/>
                  </a:schemeClr>
                </a:gs>
                <a:gs pos="50000">
                  <a:schemeClr val="bg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bg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5" name="Овал 234"/>
            <xdr:cNvSpPr/>
          </xdr:nvSpPr>
          <xdr:spPr>
            <a:xfrm>
              <a:off x="3905288" y="6004282"/>
              <a:ext cx="165867" cy="53503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36" name="Овал 235"/>
            <xdr:cNvSpPr/>
          </xdr:nvSpPr>
          <xdr:spPr>
            <a:xfrm rot="1600789">
              <a:off x="3656488" y="5763520"/>
              <a:ext cx="82933" cy="187260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37" name="Овал 236"/>
            <xdr:cNvSpPr/>
          </xdr:nvSpPr>
          <xdr:spPr>
            <a:xfrm rot="20072787">
              <a:off x="4237021" y="5763520"/>
              <a:ext cx="82933" cy="160508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47625</xdr:rowOff>
    </xdr:from>
    <xdr:to>
      <xdr:col>2</xdr:col>
      <xdr:colOff>142070</xdr:colOff>
      <xdr:row>1</xdr:row>
      <xdr:rowOff>95950</xdr:rowOff>
    </xdr:to>
    <xdr:sp macro="" textlink="">
      <xdr:nvSpPr>
        <xdr:cNvPr id="257" name="TextBox 2170"/>
        <xdr:cNvSpPr txBox="1"/>
      </xdr:nvSpPr>
      <xdr:spPr>
        <a:xfrm flipH="1">
          <a:off x="0" y="47625"/>
          <a:ext cx="1361270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промывочная № 1</a:t>
          </a:r>
        </a:p>
      </xdr:txBody>
    </xdr:sp>
    <xdr:clientData/>
  </xdr:twoCellAnchor>
  <xdr:twoCellAnchor>
    <xdr:from>
      <xdr:col>1</xdr:col>
      <xdr:colOff>219065</xdr:colOff>
      <xdr:row>18</xdr:row>
      <xdr:rowOff>2827</xdr:rowOff>
    </xdr:from>
    <xdr:to>
      <xdr:col>3</xdr:col>
      <xdr:colOff>0</xdr:colOff>
      <xdr:row>21</xdr:row>
      <xdr:rowOff>51494</xdr:rowOff>
    </xdr:to>
    <xdr:sp macro="" textlink="">
      <xdr:nvSpPr>
        <xdr:cNvPr id="258" name="Прямоугольник 257"/>
        <xdr:cNvSpPr/>
      </xdr:nvSpPr>
      <xdr:spPr>
        <a:xfrm>
          <a:off x="828665" y="2917477"/>
          <a:ext cx="1000135" cy="53444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Насадка</a:t>
          </a:r>
          <a:br>
            <a:rPr lang="ru-RU" sz="600" b="1" i="1">
              <a:latin typeface="Arial" pitchFamily="34" charset="0"/>
              <a:cs typeface="Arial" pitchFamily="34" charset="0"/>
            </a:rPr>
          </a:br>
          <a:r>
            <a:rPr lang="ru-RU" sz="600" b="1" i="1">
              <a:latin typeface="Arial" pitchFamily="34" charset="0"/>
              <a:cs typeface="Arial" pitchFamily="34" charset="0"/>
            </a:rPr>
            <a:t>промывочная 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38мм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М30х2 ниппель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akhipov@calfrac.com" TargetMode="External"/><Relationship Id="rId1" Type="http://schemas.openxmlformats.org/officeDocument/2006/relationships/hyperlink" Target="mailto:gshipilin@calfrac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110"/>
  <sheetViews>
    <sheetView tabSelected="1" view="pageBreakPreview" topLeftCell="I1" zoomScaleNormal="100" zoomScaleSheetLayoutView="100" workbookViewId="0">
      <selection activeCell="N24" sqref="N24:P24"/>
    </sheetView>
  </sheetViews>
  <sheetFormatPr defaultRowHeight="15" customHeight="1" x14ac:dyDescent="0.2"/>
  <cols>
    <col min="1" max="1" width="4.7109375" style="12" customWidth="1"/>
    <col min="2" max="2" width="9.140625" style="12"/>
    <col min="3" max="3" width="13.42578125" style="12" bestFit="1" customWidth="1"/>
    <col min="4" max="4" width="9.140625" style="12"/>
    <col min="5" max="5" width="11.85546875" style="12" customWidth="1"/>
    <col min="6" max="6" width="7.28515625" style="12" customWidth="1"/>
    <col min="7" max="7" width="9" style="12" customWidth="1"/>
    <col min="8" max="8" width="12.85546875" style="12" customWidth="1"/>
    <col min="9" max="10" width="9.140625" style="12"/>
    <col min="11" max="11" width="4.7109375" style="12" customWidth="1"/>
    <col min="12" max="12" width="3" style="12" customWidth="1"/>
    <col min="13" max="13" width="9.140625" style="12"/>
    <col min="14" max="14" width="23.140625" style="12" bestFit="1" customWidth="1"/>
    <col min="15" max="15" width="14.85546875" style="12" customWidth="1"/>
    <col min="16" max="16" width="19.140625" style="12" customWidth="1"/>
    <col min="17" max="17" width="12.42578125" style="12" bestFit="1" customWidth="1"/>
    <col min="18" max="18" width="68.28515625" style="12" bestFit="1" customWidth="1"/>
    <col min="19" max="19" width="13.42578125" style="12" bestFit="1" customWidth="1"/>
    <col min="20" max="20" width="13.7109375" style="12" customWidth="1"/>
    <col min="21" max="21" width="12.7109375" style="12" bestFit="1" customWidth="1"/>
    <col min="22" max="22" width="16.28515625" style="12" customWidth="1"/>
    <col min="23" max="16384" width="9.140625" style="12"/>
  </cols>
  <sheetData>
    <row r="1" spans="1:20" ht="15" customHeight="1" x14ac:dyDescent="0.2">
      <c r="A1" s="264">
        <v>1</v>
      </c>
      <c r="B1" s="264"/>
      <c r="C1" s="100" t="s">
        <v>95</v>
      </c>
      <c r="D1" s="35"/>
      <c r="E1" s="35"/>
      <c r="F1" s="35"/>
      <c r="G1" s="35"/>
      <c r="H1" s="35"/>
      <c r="I1" s="35"/>
      <c r="J1" s="35"/>
    </row>
    <row r="2" spans="1:20" ht="15" customHeight="1" x14ac:dyDescent="0.2">
      <c r="A2" s="264">
        <v>3</v>
      </c>
      <c r="B2" s="264"/>
      <c r="C2" s="100">
        <v>95</v>
      </c>
      <c r="D2" s="101" t="s">
        <v>115</v>
      </c>
      <c r="E2" s="101"/>
      <c r="F2" s="101"/>
      <c r="G2" s="101"/>
      <c r="H2" s="35"/>
      <c r="I2" s="35"/>
      <c r="J2" s="35"/>
      <c r="K2" s="7"/>
    </row>
    <row r="3" spans="1:20" ht="15" customHeight="1" x14ac:dyDescent="0.2">
      <c r="A3" s="264">
        <v>2</v>
      </c>
      <c r="B3" s="264"/>
      <c r="C3" s="237">
        <v>3.2000000000000002E-3</v>
      </c>
      <c r="D3" s="101" t="s">
        <v>116</v>
      </c>
      <c r="E3" s="101"/>
      <c r="F3" s="101"/>
      <c r="G3" s="101"/>
      <c r="H3" s="35"/>
      <c r="I3" s="35"/>
      <c r="J3" s="35"/>
      <c r="K3" s="7"/>
    </row>
    <row r="4" spans="1:20" ht="15" customHeight="1" x14ac:dyDescent="0.2">
      <c r="A4" s="264">
        <v>2</v>
      </c>
      <c r="B4" s="264"/>
      <c r="C4" s="263">
        <v>25.9</v>
      </c>
      <c r="D4" s="101" t="s">
        <v>116</v>
      </c>
      <c r="E4" s="101"/>
      <c r="F4" s="101"/>
      <c r="G4" s="101"/>
      <c r="H4" s="35"/>
      <c r="I4" s="35"/>
      <c r="J4" s="35"/>
      <c r="K4" s="7"/>
    </row>
    <row r="5" spans="1:20" ht="15" customHeight="1" x14ac:dyDescent="0.2">
      <c r="A5" s="264">
        <v>3</v>
      </c>
      <c r="B5" s="264"/>
      <c r="C5" s="102">
        <v>11.3</v>
      </c>
      <c r="D5" s="101" t="s">
        <v>117</v>
      </c>
      <c r="E5" s="101"/>
      <c r="F5" s="101"/>
      <c r="G5" s="101"/>
      <c r="H5" s="35"/>
      <c r="I5" s="35"/>
      <c r="J5" s="35"/>
      <c r="K5" s="7"/>
    </row>
    <row r="6" spans="1:20" ht="15" customHeight="1" x14ac:dyDescent="0.2">
      <c r="A6" s="103"/>
      <c r="B6" s="103"/>
      <c r="C6" s="101"/>
      <c r="D6" s="101"/>
      <c r="E6" s="101"/>
      <c r="F6" s="101"/>
      <c r="G6" s="101"/>
      <c r="H6" s="35"/>
      <c r="I6" s="35"/>
      <c r="J6" s="35"/>
      <c r="K6" s="7"/>
    </row>
    <row r="7" spans="1:20" ht="15" customHeight="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7"/>
    </row>
    <row r="8" spans="1:20" ht="15" customHeight="1" x14ac:dyDescent="0.25">
      <c r="A8" s="266" t="s">
        <v>85</v>
      </c>
      <c r="B8" s="266"/>
      <c r="C8" s="266"/>
      <c r="D8" s="266"/>
      <c r="E8" s="266"/>
      <c r="F8" s="35"/>
      <c r="G8" s="35"/>
      <c r="H8" s="35"/>
      <c r="I8" s="35"/>
      <c r="J8" s="35"/>
      <c r="K8" s="7"/>
      <c r="N8" s="65"/>
    </row>
    <row r="9" spans="1:20" ht="15" customHeight="1" x14ac:dyDescent="0.2">
      <c r="A9" s="269" t="s">
        <v>146</v>
      </c>
      <c r="B9" s="269"/>
      <c r="C9" s="269"/>
      <c r="D9" s="267" t="s">
        <v>191</v>
      </c>
      <c r="E9" s="267"/>
      <c r="F9" s="35"/>
      <c r="G9" s="35"/>
      <c r="H9" s="35"/>
      <c r="I9" s="35"/>
      <c r="J9" s="35"/>
      <c r="K9" s="7"/>
      <c r="N9" s="105" t="s">
        <v>146</v>
      </c>
      <c r="O9" s="4" t="s">
        <v>120</v>
      </c>
      <c r="P9" s="4" t="s">
        <v>121</v>
      </c>
      <c r="Q9" s="106" t="s">
        <v>191</v>
      </c>
      <c r="R9" s="106" t="s">
        <v>292</v>
      </c>
      <c r="S9" s="4"/>
      <c r="T9" s="4"/>
    </row>
    <row r="10" spans="1:20" ht="15" customHeight="1" x14ac:dyDescent="0.2">
      <c r="A10" s="104"/>
      <c r="B10" s="104"/>
      <c r="C10" s="104"/>
      <c r="D10" s="104"/>
      <c r="E10" s="104"/>
      <c r="F10" s="35"/>
      <c r="G10" s="35"/>
      <c r="H10" s="35"/>
      <c r="I10" s="35"/>
      <c r="J10" s="35"/>
      <c r="K10" s="7"/>
      <c r="N10" s="105" t="s">
        <v>147</v>
      </c>
      <c r="O10" s="4" t="s">
        <v>290</v>
      </c>
      <c r="P10" s="4" t="s">
        <v>198</v>
      </c>
      <c r="Q10" s="106" t="s">
        <v>150</v>
      </c>
      <c r="R10" s="106" t="s">
        <v>293</v>
      </c>
      <c r="S10" s="4"/>
      <c r="T10" s="4"/>
    </row>
    <row r="11" spans="1:20" ht="1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N11" s="105" t="s">
        <v>148</v>
      </c>
      <c r="O11" s="4" t="s">
        <v>199</v>
      </c>
      <c r="P11" s="4" t="s">
        <v>200</v>
      </c>
      <c r="Q11" s="106" t="s">
        <v>151</v>
      </c>
      <c r="R11" s="106" t="s">
        <v>294</v>
      </c>
      <c r="S11" s="4"/>
      <c r="T11" s="4"/>
    </row>
    <row r="12" spans="1:20" ht="18" customHeight="1" x14ac:dyDescent="0.2">
      <c r="A12" s="265" t="s">
        <v>235</v>
      </c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N12" s="105" t="s">
        <v>149</v>
      </c>
      <c r="O12" s="107" t="s">
        <v>204</v>
      </c>
      <c r="P12" s="107" t="s">
        <v>203</v>
      </c>
      <c r="Q12" s="106" t="s">
        <v>145</v>
      </c>
      <c r="R12" s="106" t="s">
        <v>295</v>
      </c>
      <c r="S12" s="4"/>
      <c r="T12" s="4"/>
    </row>
    <row r="13" spans="1:20" ht="15" customHeight="1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N13" s="105" t="s">
        <v>184</v>
      </c>
      <c r="O13" s="107" t="s">
        <v>201</v>
      </c>
      <c r="P13" s="107" t="s">
        <v>202</v>
      </c>
      <c r="Q13" s="106" t="s">
        <v>152</v>
      </c>
      <c r="R13" s="106" t="s">
        <v>296</v>
      </c>
      <c r="S13" s="4"/>
      <c r="T13" s="4"/>
    </row>
    <row r="14" spans="1:20" ht="1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N14" s="4"/>
      <c r="O14" s="4"/>
      <c r="P14" s="4"/>
      <c r="Q14" s="106" t="s">
        <v>153</v>
      </c>
      <c r="R14" s="106" t="s">
        <v>297</v>
      </c>
      <c r="S14" s="4"/>
      <c r="T14" s="4"/>
    </row>
    <row r="15" spans="1:20" ht="15" customHeight="1" x14ac:dyDescent="0.2">
      <c r="A15" s="25"/>
      <c r="B15" s="59" t="s">
        <v>1</v>
      </c>
      <c r="C15" s="26" t="s">
        <v>394</v>
      </c>
      <c r="D15" s="59" t="s">
        <v>130</v>
      </c>
      <c r="E15" s="26">
        <v>11682</v>
      </c>
      <c r="F15" s="268" t="s">
        <v>2</v>
      </c>
      <c r="G15" s="268"/>
      <c r="H15" s="268"/>
      <c r="I15" s="270" t="s">
        <v>282</v>
      </c>
      <c r="J15" s="270"/>
      <c r="K15" s="271"/>
      <c r="N15" s="4"/>
      <c r="O15" s="4"/>
      <c r="P15" s="4"/>
      <c r="Q15" s="106" t="s">
        <v>192</v>
      </c>
      <c r="R15" s="106" t="s">
        <v>298</v>
      </c>
      <c r="S15" s="4"/>
      <c r="T15" s="4"/>
    </row>
    <row r="16" spans="1:20" ht="15" customHeight="1" x14ac:dyDescent="0.2">
      <c r="A16" s="27"/>
      <c r="B16" s="28" t="s">
        <v>94</v>
      </c>
      <c r="C16" s="278"/>
      <c r="D16" s="278"/>
      <c r="E16" s="29"/>
      <c r="F16" s="29"/>
      <c r="G16" s="29"/>
      <c r="H16" s="28" t="s">
        <v>86</v>
      </c>
      <c r="I16" s="279" t="s">
        <v>357</v>
      </c>
      <c r="J16" s="279"/>
      <c r="K16" s="280"/>
      <c r="N16" s="4"/>
      <c r="O16" s="4"/>
      <c r="P16" s="4"/>
      <c r="Q16" s="106" t="s">
        <v>185</v>
      </c>
      <c r="R16" s="106" t="s">
        <v>299</v>
      </c>
      <c r="S16" s="4"/>
      <c r="T16" s="4"/>
    </row>
    <row r="17" spans="1:20" ht="15" customHeight="1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N17" s="270" t="s">
        <v>282</v>
      </c>
      <c r="O17" s="270"/>
      <c r="P17" s="271"/>
      <c r="Q17" s="106" t="s">
        <v>186</v>
      </c>
      <c r="R17" s="106" t="s">
        <v>300</v>
      </c>
      <c r="S17" s="4"/>
      <c r="T17" s="4"/>
    </row>
    <row r="18" spans="1:20" ht="15" customHeight="1" x14ac:dyDescent="0.2">
      <c r="A18" s="6"/>
      <c r="B18" s="9" t="s">
        <v>78</v>
      </c>
      <c r="C18" s="7"/>
      <c r="D18" s="7"/>
      <c r="E18" s="7" t="s">
        <v>82</v>
      </c>
      <c r="F18" s="7"/>
      <c r="G18" s="9" t="s">
        <v>87</v>
      </c>
      <c r="H18" s="7"/>
      <c r="I18" s="7"/>
      <c r="J18" s="7"/>
      <c r="K18" s="8"/>
      <c r="N18" s="279" t="s">
        <v>357</v>
      </c>
      <c r="O18" s="279"/>
      <c r="P18" s="280"/>
      <c r="Q18" s="106" t="s">
        <v>187</v>
      </c>
      <c r="R18" s="106" t="s">
        <v>301</v>
      </c>
      <c r="S18" s="4"/>
      <c r="T18" s="4"/>
    </row>
    <row r="19" spans="1:20" ht="15" customHeight="1" x14ac:dyDescent="0.2">
      <c r="A19" s="6"/>
      <c r="B19" s="7"/>
      <c r="C19" s="7"/>
      <c r="D19" s="7"/>
      <c r="E19" s="7" t="s">
        <v>82</v>
      </c>
      <c r="F19" s="7"/>
      <c r="G19" s="7"/>
      <c r="H19" s="7"/>
      <c r="I19" s="7"/>
      <c r="J19" s="7"/>
      <c r="K19" s="8"/>
      <c r="N19" s="294" t="s">
        <v>274</v>
      </c>
      <c r="O19" s="294"/>
      <c r="P19" s="295"/>
      <c r="Q19" s="106" t="s">
        <v>188</v>
      </c>
      <c r="R19" s="106" t="s">
        <v>302</v>
      </c>
      <c r="S19" s="4"/>
      <c r="T19" s="4"/>
    </row>
    <row r="20" spans="1:20" ht="15" customHeight="1" x14ac:dyDescent="0.2">
      <c r="A20" s="6"/>
      <c r="B20" s="7"/>
      <c r="C20" s="7"/>
      <c r="D20" s="7"/>
      <c r="E20" s="7" t="s">
        <v>82</v>
      </c>
      <c r="F20" s="7"/>
      <c r="G20" s="7"/>
      <c r="H20" s="7"/>
      <c r="I20" s="7"/>
      <c r="J20" s="7"/>
      <c r="K20" s="8"/>
      <c r="N20" s="279" t="s">
        <v>275</v>
      </c>
      <c r="O20" s="279"/>
      <c r="P20" s="280"/>
      <c r="Q20" s="106" t="s">
        <v>189</v>
      </c>
      <c r="R20" s="106" t="s">
        <v>303</v>
      </c>
      <c r="S20" s="4"/>
      <c r="T20" s="4"/>
    </row>
    <row r="21" spans="1:20" ht="15" customHeight="1" x14ac:dyDescent="0.2">
      <c r="A21" s="6"/>
      <c r="B21" s="277" t="s">
        <v>99</v>
      </c>
      <c r="C21" s="277"/>
      <c r="D21" s="277"/>
      <c r="E21" s="277"/>
      <c r="F21" s="277"/>
      <c r="G21" s="281" t="s">
        <v>248</v>
      </c>
      <c r="H21" s="281"/>
      <c r="I21" s="281"/>
      <c r="J21" s="281"/>
      <c r="K21" s="206"/>
      <c r="N21" s="291" t="s">
        <v>276</v>
      </c>
      <c r="O21" s="291"/>
      <c r="P21" s="292"/>
      <c r="Q21" s="106" t="s">
        <v>190</v>
      </c>
      <c r="R21" s="106" t="s">
        <v>304</v>
      </c>
      <c r="S21" s="4"/>
      <c r="T21" s="4"/>
    </row>
    <row r="22" spans="1:20" ht="15" customHeight="1" x14ac:dyDescent="0.2">
      <c r="A22" s="6"/>
      <c r="B22" s="277" t="s">
        <v>93</v>
      </c>
      <c r="C22" s="277"/>
      <c r="D22" s="277"/>
      <c r="E22" s="277"/>
      <c r="F22" s="7"/>
      <c r="G22" s="290" t="s">
        <v>249</v>
      </c>
      <c r="H22" s="290"/>
      <c r="I22" s="290"/>
      <c r="J22" s="290"/>
      <c r="K22" s="206"/>
      <c r="N22" s="279" t="s">
        <v>277</v>
      </c>
      <c r="O22" s="279"/>
      <c r="P22" s="280"/>
      <c r="Q22" s="106" t="s">
        <v>193</v>
      </c>
      <c r="R22" s="4" t="s">
        <v>305</v>
      </c>
      <c r="S22" s="4"/>
      <c r="T22" s="4"/>
    </row>
    <row r="23" spans="1:20" ht="15" customHeight="1" x14ac:dyDescent="0.2">
      <c r="A23" s="6"/>
      <c r="B23" s="20"/>
      <c r="C23" s="20"/>
      <c r="D23" s="20"/>
      <c r="E23" s="20"/>
      <c r="F23" s="7"/>
      <c r="G23" s="35"/>
      <c r="H23" s="35"/>
      <c r="I23" s="35"/>
      <c r="K23" s="182"/>
      <c r="N23" s="291" t="s">
        <v>279</v>
      </c>
      <c r="O23" s="291"/>
      <c r="P23" s="292"/>
      <c r="Q23" s="106" t="s">
        <v>154</v>
      </c>
      <c r="R23" s="106" t="s">
        <v>306</v>
      </c>
      <c r="S23" s="4"/>
      <c r="T23" s="4"/>
    </row>
    <row r="24" spans="1:20" ht="15" customHeight="1" x14ac:dyDescent="0.2">
      <c r="A24" s="6"/>
      <c r="B24" s="20"/>
      <c r="C24" s="20"/>
      <c r="D24" s="20"/>
      <c r="E24" s="20"/>
      <c r="F24" s="7"/>
      <c r="G24" s="267"/>
      <c r="H24" s="267"/>
      <c r="I24" s="35"/>
      <c r="J24" s="35"/>
      <c r="K24" s="182"/>
      <c r="N24" s="279" t="s">
        <v>280</v>
      </c>
      <c r="O24" s="279"/>
      <c r="P24" s="280"/>
      <c r="Q24" s="106" t="s">
        <v>155</v>
      </c>
      <c r="R24" s="4" t="s">
        <v>307</v>
      </c>
      <c r="S24" s="4"/>
      <c r="T24" s="4"/>
    </row>
    <row r="25" spans="1:20" ht="15" customHeight="1" x14ac:dyDescent="0.2">
      <c r="A25" s="6"/>
      <c r="B25" s="94"/>
      <c r="C25" s="94"/>
      <c r="D25" s="94"/>
      <c r="E25" s="20"/>
      <c r="F25" s="7"/>
      <c r="G25" s="35"/>
      <c r="H25" s="35"/>
      <c r="I25" s="35"/>
      <c r="J25" s="35"/>
      <c r="K25" s="182"/>
      <c r="N25" s="270" t="s">
        <v>282</v>
      </c>
      <c r="O25" s="270"/>
      <c r="P25" s="271"/>
      <c r="Q25" s="106" t="s">
        <v>156</v>
      </c>
      <c r="R25" s="107" t="s">
        <v>308</v>
      </c>
      <c r="S25" s="4"/>
      <c r="T25" s="4"/>
    </row>
    <row r="26" spans="1:20" ht="15" customHeight="1" x14ac:dyDescent="0.2">
      <c r="A26" s="6"/>
      <c r="B26" s="94"/>
      <c r="C26" s="94"/>
      <c r="D26" s="94"/>
      <c r="E26" s="20"/>
      <c r="F26" s="7"/>
      <c r="G26" s="35"/>
      <c r="H26" s="35"/>
      <c r="I26" s="34"/>
      <c r="J26" s="35"/>
      <c r="K26" s="182"/>
      <c r="N26" s="279" t="s">
        <v>252</v>
      </c>
      <c r="O26" s="279"/>
      <c r="P26" s="280"/>
      <c r="Q26" s="106" t="s">
        <v>194</v>
      </c>
      <c r="R26" s="107" t="s">
        <v>309</v>
      </c>
      <c r="S26" s="4"/>
      <c r="T26" s="4"/>
    </row>
    <row r="27" spans="1:20" ht="15" customHeight="1" x14ac:dyDescent="0.2">
      <c r="A27" s="6"/>
      <c r="B27" s="108"/>
      <c r="C27" s="108"/>
      <c r="D27" s="108"/>
      <c r="E27" s="7"/>
      <c r="F27" s="7"/>
      <c r="G27" s="35"/>
      <c r="H27" s="35"/>
      <c r="I27" s="35"/>
      <c r="J27" s="35"/>
      <c r="K27" s="182"/>
      <c r="N27" s="4"/>
      <c r="O27" s="4"/>
      <c r="P27" s="4"/>
      <c r="Q27" s="106" t="s">
        <v>157</v>
      </c>
      <c r="R27" s="107" t="s">
        <v>310</v>
      </c>
      <c r="S27" s="4"/>
      <c r="T27" s="4"/>
    </row>
    <row r="28" spans="1:20" ht="15" customHeight="1" x14ac:dyDescent="0.2">
      <c r="A28" s="6"/>
      <c r="B28" s="287" t="str">
        <f>VLOOKUP(A9,N9:P13,2,FALSE)</f>
        <v>Ян Р.Н.</v>
      </c>
      <c r="C28" s="287"/>
      <c r="D28" s="287"/>
      <c r="E28" s="7"/>
      <c r="F28" s="7"/>
      <c r="G28" s="293" t="s">
        <v>250</v>
      </c>
      <c r="H28" s="293"/>
      <c r="I28" s="293"/>
      <c r="J28" s="35"/>
      <c r="K28" s="182"/>
      <c r="N28" s="4"/>
      <c r="O28" s="4"/>
      <c r="P28" s="4"/>
      <c r="Q28" s="106" t="s">
        <v>158</v>
      </c>
      <c r="R28" s="107" t="s">
        <v>311</v>
      </c>
      <c r="S28" s="4"/>
      <c r="T28" s="4"/>
    </row>
    <row r="29" spans="1:20" ht="15" customHeight="1" x14ac:dyDescent="0.2">
      <c r="A29" s="33"/>
      <c r="B29" s="35"/>
      <c r="C29" s="35"/>
      <c r="D29" s="35"/>
      <c r="E29" s="35"/>
      <c r="F29" s="35"/>
      <c r="G29" s="35"/>
      <c r="H29" s="35"/>
      <c r="I29" s="35"/>
      <c r="J29" s="35"/>
      <c r="K29" s="182"/>
      <c r="N29" s="4"/>
      <c r="O29" s="4"/>
      <c r="P29" s="4"/>
      <c r="Q29" s="106" t="s">
        <v>195</v>
      </c>
      <c r="R29" s="107" t="s">
        <v>312</v>
      </c>
      <c r="S29" s="4"/>
      <c r="T29" s="4"/>
    </row>
    <row r="30" spans="1:20" ht="15" customHeight="1" x14ac:dyDescent="0.2">
      <c r="A30" s="33"/>
      <c r="B30" s="36"/>
      <c r="C30" s="36"/>
      <c r="D30" s="36"/>
      <c r="E30" s="35"/>
      <c r="F30" s="35"/>
      <c r="G30" s="35"/>
      <c r="H30" s="35"/>
      <c r="I30" s="35"/>
      <c r="J30" s="35"/>
      <c r="K30" s="182"/>
      <c r="N30" s="4"/>
      <c r="O30" s="4"/>
      <c r="P30" s="4"/>
      <c r="Q30" s="106" t="s">
        <v>159</v>
      </c>
      <c r="R30" s="107" t="s">
        <v>313</v>
      </c>
      <c r="S30" s="4"/>
      <c r="T30" s="4"/>
    </row>
    <row r="31" spans="1:20" ht="15" customHeight="1" x14ac:dyDescent="0.2">
      <c r="A31" s="33"/>
      <c r="B31" s="35"/>
      <c r="C31" s="35"/>
      <c r="D31" s="35"/>
      <c r="E31" s="35"/>
      <c r="F31" s="35"/>
      <c r="G31" s="35"/>
      <c r="H31" s="35"/>
      <c r="I31" s="35"/>
      <c r="J31" s="35"/>
      <c r="K31" s="182"/>
      <c r="N31" s="4"/>
      <c r="O31" s="4"/>
      <c r="P31" s="4"/>
      <c r="Q31" s="106" t="s">
        <v>160</v>
      </c>
      <c r="R31" s="107" t="s">
        <v>314</v>
      </c>
      <c r="S31" s="4"/>
      <c r="T31" s="4"/>
    </row>
    <row r="32" spans="1:20" ht="15" customHeight="1" x14ac:dyDescent="0.2">
      <c r="A32" s="33"/>
      <c r="B32" s="273" t="s">
        <v>91</v>
      </c>
      <c r="C32" s="273"/>
      <c r="D32" s="273"/>
      <c r="E32" s="273"/>
      <c r="F32" s="273"/>
      <c r="G32" s="222" t="s">
        <v>89</v>
      </c>
      <c r="H32" s="34"/>
      <c r="I32" s="34"/>
      <c r="J32" s="34"/>
      <c r="K32" s="182"/>
      <c r="N32" s="4"/>
      <c r="O32" s="4"/>
      <c r="P32" s="4"/>
      <c r="Q32" s="106" t="s">
        <v>161</v>
      </c>
      <c r="R32" s="107" t="s">
        <v>315</v>
      </c>
      <c r="S32" s="4"/>
      <c r="T32" s="4"/>
    </row>
    <row r="33" spans="1:20" ht="15" customHeight="1" x14ac:dyDescent="0.2">
      <c r="A33" s="33"/>
      <c r="B33" s="277" t="s">
        <v>92</v>
      </c>
      <c r="C33" s="277"/>
      <c r="D33" s="277"/>
      <c r="E33" s="277"/>
      <c r="F33" s="35"/>
      <c r="G33" s="276" t="s">
        <v>88</v>
      </c>
      <c r="H33" s="276"/>
      <c r="I33" s="276"/>
      <c r="J33" s="34"/>
      <c r="K33" s="182"/>
      <c r="N33" s="4"/>
      <c r="O33" s="4"/>
      <c r="P33" s="4"/>
      <c r="Q33" s="106" t="s">
        <v>162</v>
      </c>
      <c r="R33" s="107" t="s">
        <v>316</v>
      </c>
      <c r="S33" s="4"/>
      <c r="T33" s="4"/>
    </row>
    <row r="34" spans="1:20" ht="15" customHeight="1" x14ac:dyDescent="0.2">
      <c r="A34" s="33"/>
      <c r="B34" s="221"/>
      <c r="C34" s="221"/>
      <c r="D34" s="221"/>
      <c r="E34" s="221"/>
      <c r="F34" s="34"/>
      <c r="G34" s="183"/>
      <c r="H34" s="183"/>
      <c r="I34" s="183"/>
      <c r="J34" s="34"/>
      <c r="K34" s="182"/>
      <c r="N34" s="4"/>
      <c r="O34" s="4"/>
      <c r="P34" s="4"/>
      <c r="Q34" s="106" t="s">
        <v>196</v>
      </c>
      <c r="R34" s="107" t="s">
        <v>183</v>
      </c>
      <c r="S34" s="4"/>
      <c r="T34" s="4"/>
    </row>
    <row r="35" spans="1:20" ht="15" customHeight="1" x14ac:dyDescent="0.2">
      <c r="A35" s="33"/>
      <c r="B35" s="221"/>
      <c r="C35" s="221"/>
      <c r="D35" s="221"/>
      <c r="E35" s="221"/>
      <c r="F35" s="34"/>
      <c r="G35" s="183"/>
      <c r="H35" s="183"/>
      <c r="I35" s="183"/>
      <c r="J35" s="34"/>
      <c r="K35" s="182"/>
      <c r="N35" s="4"/>
      <c r="O35" s="4"/>
      <c r="P35" s="4"/>
      <c r="Q35" s="106" t="s">
        <v>181</v>
      </c>
      <c r="R35" s="107" t="s">
        <v>182</v>
      </c>
      <c r="S35" s="4"/>
      <c r="T35" s="4"/>
    </row>
    <row r="36" spans="1:20" ht="15" customHeight="1" x14ac:dyDescent="0.2">
      <c r="A36" s="33"/>
      <c r="B36" s="221"/>
      <c r="C36" s="221"/>
      <c r="D36" s="221"/>
      <c r="E36" s="221"/>
      <c r="F36" s="34"/>
      <c r="G36" s="183"/>
      <c r="H36" s="183"/>
      <c r="I36" s="183"/>
      <c r="J36" s="34"/>
      <c r="K36" s="182"/>
      <c r="N36" s="4"/>
      <c r="O36" s="4"/>
      <c r="P36" s="4"/>
      <c r="Q36" s="4" t="s">
        <v>163</v>
      </c>
      <c r="R36" s="107" t="s">
        <v>317</v>
      </c>
      <c r="S36" s="4"/>
      <c r="T36" s="4"/>
    </row>
    <row r="37" spans="1:20" ht="15" customHeight="1" x14ac:dyDescent="0.2">
      <c r="A37" s="33"/>
      <c r="B37" s="221"/>
      <c r="C37" s="221"/>
      <c r="D37" s="221"/>
      <c r="E37" s="221"/>
      <c r="F37" s="34"/>
      <c r="G37" s="183"/>
      <c r="H37" s="183"/>
      <c r="I37" s="274"/>
      <c r="J37" s="274"/>
      <c r="K37" s="275"/>
      <c r="N37" s="4"/>
      <c r="O37" s="4"/>
      <c r="P37" s="4"/>
      <c r="Q37" s="4" t="s">
        <v>164</v>
      </c>
      <c r="R37" s="107" t="s">
        <v>318</v>
      </c>
      <c r="S37" s="4"/>
      <c r="T37" s="4"/>
    </row>
    <row r="38" spans="1:20" ht="15" customHeight="1" x14ac:dyDescent="0.2">
      <c r="A38" s="33"/>
      <c r="B38" s="225"/>
      <c r="C38" s="225"/>
      <c r="D38" s="225"/>
      <c r="E38" s="35"/>
      <c r="F38" s="34"/>
      <c r="G38" s="184"/>
      <c r="H38" s="184"/>
      <c r="I38" s="288"/>
      <c r="J38" s="288"/>
      <c r="K38" s="289"/>
      <c r="N38" s="4"/>
      <c r="O38" s="4"/>
      <c r="P38" s="4"/>
      <c r="Q38" s="4" t="s">
        <v>165</v>
      </c>
      <c r="R38" s="107" t="s">
        <v>319</v>
      </c>
      <c r="S38" s="4"/>
      <c r="T38" s="4"/>
    </row>
    <row r="39" spans="1:20" ht="15" customHeight="1" x14ac:dyDescent="0.2">
      <c r="A39" s="33"/>
      <c r="B39" s="287" t="str">
        <f>VLOOKUP(A9,N9:P13,3,FALSE)</f>
        <v>Самигуллин И.Ф.</v>
      </c>
      <c r="C39" s="287"/>
      <c r="D39" s="287"/>
      <c r="E39" s="35"/>
      <c r="F39" s="35"/>
      <c r="G39" s="34" t="s">
        <v>246</v>
      </c>
      <c r="H39" s="35"/>
      <c r="I39" s="35"/>
      <c r="J39" s="35"/>
      <c r="K39" s="182"/>
      <c r="N39" s="4"/>
      <c r="O39" s="4"/>
      <c r="P39" s="4"/>
      <c r="Q39" s="4" t="s">
        <v>166</v>
      </c>
      <c r="R39" s="107" t="s">
        <v>320</v>
      </c>
      <c r="S39" s="4"/>
      <c r="T39" s="4"/>
    </row>
    <row r="40" spans="1:20" ht="15" customHeight="1" x14ac:dyDescent="0.2">
      <c r="A40" s="33"/>
      <c r="B40" s="35"/>
      <c r="C40" s="35"/>
      <c r="D40" s="35"/>
      <c r="E40" s="35"/>
      <c r="F40" s="35"/>
      <c r="G40" s="35"/>
      <c r="H40" s="35"/>
      <c r="I40" s="35"/>
      <c r="J40" s="35"/>
      <c r="K40" s="182"/>
      <c r="N40" s="4"/>
      <c r="O40" s="4"/>
      <c r="P40" s="4"/>
      <c r="Q40" s="4" t="s">
        <v>167</v>
      </c>
      <c r="R40" s="107" t="s">
        <v>321</v>
      </c>
      <c r="S40" s="4"/>
      <c r="T40" s="4"/>
    </row>
    <row r="41" spans="1:20" ht="15" customHeight="1" x14ac:dyDescent="0.2">
      <c r="A41" s="33"/>
      <c r="B41" s="220"/>
      <c r="C41" s="220"/>
      <c r="D41" s="220"/>
      <c r="E41" s="35"/>
      <c r="F41" s="35"/>
      <c r="G41" s="35"/>
      <c r="H41" s="35"/>
      <c r="I41" s="35"/>
      <c r="J41" s="35"/>
      <c r="K41" s="182"/>
      <c r="N41" s="4"/>
      <c r="O41" s="4"/>
      <c r="P41" s="4"/>
      <c r="Q41" s="4" t="s">
        <v>168</v>
      </c>
      <c r="R41" s="107" t="s">
        <v>322</v>
      </c>
      <c r="S41" s="4"/>
      <c r="T41" s="4"/>
    </row>
    <row r="42" spans="1:20" ht="15" customHeight="1" x14ac:dyDescent="0.2">
      <c r="A42" s="33"/>
      <c r="B42" s="220"/>
      <c r="C42" s="220"/>
      <c r="D42" s="220"/>
      <c r="E42" s="35"/>
      <c r="F42" s="35"/>
      <c r="G42" s="35"/>
      <c r="H42" s="35"/>
      <c r="I42" s="35"/>
      <c r="J42" s="35"/>
      <c r="K42" s="182"/>
      <c r="N42" s="4"/>
      <c r="O42" s="4"/>
      <c r="P42" s="4"/>
      <c r="Q42" s="4" t="s">
        <v>169</v>
      </c>
      <c r="R42" s="106" t="s">
        <v>323</v>
      </c>
      <c r="S42" s="4"/>
      <c r="T42" s="4"/>
    </row>
    <row r="43" spans="1:20" ht="15" customHeight="1" x14ac:dyDescent="0.2">
      <c r="A43" s="33"/>
      <c r="B43" s="220"/>
      <c r="C43" s="220"/>
      <c r="D43" s="220"/>
      <c r="E43" s="35"/>
      <c r="F43" s="35"/>
      <c r="G43" s="35"/>
      <c r="H43" s="35"/>
      <c r="I43" s="35"/>
      <c r="J43" s="35"/>
      <c r="K43" s="182"/>
      <c r="N43" s="4"/>
      <c r="O43" s="4"/>
      <c r="P43" s="4"/>
      <c r="Q43" s="4" t="s">
        <v>170</v>
      </c>
      <c r="R43" s="107" t="s">
        <v>324</v>
      </c>
      <c r="S43" s="4"/>
      <c r="T43" s="4"/>
    </row>
    <row r="44" spans="1:20" ht="15" customHeight="1" x14ac:dyDescent="0.2">
      <c r="A44" s="33"/>
      <c r="B44" s="220"/>
      <c r="C44" s="220"/>
      <c r="D44" s="220"/>
      <c r="E44" s="35"/>
      <c r="F44" s="35"/>
      <c r="G44" s="35"/>
      <c r="H44" s="35"/>
      <c r="I44" s="35"/>
      <c r="J44" s="35"/>
      <c r="K44" s="182"/>
      <c r="N44" s="4"/>
      <c r="O44" s="4"/>
      <c r="P44" s="4"/>
      <c r="Q44" s="4" t="s">
        <v>171</v>
      </c>
      <c r="R44" s="106" t="s">
        <v>325</v>
      </c>
      <c r="S44" s="4"/>
      <c r="T44" s="4"/>
    </row>
    <row r="45" spans="1:20" ht="15" customHeight="1" x14ac:dyDescent="0.2">
      <c r="A45" s="33"/>
      <c r="B45" s="220"/>
      <c r="C45" s="220"/>
      <c r="D45" s="220"/>
      <c r="E45" s="35"/>
      <c r="F45" s="35"/>
      <c r="G45" s="35"/>
      <c r="H45" s="35"/>
      <c r="I45" s="35"/>
      <c r="J45" s="35"/>
      <c r="K45" s="182"/>
      <c r="N45" s="4"/>
      <c r="O45" s="4"/>
      <c r="P45" s="4"/>
      <c r="Q45" s="4" t="s">
        <v>172</v>
      </c>
      <c r="R45" s="4" t="s">
        <v>326</v>
      </c>
      <c r="S45" s="4"/>
      <c r="T45" s="4"/>
    </row>
    <row r="46" spans="1:20" ht="15" customHeight="1" x14ac:dyDescent="0.2">
      <c r="A46" s="33"/>
      <c r="B46" s="35"/>
      <c r="C46" s="35"/>
      <c r="D46" s="35"/>
      <c r="E46" s="35"/>
      <c r="F46" s="35"/>
      <c r="G46" s="35"/>
      <c r="H46" s="35"/>
      <c r="I46" s="35"/>
      <c r="J46" s="35"/>
      <c r="K46" s="182"/>
      <c r="N46" s="4"/>
      <c r="O46" s="4"/>
      <c r="P46" s="4"/>
      <c r="Q46" s="4" t="s">
        <v>173</v>
      </c>
      <c r="R46" s="107" t="s">
        <v>327</v>
      </c>
      <c r="S46" s="4"/>
      <c r="T46" s="4"/>
    </row>
    <row r="47" spans="1:20" ht="15" customHeight="1" x14ac:dyDescent="0.2">
      <c r="A47" s="33"/>
      <c r="B47" s="34"/>
      <c r="C47" s="35"/>
      <c r="D47" s="35"/>
      <c r="E47" s="35"/>
      <c r="F47" s="35"/>
      <c r="G47" s="35"/>
      <c r="H47" s="35"/>
      <c r="I47" s="35"/>
      <c r="J47" s="35"/>
      <c r="K47" s="8"/>
      <c r="N47" s="4"/>
      <c r="O47" s="4"/>
      <c r="P47" s="4"/>
      <c r="Q47" s="4" t="s">
        <v>174</v>
      </c>
      <c r="R47" s="107" t="s">
        <v>328</v>
      </c>
      <c r="S47" s="4"/>
      <c r="T47" s="4"/>
    </row>
    <row r="48" spans="1:20" ht="15" customHeight="1" x14ac:dyDescent="0.2">
      <c r="A48" s="33"/>
      <c r="B48" s="35"/>
      <c r="C48" s="35"/>
      <c r="D48" s="35"/>
      <c r="E48" s="35"/>
      <c r="F48" s="35"/>
      <c r="G48" s="35"/>
      <c r="H48" s="35"/>
      <c r="I48" s="35"/>
      <c r="J48" s="35"/>
      <c r="K48" s="8"/>
      <c r="N48" s="4"/>
      <c r="O48" s="4"/>
      <c r="P48" s="4"/>
      <c r="Q48" s="4" t="s">
        <v>175</v>
      </c>
      <c r="R48" s="107" t="s">
        <v>329</v>
      </c>
      <c r="S48" s="4"/>
      <c r="T48" s="4"/>
    </row>
    <row r="49" spans="1:20" ht="15" customHeight="1" x14ac:dyDescent="0.2">
      <c r="A49" s="33"/>
      <c r="B49" s="36"/>
      <c r="C49" s="36"/>
      <c r="D49" s="36"/>
      <c r="E49" s="35"/>
      <c r="F49" s="35"/>
      <c r="G49" s="272"/>
      <c r="H49" s="272"/>
      <c r="I49" s="272"/>
      <c r="J49" s="35"/>
      <c r="K49" s="8"/>
      <c r="N49" s="4"/>
      <c r="O49" s="4"/>
      <c r="P49" s="4"/>
      <c r="Q49" s="4" t="s">
        <v>176</v>
      </c>
      <c r="R49" s="107" t="s">
        <v>330</v>
      </c>
      <c r="S49" s="4"/>
      <c r="T49" s="4"/>
    </row>
    <row r="50" spans="1:20" ht="15" customHeight="1" x14ac:dyDescent="0.2">
      <c r="A50" s="33"/>
      <c r="B50" s="273" t="s">
        <v>237</v>
      </c>
      <c r="C50" s="273"/>
      <c r="D50" s="273"/>
      <c r="E50" s="273"/>
      <c r="F50" s="273"/>
      <c r="G50" s="272"/>
      <c r="H50" s="272"/>
      <c r="I50" s="272"/>
      <c r="J50" s="35"/>
      <c r="K50" s="8"/>
      <c r="N50" s="4"/>
      <c r="O50" s="4"/>
      <c r="P50" s="4"/>
      <c r="Q50" s="4" t="s">
        <v>177</v>
      </c>
      <c r="R50" s="107" t="s">
        <v>331</v>
      </c>
      <c r="S50" s="4"/>
      <c r="T50" s="4"/>
    </row>
    <row r="51" spans="1:20" ht="15" customHeight="1" x14ac:dyDescent="0.2">
      <c r="A51" s="33"/>
      <c r="B51" s="273"/>
      <c r="C51" s="273"/>
      <c r="D51" s="273"/>
      <c r="E51" s="273"/>
      <c r="F51" s="273"/>
      <c r="G51" s="272"/>
      <c r="H51" s="272"/>
      <c r="I51" s="272"/>
      <c r="J51" s="35"/>
      <c r="K51" s="8"/>
      <c r="N51" s="4"/>
      <c r="O51" s="4"/>
      <c r="P51" s="4"/>
      <c r="Q51" s="4" t="s">
        <v>178</v>
      </c>
      <c r="R51" s="107" t="s">
        <v>332</v>
      </c>
      <c r="S51" s="4"/>
      <c r="T51" s="4"/>
    </row>
    <row r="52" spans="1:20" ht="15" customHeight="1" x14ac:dyDescent="0.2">
      <c r="A52" s="33"/>
      <c r="B52" s="221"/>
      <c r="C52" s="221"/>
      <c r="D52" s="221"/>
      <c r="E52" s="221"/>
      <c r="F52" s="34"/>
      <c r="G52" s="223"/>
      <c r="H52" s="223"/>
      <c r="I52" s="223"/>
      <c r="J52" s="224"/>
      <c r="K52" s="8"/>
      <c r="N52" s="4"/>
      <c r="O52" s="4"/>
      <c r="P52" s="4"/>
      <c r="Q52" s="4" t="s">
        <v>179</v>
      </c>
      <c r="R52" s="107" t="s">
        <v>333</v>
      </c>
      <c r="S52" s="4"/>
      <c r="T52" s="4"/>
    </row>
    <row r="53" spans="1:20" ht="15" customHeight="1" x14ac:dyDescent="0.2">
      <c r="A53" s="33"/>
      <c r="B53" s="22"/>
      <c r="C53" s="22"/>
      <c r="D53" s="22"/>
      <c r="E53" s="22"/>
      <c r="F53" s="34"/>
      <c r="G53" s="13"/>
      <c r="H53" s="13"/>
      <c r="I53" s="13"/>
      <c r="J53" s="7"/>
      <c r="K53" s="8"/>
      <c r="N53" s="4"/>
      <c r="O53" s="4"/>
      <c r="P53" s="4"/>
      <c r="Q53" s="4" t="s">
        <v>180</v>
      </c>
      <c r="R53" s="107" t="s">
        <v>334</v>
      </c>
      <c r="S53" s="4"/>
      <c r="T53" s="4"/>
    </row>
    <row r="54" spans="1:20" ht="15" customHeight="1" x14ac:dyDescent="0.2">
      <c r="A54" s="33"/>
      <c r="B54" s="207"/>
      <c r="C54" s="207"/>
      <c r="D54" s="207"/>
      <c r="E54" s="22"/>
      <c r="F54" s="34"/>
      <c r="G54" s="13"/>
      <c r="H54" s="13"/>
      <c r="I54" s="13"/>
      <c r="J54" s="7"/>
      <c r="K54" s="8"/>
      <c r="N54" s="4"/>
      <c r="O54" s="4"/>
      <c r="P54" s="4"/>
      <c r="Q54" s="4"/>
      <c r="R54" s="4"/>
      <c r="S54" s="4"/>
      <c r="T54" s="4"/>
    </row>
    <row r="55" spans="1:20" ht="15" customHeight="1" x14ac:dyDescent="0.2">
      <c r="A55" s="6"/>
      <c r="B55" s="34"/>
      <c r="C55" s="11"/>
      <c r="D55" s="11"/>
      <c r="E55" s="7"/>
      <c r="F55" s="21"/>
      <c r="G55" s="7"/>
      <c r="H55" s="7"/>
      <c r="I55" s="7"/>
      <c r="J55" s="7"/>
      <c r="K55" s="8"/>
    </row>
    <row r="56" spans="1:20" ht="15.75" customHeight="1" x14ac:dyDescent="0.2">
      <c r="A56" s="6"/>
      <c r="B56" s="11"/>
      <c r="C56" s="11"/>
      <c r="D56" s="14"/>
      <c r="E56" s="7"/>
      <c r="F56" s="7"/>
      <c r="G56" s="7"/>
      <c r="H56" s="7"/>
      <c r="I56" s="7"/>
      <c r="J56" s="7"/>
      <c r="K56" s="8"/>
    </row>
    <row r="57" spans="1:20" ht="15.75" customHeight="1" x14ac:dyDescent="0.2">
      <c r="A57" s="6"/>
      <c r="B57" s="10"/>
      <c r="C57" s="10"/>
      <c r="D57" s="10"/>
      <c r="E57" s="11"/>
      <c r="F57" s="7"/>
      <c r="G57" s="7"/>
      <c r="H57" s="7"/>
      <c r="I57" s="7"/>
      <c r="J57" s="7"/>
      <c r="K57" s="8"/>
    </row>
    <row r="58" spans="1:20" ht="15.75" customHeight="1" x14ac:dyDescent="0.2">
      <c r="A58" s="6"/>
      <c r="B58" s="15"/>
      <c r="D58" s="7"/>
      <c r="E58" s="11"/>
      <c r="F58" s="7"/>
      <c r="G58" s="7"/>
      <c r="H58" s="7"/>
      <c r="I58" s="7"/>
      <c r="J58" s="7"/>
      <c r="K58" s="8"/>
    </row>
    <row r="59" spans="1:20" ht="15.75" customHeight="1" x14ac:dyDescent="0.2">
      <c r="A59" s="16"/>
      <c r="B59" s="10"/>
      <c r="C59" s="10"/>
      <c r="D59" s="17"/>
      <c r="E59" s="10"/>
      <c r="F59" s="10"/>
      <c r="G59" s="10"/>
      <c r="H59" s="10"/>
      <c r="I59" s="10"/>
      <c r="J59" s="10"/>
      <c r="K59" s="18"/>
    </row>
    <row r="60" spans="1:20" ht="15" customHeight="1" x14ac:dyDescent="0.2">
      <c r="A60" s="30"/>
      <c r="B60" s="282" t="s">
        <v>83</v>
      </c>
      <c r="C60" s="282"/>
      <c r="D60" s="282"/>
      <c r="E60" s="283" t="s">
        <v>376</v>
      </c>
      <c r="F60" s="284"/>
      <c r="G60" s="285"/>
      <c r="H60" s="285"/>
      <c r="I60" s="286"/>
      <c r="J60" s="286"/>
      <c r="K60" s="31"/>
    </row>
    <row r="61" spans="1:20" ht="15" customHeight="1" x14ac:dyDescent="0.2">
      <c r="D61" s="19"/>
    </row>
    <row r="110" ht="134.25" customHeight="1" x14ac:dyDescent="0.2"/>
  </sheetData>
  <mergeCells count="42">
    <mergeCell ref="N26:P26"/>
    <mergeCell ref="N19:P19"/>
    <mergeCell ref="N20:P20"/>
    <mergeCell ref="N23:P23"/>
    <mergeCell ref="N24:P24"/>
    <mergeCell ref="N25:P25"/>
    <mergeCell ref="B60:D60"/>
    <mergeCell ref="E60:F60"/>
    <mergeCell ref="G60:H60"/>
    <mergeCell ref="I60:J60"/>
    <mergeCell ref="N17:P17"/>
    <mergeCell ref="G24:H24"/>
    <mergeCell ref="B28:D28"/>
    <mergeCell ref="B33:E33"/>
    <mergeCell ref="B39:D39"/>
    <mergeCell ref="B32:F32"/>
    <mergeCell ref="N18:P18"/>
    <mergeCell ref="I38:K38"/>
    <mergeCell ref="G22:J22"/>
    <mergeCell ref="N21:P21"/>
    <mergeCell ref="N22:P22"/>
    <mergeCell ref="G28:I28"/>
    <mergeCell ref="F15:H15"/>
    <mergeCell ref="A9:C9"/>
    <mergeCell ref="I15:K15"/>
    <mergeCell ref="G49:I51"/>
    <mergeCell ref="B50:F51"/>
    <mergeCell ref="I37:K37"/>
    <mergeCell ref="G33:I33"/>
    <mergeCell ref="B22:E22"/>
    <mergeCell ref="B21:F21"/>
    <mergeCell ref="C16:D16"/>
    <mergeCell ref="I16:K16"/>
    <mergeCell ref="G21:J21"/>
    <mergeCell ref="A1:B1"/>
    <mergeCell ref="A2:B2"/>
    <mergeCell ref="A4:B4"/>
    <mergeCell ref="A5:B5"/>
    <mergeCell ref="A12:K12"/>
    <mergeCell ref="A8:E8"/>
    <mergeCell ref="D9:E9"/>
    <mergeCell ref="A3:B3"/>
  </mergeCells>
  <dataValidations count="2">
    <dataValidation type="list" allowBlank="1" showInputMessage="1" showErrorMessage="1" sqref="A9:C9">
      <formula1>$N$9:$N$13</formula1>
    </dataValidation>
    <dataValidation type="list" allowBlank="1" showInputMessage="1" showErrorMessage="1" sqref="D9">
      <formula1>$Q$9:$Q$53</formula1>
    </dataValidation>
  </dataValidations>
  <hyperlinks>
    <hyperlink ref="O2" location="DataBases!A1" display="asherekin@calfrac.com"/>
    <hyperlink ref="O7" location="DataBases!A1" display="mtokarev@calfrac.com"/>
    <hyperlink ref="O4" location="DataBases!A1" display="dsitdikov@calfrac.com"/>
    <hyperlink ref="O5" r:id="rId1" display="gshipilin@calfrac.com"/>
    <hyperlink ref="O12" r:id="rId2" display="esakhipov@calfrac.com"/>
    <hyperlink ref="O3" location="DataBases!A1" display="dsitdikov@calfrac.com"/>
  </hyperlinks>
  <printOptions horizontalCentered="1" verticalCentered="1"/>
  <pageMargins left="0.70866141732283472" right="0.19685039370078741" top="0.55118110236220474" bottom="0.55118110236220474" header="0.31496062992125984" footer="0.31496062992125984"/>
  <pageSetup paperSize="9" scale="8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BF130"/>
  <sheetViews>
    <sheetView view="pageBreakPreview" topLeftCell="A16" zoomScale="70" zoomScaleNormal="100" zoomScaleSheetLayoutView="70" workbookViewId="0">
      <selection activeCell="G16" sqref="G16:L16"/>
    </sheetView>
  </sheetViews>
  <sheetFormatPr defaultRowHeight="12.75" outlineLevelRow="1" x14ac:dyDescent="0.2"/>
  <cols>
    <col min="1" max="1" width="2.28515625" customWidth="1"/>
    <col min="3" max="6" width="4.5703125" customWidth="1"/>
    <col min="7" max="10" width="5.7109375" customWidth="1"/>
    <col min="11" max="12" width="4.7109375" customWidth="1"/>
    <col min="13" max="18" width="5.140625" customWidth="1"/>
    <col min="19" max="45" width="4.7109375" customWidth="1"/>
    <col min="46" max="47" width="5.42578125" customWidth="1"/>
    <col min="48" max="48" width="4.5703125" customWidth="1"/>
    <col min="49" max="49" width="2.28515625" customWidth="1"/>
    <col min="50" max="50" width="10.28515625" customWidth="1"/>
    <col min="51" max="51" width="3" customWidth="1"/>
    <col min="52" max="52" width="25.140625" customWidth="1"/>
    <col min="53" max="53" width="13.140625" customWidth="1"/>
    <col min="54" max="54" width="14" bestFit="1" customWidth="1"/>
    <col min="55" max="55" width="10.85546875" bestFit="1" customWidth="1"/>
    <col min="56" max="56" width="12.140625" bestFit="1" customWidth="1"/>
    <col min="57" max="57" width="12.140625" customWidth="1"/>
    <col min="58" max="58" width="13.42578125" customWidth="1"/>
    <col min="59" max="59" width="6.42578125" customWidth="1"/>
  </cols>
  <sheetData>
    <row r="1" spans="1:58" x14ac:dyDescent="0.2">
      <c r="A1" s="398" t="s">
        <v>5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398"/>
      <c r="AC1" s="398"/>
      <c r="AD1" s="398"/>
      <c r="AE1" s="398"/>
      <c r="AF1" s="398"/>
      <c r="AG1" s="398"/>
      <c r="AH1" s="398"/>
      <c r="AI1" s="398"/>
      <c r="AJ1" s="398"/>
      <c r="AK1" s="398"/>
      <c r="AL1" s="398"/>
      <c r="AM1" s="398"/>
      <c r="AN1" s="398"/>
      <c r="AO1" s="398"/>
      <c r="AP1" s="398"/>
      <c r="AQ1" s="398"/>
      <c r="AR1" s="398"/>
      <c r="AS1" s="398"/>
      <c r="AT1" s="398"/>
      <c r="AU1" s="398"/>
      <c r="AV1" s="398"/>
      <c r="AW1" s="398"/>
    </row>
    <row r="2" spans="1:58" x14ac:dyDescent="0.2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  <c r="AB2" s="398"/>
      <c r="AC2" s="398"/>
      <c r="AD2" s="398"/>
      <c r="AE2" s="398"/>
      <c r="AF2" s="398"/>
      <c r="AG2" s="398"/>
      <c r="AH2" s="398"/>
      <c r="AI2" s="398"/>
      <c r="AJ2" s="398"/>
      <c r="AK2" s="398"/>
      <c r="AL2" s="398"/>
      <c r="AM2" s="398"/>
      <c r="AN2" s="398"/>
      <c r="AO2" s="398"/>
      <c r="AP2" s="398"/>
      <c r="AQ2" s="398"/>
      <c r="AR2" s="398"/>
      <c r="AS2" s="398"/>
      <c r="AT2" s="398"/>
      <c r="AU2" s="398"/>
      <c r="AV2" s="398"/>
      <c r="AW2" s="398"/>
    </row>
    <row r="3" spans="1:58" ht="27.75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9" t="s">
        <v>1</v>
      </c>
      <c r="O3" s="409"/>
      <c r="P3" s="409"/>
      <c r="Q3" s="410"/>
      <c r="R3" s="410"/>
      <c r="S3" s="410"/>
      <c r="T3" s="410"/>
      <c r="U3" s="410"/>
      <c r="V3" s="411" t="str">
        <f>ТИТУЛЬНИК!C15</f>
        <v>11675г</v>
      </c>
      <c r="W3" s="411"/>
      <c r="X3" s="411"/>
      <c r="Y3" s="411"/>
      <c r="Z3" s="411"/>
      <c r="AA3" s="45"/>
      <c r="AB3" s="45"/>
      <c r="AC3" s="45"/>
      <c r="AD3" s="409" t="s">
        <v>2</v>
      </c>
      <c r="AE3" s="410"/>
      <c r="AF3" s="410"/>
      <c r="AG3" s="410"/>
      <c r="AH3" s="410"/>
      <c r="AI3" s="410"/>
      <c r="AJ3" s="410"/>
      <c r="AK3" s="412" t="str">
        <f>ТИТУЛЬНИК!I15</f>
        <v>Арланское</v>
      </c>
      <c r="AL3" s="412"/>
      <c r="AM3" s="412"/>
      <c r="AN3" s="412"/>
      <c r="AO3" s="412"/>
      <c r="AP3" s="412"/>
      <c r="AQ3" s="412"/>
      <c r="AR3" s="412"/>
      <c r="AS3" s="412"/>
      <c r="AT3" s="412"/>
      <c r="AU3" s="412"/>
      <c r="AV3" s="412"/>
      <c r="AW3" s="40"/>
    </row>
    <row r="4" spans="1:58" ht="20.25" customHeight="1" x14ac:dyDescent="0.3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3"/>
      <c r="O4" s="208"/>
      <c r="P4" s="208"/>
      <c r="Q4" s="43"/>
      <c r="R4" s="43"/>
      <c r="S4" s="43"/>
      <c r="T4" s="43"/>
      <c r="U4" s="43"/>
      <c r="V4" s="44"/>
      <c r="W4" s="44"/>
      <c r="X4" s="44"/>
      <c r="Y4" s="44"/>
      <c r="Z4" s="44"/>
      <c r="AA4" s="45"/>
      <c r="AB4" s="45"/>
      <c r="AC4" s="45"/>
      <c r="AD4" s="43"/>
      <c r="AE4" s="43"/>
      <c r="AF4" s="43"/>
      <c r="AG4" s="43"/>
      <c r="AH4" s="43"/>
      <c r="AI4" s="43"/>
      <c r="AJ4" s="43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0"/>
    </row>
    <row r="5" spans="1:58" ht="20.25" customHeight="1" thickBot="1" x14ac:dyDescent="0.25">
      <c r="A5" s="40"/>
      <c r="B5" s="40"/>
      <c r="C5" s="49"/>
      <c r="D5" s="49"/>
      <c r="E5" s="49"/>
      <c r="F5" s="49"/>
      <c r="G5" s="40"/>
      <c r="H5" s="40"/>
      <c r="I5" s="40"/>
      <c r="J5" s="347" t="s">
        <v>242</v>
      </c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40"/>
      <c r="AF5" s="40"/>
      <c r="AG5" s="399" t="s">
        <v>6</v>
      </c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0"/>
      <c r="AU5" s="400"/>
      <c r="AV5" s="400"/>
      <c r="AW5" s="40"/>
    </row>
    <row r="6" spans="1:58" ht="20.25" customHeight="1" x14ac:dyDescent="0.2">
      <c r="A6" s="40"/>
      <c r="B6" s="40"/>
      <c r="C6" s="40"/>
      <c r="D6" s="40"/>
      <c r="E6" s="40"/>
      <c r="F6" s="40"/>
      <c r="G6" s="369" t="s">
        <v>245</v>
      </c>
      <c r="H6" s="370"/>
      <c r="I6" s="370"/>
      <c r="J6" s="370"/>
      <c r="K6" s="370"/>
      <c r="L6" s="370"/>
      <c r="M6" s="407" t="s">
        <v>346</v>
      </c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8"/>
      <c r="AE6" s="47"/>
      <c r="AF6" s="401" t="s">
        <v>10</v>
      </c>
      <c r="AG6" s="402"/>
      <c r="AH6" s="402"/>
      <c r="AI6" s="402"/>
      <c r="AJ6" s="402"/>
      <c r="AK6" s="402"/>
      <c r="AL6" s="402"/>
      <c r="AM6" s="402"/>
      <c r="AN6" s="403" t="s">
        <v>278</v>
      </c>
      <c r="AO6" s="404"/>
      <c r="AP6" s="404"/>
      <c r="AQ6" s="404"/>
      <c r="AR6" s="404"/>
      <c r="AS6" s="404"/>
      <c r="AT6" s="404"/>
      <c r="AU6" s="405"/>
      <c r="AV6" s="406"/>
      <c r="AW6" s="40"/>
    </row>
    <row r="7" spans="1:58" ht="20.25" customHeight="1" x14ac:dyDescent="0.2">
      <c r="A7" s="40"/>
      <c r="B7" s="40"/>
      <c r="C7" s="40"/>
      <c r="D7" s="40"/>
      <c r="E7" s="40"/>
      <c r="F7" s="40"/>
      <c r="G7" s="333"/>
      <c r="H7" s="334"/>
      <c r="I7" s="334"/>
      <c r="J7" s="334"/>
      <c r="K7" s="334"/>
      <c r="L7" s="334"/>
      <c r="M7" s="371" t="s">
        <v>26</v>
      </c>
      <c r="N7" s="371"/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2"/>
      <c r="AE7" s="48"/>
      <c r="AF7" s="310" t="s">
        <v>119</v>
      </c>
      <c r="AG7" s="311"/>
      <c r="AH7" s="311"/>
      <c r="AI7" s="311"/>
      <c r="AJ7" s="311"/>
      <c r="AK7" s="311"/>
      <c r="AL7" s="311"/>
      <c r="AM7" s="311"/>
      <c r="AN7" s="306">
        <f>ТИТУЛЬНИК!C2</f>
        <v>95</v>
      </c>
      <c r="AO7" s="307"/>
      <c r="AP7" s="307"/>
      <c r="AQ7" s="308" t="s">
        <v>291</v>
      </c>
      <c r="AR7" s="308"/>
      <c r="AS7" s="308"/>
      <c r="AT7" s="308"/>
      <c r="AU7" s="308"/>
      <c r="AV7" s="377"/>
      <c r="AW7" s="40"/>
    </row>
    <row r="8" spans="1:58" ht="18" customHeight="1" x14ac:dyDescent="0.2">
      <c r="A8" s="40"/>
      <c r="B8" s="40"/>
      <c r="C8" s="40"/>
      <c r="D8" s="40"/>
      <c r="E8" s="40"/>
      <c r="F8" s="40"/>
      <c r="G8" s="333"/>
      <c r="H8" s="334"/>
      <c r="I8" s="334"/>
      <c r="J8" s="334"/>
      <c r="K8" s="334"/>
      <c r="L8" s="334"/>
      <c r="M8" s="371" t="s">
        <v>243</v>
      </c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2"/>
      <c r="AE8" s="48"/>
      <c r="AF8" s="310" t="s">
        <v>24</v>
      </c>
      <c r="AG8" s="311"/>
      <c r="AH8" s="311"/>
      <c r="AI8" s="311"/>
      <c r="AJ8" s="311"/>
      <c r="AK8" s="311"/>
      <c r="AL8" s="311"/>
      <c r="AM8" s="311"/>
      <c r="AN8" s="367">
        <f>ТИТУЛЬНИК!C4</f>
        <v>25.9</v>
      </c>
      <c r="AO8" s="368"/>
      <c r="AP8" s="368"/>
      <c r="AQ8" s="378"/>
      <c r="AR8" s="378"/>
      <c r="AS8" s="378"/>
      <c r="AT8" s="378"/>
      <c r="AU8" s="378"/>
      <c r="AV8" s="379"/>
      <c r="AW8" s="40"/>
    </row>
    <row r="9" spans="1:58" ht="22.5" customHeight="1" x14ac:dyDescent="0.2">
      <c r="A9" s="40"/>
      <c r="B9" s="40"/>
      <c r="C9" s="40"/>
      <c r="D9" s="40"/>
      <c r="E9" s="40"/>
      <c r="F9" s="40"/>
      <c r="G9" s="333"/>
      <c r="H9" s="334"/>
      <c r="I9" s="334"/>
      <c r="J9" s="334"/>
      <c r="K9" s="334"/>
      <c r="L9" s="334"/>
      <c r="M9" s="371" t="s">
        <v>399</v>
      </c>
      <c r="N9" s="371"/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/>
      <c r="AD9" s="372"/>
      <c r="AE9" s="48"/>
      <c r="AF9" s="460" t="s">
        <v>25</v>
      </c>
      <c r="AG9" s="461"/>
      <c r="AH9" s="461"/>
      <c r="AI9" s="461"/>
      <c r="AJ9" s="461"/>
      <c r="AK9" s="461"/>
      <c r="AL9" s="461"/>
      <c r="AM9" s="462"/>
      <c r="AN9" s="394">
        <f>ТИТУЛЬНИК!C5</f>
        <v>11.3</v>
      </c>
      <c r="AO9" s="395"/>
      <c r="AP9" s="395"/>
      <c r="AQ9" s="395"/>
      <c r="AR9" s="395"/>
      <c r="AS9" s="395"/>
      <c r="AT9" s="395"/>
      <c r="AU9" s="395"/>
      <c r="AV9" s="458"/>
      <c r="AW9" s="40"/>
    </row>
    <row r="10" spans="1:58" ht="22.5" customHeight="1" x14ac:dyDescent="0.2">
      <c r="A10" s="40"/>
      <c r="B10" s="40"/>
      <c r="C10" s="40"/>
      <c r="D10" s="40"/>
      <c r="E10" s="40"/>
      <c r="F10" s="40"/>
      <c r="G10" s="333"/>
      <c r="H10" s="334"/>
      <c r="I10" s="334"/>
      <c r="J10" s="334"/>
      <c r="K10" s="334"/>
      <c r="L10" s="334"/>
      <c r="M10" s="371" t="s">
        <v>244</v>
      </c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/>
      <c r="AB10" s="371"/>
      <c r="AC10" s="371"/>
      <c r="AD10" s="372"/>
      <c r="AE10" s="48"/>
      <c r="AF10" s="310" t="s">
        <v>395</v>
      </c>
      <c r="AG10" s="311"/>
      <c r="AH10" s="311"/>
      <c r="AI10" s="311"/>
      <c r="AJ10" s="311"/>
      <c r="AK10" s="311"/>
      <c r="AL10" s="311"/>
      <c r="AM10" s="311"/>
      <c r="AN10" s="388">
        <v>869.05</v>
      </c>
      <c r="AO10" s="389"/>
      <c r="AP10" s="463"/>
      <c r="AQ10" s="388"/>
      <c r="AR10" s="389"/>
      <c r="AS10" s="389"/>
      <c r="AT10" s="389"/>
      <c r="AU10" s="389"/>
      <c r="AV10" s="390"/>
      <c r="AW10" s="40"/>
    </row>
    <row r="11" spans="1:58" ht="22.5" customHeight="1" x14ac:dyDescent="0.2">
      <c r="A11" s="40" t="s">
        <v>0</v>
      </c>
      <c r="B11" s="40"/>
      <c r="C11" s="40"/>
      <c r="D11" s="40"/>
      <c r="E11" s="40"/>
      <c r="F11" s="40"/>
      <c r="G11" s="333"/>
      <c r="H11" s="334"/>
      <c r="I11" s="334"/>
      <c r="J11" s="334"/>
      <c r="K11" s="334"/>
      <c r="L11" s="334"/>
      <c r="M11" s="371" t="s">
        <v>398</v>
      </c>
      <c r="N11" s="371"/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1"/>
      <c r="Z11" s="371"/>
      <c r="AA11" s="371"/>
      <c r="AB11" s="371"/>
      <c r="AC11" s="371"/>
      <c r="AD11" s="372"/>
      <c r="AE11" s="48"/>
      <c r="AF11" s="310" t="s">
        <v>122</v>
      </c>
      <c r="AG11" s="311"/>
      <c r="AH11" s="311"/>
      <c r="AI11" s="311"/>
      <c r="AJ11" s="311"/>
      <c r="AK11" s="311"/>
      <c r="AL11" s="311"/>
      <c r="AM11" s="311"/>
      <c r="AN11" s="396">
        <f>(AN7)*101325/(AN10*9.81*1000)</f>
        <v>1.1290845024453746</v>
      </c>
      <c r="AO11" s="397"/>
      <c r="AP11" s="397"/>
      <c r="AQ11" s="397"/>
      <c r="AR11" s="397"/>
      <c r="AS11" s="397"/>
      <c r="AT11" s="397"/>
      <c r="AU11" s="397"/>
      <c r="AV11" s="459"/>
      <c r="AW11" s="40"/>
      <c r="AX11" s="39">
        <f>AN11*1.05</f>
        <v>1.1855387275676434</v>
      </c>
    </row>
    <row r="12" spans="1:58" ht="18" customHeight="1" x14ac:dyDescent="0.2">
      <c r="A12" s="40" t="s">
        <v>0</v>
      </c>
      <c r="B12" s="40"/>
      <c r="C12" s="40"/>
      <c r="D12" s="40"/>
      <c r="E12" s="40"/>
      <c r="F12" s="40"/>
      <c r="G12" s="380" t="s">
        <v>11</v>
      </c>
      <c r="H12" s="381"/>
      <c r="I12" s="381"/>
      <c r="J12" s="381"/>
      <c r="K12" s="381"/>
      <c r="L12" s="381"/>
      <c r="M12" s="373" t="s">
        <v>397</v>
      </c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4"/>
      <c r="AE12" s="48"/>
      <c r="AF12" s="310" t="s">
        <v>217</v>
      </c>
      <c r="AG12" s="311"/>
      <c r="AH12" s="311"/>
      <c r="AI12" s="311"/>
      <c r="AJ12" s="311"/>
      <c r="AK12" s="311"/>
      <c r="AL12" s="311"/>
      <c r="AM12" s="311"/>
      <c r="AN12" s="473">
        <v>94.3</v>
      </c>
      <c r="AO12" s="393"/>
      <c r="AP12" s="393"/>
      <c r="AQ12" s="393" t="s">
        <v>14</v>
      </c>
      <c r="AR12" s="393"/>
      <c r="AS12" s="393"/>
      <c r="AT12" s="391">
        <v>1390</v>
      </c>
      <c r="AU12" s="391"/>
      <c r="AV12" s="392"/>
      <c r="AW12" s="40"/>
      <c r="AX12" s="72"/>
      <c r="AZ12" s="57"/>
      <c r="BF12" s="72"/>
    </row>
    <row r="13" spans="1:58" ht="18" customHeight="1" x14ac:dyDescent="0.2">
      <c r="A13" s="40"/>
      <c r="B13" s="40"/>
      <c r="C13" s="40"/>
      <c r="D13" s="40"/>
      <c r="E13" s="40"/>
      <c r="F13" s="40"/>
      <c r="G13" s="386" t="s">
        <v>102</v>
      </c>
      <c r="H13" s="387"/>
      <c r="I13" s="387"/>
      <c r="J13" s="387"/>
      <c r="K13" s="382"/>
      <c r="L13" s="383"/>
      <c r="M13" s="420" t="s">
        <v>8</v>
      </c>
      <c r="N13" s="420"/>
      <c r="O13" s="424" t="s">
        <v>253</v>
      </c>
      <c r="P13" s="426"/>
      <c r="Q13" s="420" t="s">
        <v>9</v>
      </c>
      <c r="R13" s="420"/>
      <c r="S13" s="424" t="s">
        <v>265</v>
      </c>
      <c r="T13" s="425"/>
      <c r="U13" s="425"/>
      <c r="V13" s="426"/>
      <c r="W13" s="420" t="s">
        <v>262</v>
      </c>
      <c r="X13" s="420"/>
      <c r="Y13" s="420"/>
      <c r="Z13" s="420"/>
      <c r="AA13" s="424" t="s">
        <v>254</v>
      </c>
      <c r="AB13" s="425"/>
      <c r="AC13" s="425"/>
      <c r="AD13" s="428"/>
      <c r="AE13" s="48"/>
      <c r="AF13" s="310" t="s">
        <v>216</v>
      </c>
      <c r="AG13" s="311"/>
      <c r="AH13" s="311"/>
      <c r="AI13" s="311"/>
      <c r="AJ13" s="311"/>
      <c r="AK13" s="311"/>
      <c r="AL13" s="311"/>
      <c r="AM13" s="311"/>
      <c r="AN13" s="464">
        <v>6.21</v>
      </c>
      <c r="AO13" s="465"/>
      <c r="AP13" s="465"/>
      <c r="AQ13" s="393" t="s">
        <v>14</v>
      </c>
      <c r="AR13" s="393"/>
      <c r="AS13" s="393"/>
      <c r="AT13" s="469" t="s">
        <v>413</v>
      </c>
      <c r="AU13" s="469"/>
      <c r="AV13" s="470"/>
      <c r="AW13" s="40"/>
      <c r="AX13" s="74">
        <f>AX18+AX14-объем_скв</f>
        <v>22.757643438126006</v>
      </c>
      <c r="AY13" s="71"/>
      <c r="AZ13" s="71" t="s">
        <v>210</v>
      </c>
      <c r="BE13" s="39"/>
      <c r="BF13" s="69"/>
    </row>
    <row r="14" spans="1:58" ht="20.25" customHeight="1" x14ac:dyDescent="0.2">
      <c r="A14" s="40"/>
      <c r="B14" s="40"/>
      <c r="C14" s="40"/>
      <c r="D14" s="40"/>
      <c r="E14" s="40"/>
      <c r="F14" s="40"/>
      <c r="G14" s="415" t="s">
        <v>7</v>
      </c>
      <c r="H14" s="416"/>
      <c r="I14" s="416"/>
      <c r="J14" s="416"/>
      <c r="K14" s="384">
        <v>5.85</v>
      </c>
      <c r="L14" s="385"/>
      <c r="M14" s="421"/>
      <c r="N14" s="421"/>
      <c r="O14" s="375"/>
      <c r="P14" s="376"/>
      <c r="Q14" s="421"/>
      <c r="R14" s="421"/>
      <c r="S14" s="375" t="s">
        <v>263</v>
      </c>
      <c r="T14" s="376"/>
      <c r="U14" s="375" t="s">
        <v>264</v>
      </c>
      <c r="V14" s="376"/>
      <c r="W14" s="421"/>
      <c r="X14" s="421"/>
      <c r="Y14" s="421"/>
      <c r="Z14" s="421"/>
      <c r="AA14" s="375" t="s">
        <v>255</v>
      </c>
      <c r="AB14" s="376"/>
      <c r="AC14" s="375" t="s">
        <v>256</v>
      </c>
      <c r="AD14" s="429"/>
      <c r="AE14" s="48"/>
      <c r="AF14" s="310" t="s">
        <v>103</v>
      </c>
      <c r="AG14" s="311"/>
      <c r="AH14" s="311"/>
      <c r="AI14" s="311"/>
      <c r="AJ14" s="311"/>
      <c r="AK14" s="311"/>
      <c r="AL14" s="311"/>
      <c r="AM14" s="311"/>
      <c r="AN14" s="471">
        <v>1.23</v>
      </c>
      <c r="AO14" s="472"/>
      <c r="AP14" s="472"/>
      <c r="AQ14" s="308" t="s">
        <v>104</v>
      </c>
      <c r="AR14" s="308"/>
      <c r="AS14" s="308"/>
      <c r="AT14" s="451">
        <v>28.9</v>
      </c>
      <c r="AU14" s="451"/>
      <c r="AV14" s="452"/>
      <c r="AW14" s="40"/>
      <c r="AX14" s="75">
        <f>AC17</f>
        <v>22.757643438126006</v>
      </c>
      <c r="AY14" s="57"/>
      <c r="AZ14" s="57" t="s">
        <v>206</v>
      </c>
      <c r="BD14" s="73"/>
      <c r="BE14" s="73"/>
      <c r="BF14" s="69"/>
    </row>
    <row r="15" spans="1:58" ht="20.25" customHeight="1" x14ac:dyDescent="0.2">
      <c r="A15" s="40"/>
      <c r="B15" s="40"/>
      <c r="C15" s="40"/>
      <c r="D15" s="40"/>
      <c r="E15" s="40"/>
      <c r="F15" s="40"/>
      <c r="G15" s="333" t="s">
        <v>4</v>
      </c>
      <c r="H15" s="414"/>
      <c r="I15" s="414"/>
      <c r="J15" s="414"/>
      <c r="K15" s="414"/>
      <c r="L15" s="414"/>
      <c r="M15" s="356">
        <v>324</v>
      </c>
      <c r="N15" s="356"/>
      <c r="O15" s="422"/>
      <c r="P15" s="423"/>
      <c r="Q15" s="356"/>
      <c r="R15" s="356"/>
      <c r="S15" s="417">
        <v>53</v>
      </c>
      <c r="T15" s="417"/>
      <c r="U15" s="417"/>
      <c r="V15" s="417"/>
      <c r="W15" s="418">
        <v>0</v>
      </c>
      <c r="X15" s="418"/>
      <c r="Y15" s="418"/>
      <c r="Z15" s="418"/>
      <c r="AA15" s="318"/>
      <c r="AB15" s="318"/>
      <c r="AC15" s="318"/>
      <c r="AD15" s="319"/>
      <c r="AE15" s="48"/>
      <c r="AF15" s="310" t="s">
        <v>13</v>
      </c>
      <c r="AG15" s="444"/>
      <c r="AH15" s="444"/>
      <c r="AI15" s="444"/>
      <c r="AJ15" s="444"/>
      <c r="AK15" s="444"/>
      <c r="AL15" s="444"/>
      <c r="AM15" s="444"/>
      <c r="AN15" s="453">
        <v>51.3</v>
      </c>
      <c r="AO15" s="454"/>
      <c r="AP15" s="455"/>
      <c r="AQ15" s="453">
        <v>22.2</v>
      </c>
      <c r="AR15" s="454"/>
      <c r="AS15" s="455"/>
      <c r="AT15" s="466">
        <v>0.5</v>
      </c>
      <c r="AU15" s="467"/>
      <c r="AV15" s="468"/>
      <c r="AW15" s="40"/>
      <c r="AX15" s="75">
        <f>AC18</f>
        <v>2.6034819387559995</v>
      </c>
      <c r="AY15" s="57"/>
      <c r="AZ15" s="57" t="s">
        <v>123</v>
      </c>
      <c r="BA15" s="38"/>
      <c r="BF15" s="69"/>
    </row>
    <row r="16" spans="1:58" ht="20.25" customHeight="1" x14ac:dyDescent="0.2">
      <c r="A16" s="40"/>
      <c r="B16" s="40"/>
      <c r="C16" s="40"/>
      <c r="D16" s="40"/>
      <c r="E16" s="40"/>
      <c r="F16" s="40"/>
      <c r="G16" s="333" t="s">
        <v>3</v>
      </c>
      <c r="H16" s="334"/>
      <c r="I16" s="334"/>
      <c r="J16" s="334"/>
      <c r="K16" s="334"/>
      <c r="L16" s="334"/>
      <c r="M16" s="344">
        <v>245</v>
      </c>
      <c r="N16" s="344"/>
      <c r="O16" s="336"/>
      <c r="P16" s="337"/>
      <c r="Q16" s="344"/>
      <c r="R16" s="344"/>
      <c r="S16" s="419">
        <v>302</v>
      </c>
      <c r="T16" s="419"/>
      <c r="U16" s="419"/>
      <c r="V16" s="419"/>
      <c r="W16" s="427">
        <v>0</v>
      </c>
      <c r="X16" s="427"/>
      <c r="Y16" s="427"/>
      <c r="Z16" s="427"/>
      <c r="AA16" s="318"/>
      <c r="AB16" s="318"/>
      <c r="AC16" s="318"/>
      <c r="AD16" s="319"/>
      <c r="AE16" s="48"/>
      <c r="AF16" s="310" t="s">
        <v>23</v>
      </c>
      <c r="AG16" s="311"/>
      <c r="AH16" s="311"/>
      <c r="AI16" s="311"/>
      <c r="AJ16" s="311"/>
      <c r="AK16" s="311"/>
      <c r="AL16" s="311"/>
      <c r="AM16" s="311"/>
      <c r="AN16" s="448">
        <v>44975</v>
      </c>
      <c r="AO16" s="308"/>
      <c r="AP16" s="449"/>
      <c r="AQ16" s="448">
        <v>44995</v>
      </c>
      <c r="AR16" s="308"/>
      <c r="AS16" s="449"/>
      <c r="AT16" s="448"/>
      <c r="AU16" s="308"/>
      <c r="AV16" s="377"/>
      <c r="AW16" s="40"/>
      <c r="AX16" s="75">
        <f>AC19</f>
        <v>4.7860591834860013</v>
      </c>
      <c r="AY16" s="57"/>
      <c r="AZ16" s="57" t="s">
        <v>211</v>
      </c>
      <c r="BA16" s="76">
        <f>AC19*2</f>
        <v>9.5721183669720027</v>
      </c>
      <c r="BB16" s="71" t="s">
        <v>124</v>
      </c>
      <c r="BF16" s="69"/>
    </row>
    <row r="17" spans="1:58" ht="20.25" customHeight="1" x14ac:dyDescent="0.2">
      <c r="A17" s="40"/>
      <c r="B17" s="40"/>
      <c r="C17" s="40"/>
      <c r="D17" s="40"/>
      <c r="E17" s="40"/>
      <c r="F17" s="40"/>
      <c r="G17" s="441" t="s">
        <v>12</v>
      </c>
      <c r="H17" s="442"/>
      <c r="I17" s="442"/>
      <c r="J17" s="442"/>
      <c r="K17" s="442"/>
      <c r="L17" s="443"/>
      <c r="M17" s="344">
        <v>178</v>
      </c>
      <c r="N17" s="344"/>
      <c r="O17" s="338">
        <v>8.1</v>
      </c>
      <c r="P17" s="339"/>
      <c r="Q17" s="338">
        <f>M17-2*O17</f>
        <v>161.80000000000001</v>
      </c>
      <c r="R17" s="339"/>
      <c r="S17" s="419">
        <v>1175</v>
      </c>
      <c r="T17" s="419"/>
      <c r="U17" s="419"/>
      <c r="V17" s="419"/>
      <c r="W17" s="427">
        <v>75</v>
      </c>
      <c r="X17" s="427"/>
      <c r="Y17" s="427"/>
      <c r="Z17" s="427"/>
      <c r="AA17" s="362">
        <f>Q17*Q17*3.14/(4*1000)</f>
        <v>20.550703400000007</v>
      </c>
      <c r="AB17" s="362"/>
      <c r="AC17" s="362">
        <f>AA17*стингер/1000</f>
        <v>22.757643438126006</v>
      </c>
      <c r="AD17" s="413"/>
      <c r="AE17" s="48"/>
      <c r="AF17" s="310" t="s">
        <v>22</v>
      </c>
      <c r="AG17" s="311"/>
      <c r="AH17" s="311"/>
      <c r="AI17" s="311"/>
      <c r="AJ17" s="311"/>
      <c r="AK17" s="311"/>
      <c r="AL17" s="311"/>
      <c r="AM17" s="311"/>
      <c r="AN17" s="306">
        <v>0</v>
      </c>
      <c r="AO17" s="307"/>
      <c r="AP17" s="307"/>
      <c r="AQ17" s="308">
        <v>44995</v>
      </c>
      <c r="AR17" s="308"/>
      <c r="AS17" s="308"/>
      <c r="AT17" s="304"/>
      <c r="AU17" s="304"/>
      <c r="AV17" s="305"/>
      <c r="AW17" s="40"/>
      <c r="AX17" s="69">
        <f>U22*(M19^2*3.14/(4*1000))/1000</f>
        <v>6.8702695416915009</v>
      </c>
      <c r="AY17" s="77"/>
      <c r="AZ17" s="77" t="s">
        <v>212</v>
      </c>
      <c r="BA17" s="58"/>
      <c r="BB17" s="57"/>
      <c r="BF17" s="38"/>
    </row>
    <row r="18" spans="1:58" ht="20.25" customHeight="1" x14ac:dyDescent="0.2">
      <c r="A18" s="40"/>
      <c r="B18" s="40"/>
      <c r="C18" s="40"/>
      <c r="D18" s="40"/>
      <c r="E18" s="40"/>
      <c r="F18" s="40"/>
      <c r="G18" s="432" t="s">
        <v>236</v>
      </c>
      <c r="H18" s="433"/>
      <c r="I18" s="433"/>
      <c r="J18" s="433"/>
      <c r="K18" s="433"/>
      <c r="L18" s="434"/>
      <c r="M18" s="435">
        <v>114.3</v>
      </c>
      <c r="N18" s="435"/>
      <c r="O18" s="436">
        <v>8.6</v>
      </c>
      <c r="P18" s="437"/>
      <c r="Q18" s="436">
        <f>M18-2*O18</f>
        <v>97.1</v>
      </c>
      <c r="R18" s="437"/>
      <c r="S18" s="430">
        <v>1107.3900000000001</v>
      </c>
      <c r="T18" s="431"/>
      <c r="U18" s="438">
        <v>1471</v>
      </c>
      <c r="V18" s="439"/>
      <c r="W18" s="435" t="s">
        <v>257</v>
      </c>
      <c r="X18" s="435"/>
      <c r="Y18" s="435"/>
      <c r="Z18" s="435"/>
      <c r="AA18" s="440">
        <f>Q18*Q18*3.14/(4*1000)</f>
        <v>7.4013018499999985</v>
      </c>
      <c r="AB18" s="440"/>
      <c r="AC18" s="440">
        <f>AA18*(забой-стингер)/1000</f>
        <v>2.6034819387559995</v>
      </c>
      <c r="AD18" s="450"/>
      <c r="AE18" s="48"/>
      <c r="AF18" s="456" t="s">
        <v>251</v>
      </c>
      <c r="AG18" s="457"/>
      <c r="AH18" s="457"/>
      <c r="AI18" s="457"/>
      <c r="AJ18" s="457"/>
      <c r="AK18" s="457"/>
      <c r="AL18" s="457"/>
      <c r="AM18" s="457"/>
      <c r="AN18" s="306"/>
      <c r="AO18" s="307"/>
      <c r="AP18" s="307"/>
      <c r="AQ18" s="308"/>
      <c r="AR18" s="308"/>
      <c r="AS18" s="308"/>
      <c r="AT18" s="304"/>
      <c r="AU18" s="304"/>
      <c r="AV18" s="305"/>
      <c r="AW18" s="40"/>
      <c r="AX18" s="74">
        <f>AX16+AX15</f>
        <v>7.3895411222420009</v>
      </c>
      <c r="AY18" s="71"/>
      <c r="AZ18" s="71" t="s">
        <v>209</v>
      </c>
      <c r="BD18" s="38"/>
      <c r="BF18" s="38"/>
    </row>
    <row r="19" spans="1:58" ht="20.25" customHeight="1" x14ac:dyDescent="0.2">
      <c r="A19" s="40"/>
      <c r="B19" s="40"/>
      <c r="C19" s="40"/>
      <c r="D19" s="40"/>
      <c r="E19" s="40"/>
      <c r="F19" s="40"/>
      <c r="G19" s="328" t="s">
        <v>15</v>
      </c>
      <c r="H19" s="329"/>
      <c r="I19" s="329"/>
      <c r="J19" s="329"/>
      <c r="K19" s="329"/>
      <c r="L19" s="330"/>
      <c r="M19" s="356">
        <v>88.9</v>
      </c>
      <c r="N19" s="356"/>
      <c r="O19" s="422">
        <v>6.5</v>
      </c>
      <c r="P19" s="423"/>
      <c r="Q19" s="357">
        <v>74.2</v>
      </c>
      <c r="R19" s="357"/>
      <c r="S19" s="351">
        <v>0</v>
      </c>
      <c r="T19" s="352"/>
      <c r="U19" s="315">
        <f>W19</f>
        <v>1101.3400000000001</v>
      </c>
      <c r="V19" s="316"/>
      <c r="W19" s="317">
        <f>S18-SUM(W20:Z22)</f>
        <v>1101.3400000000001</v>
      </c>
      <c r="X19" s="317"/>
      <c r="Y19" s="317"/>
      <c r="Z19" s="317"/>
      <c r="AA19" s="318">
        <f>Q19*Q19*3.14/(4*1000)</f>
        <v>4.3219274000000008</v>
      </c>
      <c r="AB19" s="318"/>
      <c r="AC19" s="318">
        <f>AA19*стингер/1000</f>
        <v>4.7860591834860013</v>
      </c>
      <c r="AD19" s="319"/>
      <c r="AE19" s="48"/>
      <c r="AF19" s="310" t="s">
        <v>396</v>
      </c>
      <c r="AG19" s="311"/>
      <c r="AH19" s="311"/>
      <c r="AI19" s="311"/>
      <c r="AJ19" s="311"/>
      <c r="AK19" s="311"/>
      <c r="AL19" s="311"/>
      <c r="AM19" s="311"/>
      <c r="AN19" s="306">
        <v>116</v>
      </c>
      <c r="AO19" s="307"/>
      <c r="AP19" s="307"/>
      <c r="AQ19" s="308">
        <v>44986</v>
      </c>
      <c r="AR19" s="308"/>
      <c r="AS19" s="308"/>
      <c r="AT19" s="304" t="s">
        <v>16</v>
      </c>
      <c r="AU19" s="304"/>
      <c r="AV19" s="305"/>
      <c r="AW19" s="40"/>
      <c r="AX19" s="68"/>
      <c r="BF19" s="38"/>
    </row>
    <row r="20" spans="1:58" ht="20.25" customHeight="1" x14ac:dyDescent="0.2">
      <c r="A20" s="40"/>
      <c r="B20" s="40"/>
      <c r="C20" s="40"/>
      <c r="D20" s="40"/>
      <c r="E20" s="40"/>
      <c r="F20" s="40"/>
      <c r="G20" s="333" t="s">
        <v>375</v>
      </c>
      <c r="H20" s="334"/>
      <c r="I20" s="334"/>
      <c r="J20" s="334"/>
      <c r="K20" s="334"/>
      <c r="L20" s="334"/>
      <c r="M20" s="344">
        <v>122</v>
      </c>
      <c r="N20" s="344"/>
      <c r="O20" s="336"/>
      <c r="P20" s="337"/>
      <c r="Q20" s="344">
        <v>71</v>
      </c>
      <c r="R20" s="344"/>
      <c r="S20" s="351">
        <f>U19</f>
        <v>1101.3400000000001</v>
      </c>
      <c r="T20" s="352"/>
      <c r="U20" s="315">
        <f>S20+W20</f>
        <v>1101.8400000000001</v>
      </c>
      <c r="V20" s="316"/>
      <c r="W20" s="323">
        <v>0.5</v>
      </c>
      <c r="X20" s="323"/>
      <c r="Y20" s="323"/>
      <c r="Z20" s="323"/>
      <c r="AA20" s="318"/>
      <c r="AB20" s="318"/>
      <c r="AC20" s="318"/>
      <c r="AD20" s="319"/>
      <c r="AE20" s="48"/>
      <c r="AF20" s="310" t="s">
        <v>21</v>
      </c>
      <c r="AG20" s="311"/>
      <c r="AH20" s="311"/>
      <c r="AI20" s="311"/>
      <c r="AJ20" s="311"/>
      <c r="AK20" s="311"/>
      <c r="AL20" s="311"/>
      <c r="AM20" s="311"/>
      <c r="AN20" s="306">
        <v>116</v>
      </c>
      <c r="AO20" s="307"/>
      <c r="AP20" s="307"/>
      <c r="AQ20" s="308"/>
      <c r="AR20" s="308"/>
      <c r="AS20" s="308"/>
      <c r="AT20" s="304"/>
      <c r="AU20" s="304"/>
      <c r="AV20" s="305"/>
      <c r="AW20" s="40"/>
      <c r="AX20" s="70">
        <f>процедура!J61</f>
        <v>105</v>
      </c>
      <c r="AZ20" s="57" t="s">
        <v>208</v>
      </c>
      <c r="BA20" s="71" t="str">
        <f>IF(AX20&lt;=AN20,"менее Р макс.допуст","БОЛЕЕ Р макс.допуст")</f>
        <v>менее Р макс.допуст</v>
      </c>
      <c r="BF20" s="38"/>
    </row>
    <row r="21" spans="1:58" ht="20.25" customHeight="1" thickBot="1" x14ac:dyDescent="0.25">
      <c r="A21" s="40"/>
      <c r="B21" s="40"/>
      <c r="C21" s="40"/>
      <c r="D21" s="40"/>
      <c r="E21" s="40"/>
      <c r="F21" s="40"/>
      <c r="G21" s="333" t="s">
        <v>286</v>
      </c>
      <c r="H21" s="334"/>
      <c r="I21" s="334"/>
      <c r="J21" s="334"/>
      <c r="K21" s="334"/>
      <c r="L21" s="334"/>
      <c r="M21" s="344">
        <v>89</v>
      </c>
      <c r="N21" s="344"/>
      <c r="O21" s="338">
        <v>6.5</v>
      </c>
      <c r="P21" s="339"/>
      <c r="Q21" s="362">
        <v>74.2</v>
      </c>
      <c r="R21" s="362"/>
      <c r="S21" s="351">
        <f>U20</f>
        <v>1101.8400000000001</v>
      </c>
      <c r="T21" s="352"/>
      <c r="U21" s="315">
        <f>S21+W21</f>
        <v>1104.8400000000001</v>
      </c>
      <c r="V21" s="316"/>
      <c r="W21" s="323">
        <f>4.85-1.85</f>
        <v>2.9999999999999996</v>
      </c>
      <c r="X21" s="323"/>
      <c r="Y21" s="323"/>
      <c r="Z21" s="323"/>
      <c r="AA21" s="318"/>
      <c r="AB21" s="318"/>
      <c r="AC21" s="318"/>
      <c r="AD21" s="319"/>
      <c r="AE21" s="40"/>
      <c r="AF21" s="320" t="s">
        <v>20</v>
      </c>
      <c r="AG21" s="321"/>
      <c r="AH21" s="321"/>
      <c r="AI21" s="321"/>
      <c r="AJ21" s="321"/>
      <c r="AK21" s="321"/>
      <c r="AL21" s="321"/>
      <c r="AM21" s="321"/>
      <c r="AN21" s="300">
        <v>92.8</v>
      </c>
      <c r="AO21" s="301"/>
      <c r="AP21" s="301"/>
      <c r="AQ21" s="302"/>
      <c r="AR21" s="302"/>
      <c r="AS21" s="302"/>
      <c r="AT21" s="302"/>
      <c r="AU21" s="302"/>
      <c r="AV21" s="303"/>
      <c r="AW21" s="40"/>
      <c r="AX21" s="68"/>
      <c r="AY21" s="39"/>
    </row>
    <row r="22" spans="1:58" ht="18" customHeight="1" thickBot="1" x14ac:dyDescent="0.25">
      <c r="A22" s="40"/>
      <c r="B22" s="40"/>
      <c r="C22" s="40"/>
      <c r="D22" s="40"/>
      <c r="E22" s="40"/>
      <c r="F22" s="40"/>
      <c r="G22" s="363" t="s">
        <v>401</v>
      </c>
      <c r="H22" s="364"/>
      <c r="I22" s="364"/>
      <c r="J22" s="364"/>
      <c r="K22" s="364"/>
      <c r="L22" s="365"/>
      <c r="M22" s="366">
        <v>122</v>
      </c>
      <c r="N22" s="366"/>
      <c r="O22" s="340"/>
      <c r="P22" s="341"/>
      <c r="Q22" s="366">
        <v>71</v>
      </c>
      <c r="R22" s="366"/>
      <c r="S22" s="358">
        <f>U21</f>
        <v>1104.8400000000001</v>
      </c>
      <c r="T22" s="359"/>
      <c r="U22" s="360">
        <f>S22+W22</f>
        <v>1107.3900000000001</v>
      </c>
      <c r="V22" s="361"/>
      <c r="W22" s="335">
        <f>7.4-4.85</f>
        <v>2.5500000000000007</v>
      </c>
      <c r="X22" s="335"/>
      <c r="Y22" s="335"/>
      <c r="Z22" s="335"/>
      <c r="AA22" s="309"/>
      <c r="AB22" s="309"/>
      <c r="AC22" s="309"/>
      <c r="AD22" s="322"/>
      <c r="AE22" s="48"/>
      <c r="AF22" s="298" t="s">
        <v>288</v>
      </c>
      <c r="AG22" s="299"/>
      <c r="AH22" s="299"/>
      <c r="AI22" s="299"/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6">
        <f>AS28</f>
        <v>1459.15</v>
      </c>
      <c r="AU22" s="296"/>
      <c r="AV22" s="297"/>
      <c r="AW22" s="40"/>
      <c r="AX22" s="69">
        <f>S23*AC23/1000</f>
        <v>21.4718391243936</v>
      </c>
      <c r="AZ22" s="57" t="s">
        <v>125</v>
      </c>
      <c r="BF22" s="38"/>
    </row>
    <row r="23" spans="1:58" ht="20.25" customHeight="1" thickBot="1" x14ac:dyDescent="0.25">
      <c r="A23" s="40"/>
      <c r="B23" s="40"/>
      <c r="C23" s="40"/>
      <c r="D23" s="40"/>
      <c r="E23" s="40"/>
      <c r="F23" s="40"/>
      <c r="G23" s="349" t="s">
        <v>17</v>
      </c>
      <c r="H23" s="350"/>
      <c r="I23" s="350"/>
      <c r="J23" s="350"/>
      <c r="K23" s="350"/>
      <c r="L23" s="350"/>
      <c r="M23" s="331">
        <v>38.1</v>
      </c>
      <c r="N23" s="331"/>
      <c r="O23" s="342">
        <v>3.96</v>
      </c>
      <c r="P23" s="343"/>
      <c r="Q23" s="331">
        <f>M23-2*O23</f>
        <v>30.18</v>
      </c>
      <c r="R23" s="331"/>
      <c r="S23" s="332">
        <v>5480</v>
      </c>
      <c r="T23" s="332"/>
      <c r="U23" s="332"/>
      <c r="V23" s="332"/>
      <c r="W23" s="332"/>
      <c r="X23" s="332"/>
      <c r="Y23" s="332"/>
      <c r="Z23" s="332"/>
      <c r="AA23" s="353">
        <f>Q23*Q23*3.14/(4*1000)</f>
        <v>0.7150034340000001</v>
      </c>
      <c r="AB23" s="353"/>
      <c r="AC23" s="354">
        <f>AA23*S23/1000</f>
        <v>3.9182188183200006</v>
      </c>
      <c r="AD23" s="355"/>
      <c r="AE23" s="48"/>
      <c r="AF23" s="320" t="s">
        <v>412</v>
      </c>
      <c r="AG23" s="447"/>
      <c r="AH23" s="447"/>
      <c r="AI23" s="447"/>
      <c r="AJ23" s="447"/>
      <c r="AK23" s="447"/>
      <c r="AL23" s="447"/>
      <c r="AM23" s="447"/>
      <c r="AN23" s="447"/>
      <c r="AO23" s="447"/>
      <c r="AP23" s="447"/>
      <c r="AQ23" s="447"/>
      <c r="AR23" s="447"/>
      <c r="AS23" s="447"/>
      <c r="AT23" s="445">
        <f>AS28</f>
        <v>1459.15</v>
      </c>
      <c r="AU23" s="445"/>
      <c r="AV23" s="446"/>
      <c r="AW23" s="50"/>
      <c r="AX23" s="68">
        <f>AX22+AX17</f>
        <v>28.342108666085103</v>
      </c>
      <c r="AZ23" s="57" t="s">
        <v>126</v>
      </c>
    </row>
    <row r="24" spans="1:58" ht="35.25" customHeight="1" thickBot="1" x14ac:dyDescent="0.25">
      <c r="A24" s="40"/>
      <c r="B24" s="40"/>
      <c r="C24" s="40"/>
      <c r="D24" s="40"/>
      <c r="E24" s="40"/>
      <c r="F24" s="40"/>
      <c r="G24" s="347" t="s">
        <v>207</v>
      </c>
      <c r="H24" s="348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40"/>
    </row>
    <row r="25" spans="1:58" ht="17.25" customHeight="1" x14ac:dyDescent="0.2">
      <c r="A25" s="40"/>
      <c r="B25" s="40"/>
      <c r="C25" s="40"/>
      <c r="D25" s="40"/>
      <c r="E25" s="40"/>
      <c r="F25" s="40"/>
      <c r="J25" s="40"/>
      <c r="K25" s="325">
        <v>5</v>
      </c>
      <c r="L25" s="326"/>
      <c r="M25" s="327"/>
      <c r="N25" s="40"/>
      <c r="O25" s="40"/>
      <c r="R25" s="325">
        <v>4</v>
      </c>
      <c r="S25" s="326"/>
      <c r="T25" s="327"/>
      <c r="Z25" s="325">
        <v>3</v>
      </c>
      <c r="AA25" s="326"/>
      <c r="AB25" s="327"/>
      <c r="AH25" s="325">
        <v>2</v>
      </c>
      <c r="AI25" s="326"/>
      <c r="AJ25" s="327"/>
      <c r="AK25" s="230"/>
      <c r="AL25" s="230"/>
      <c r="AM25" s="230"/>
      <c r="AN25" s="3"/>
      <c r="AO25" s="3"/>
      <c r="AP25" s="40"/>
      <c r="AQ25" s="40"/>
      <c r="AR25" s="40"/>
      <c r="AS25" s="325">
        <v>1</v>
      </c>
      <c r="AT25" s="326"/>
      <c r="AU25" s="327"/>
      <c r="AW25" s="40"/>
      <c r="AZ25" s="97" t="s">
        <v>241</v>
      </c>
      <c r="BA25" s="96"/>
      <c r="BB25" s="96"/>
      <c r="BC25" s="96"/>
      <c r="BD25" s="96"/>
    </row>
    <row r="26" spans="1:58" ht="17.25" customHeight="1" x14ac:dyDescent="0.2">
      <c r="A26" s="40"/>
      <c r="B26" s="40"/>
      <c r="C26" s="40"/>
      <c r="D26" s="40"/>
      <c r="E26" s="40"/>
      <c r="F26" s="40"/>
      <c r="J26" s="40"/>
      <c r="K26" s="312" t="s">
        <v>407</v>
      </c>
      <c r="L26" s="313"/>
      <c r="M26" s="314"/>
      <c r="N26" s="215"/>
      <c r="O26" s="215"/>
      <c r="R26" s="312" t="s">
        <v>405</v>
      </c>
      <c r="S26" s="313"/>
      <c r="T26" s="314"/>
      <c r="Z26" s="312" t="s">
        <v>404</v>
      </c>
      <c r="AA26" s="313"/>
      <c r="AB26" s="314"/>
      <c r="AH26" s="312" t="s">
        <v>403</v>
      </c>
      <c r="AI26" s="313"/>
      <c r="AJ26" s="314"/>
      <c r="AK26" s="231"/>
      <c r="AL26" s="231"/>
      <c r="AM26" s="231"/>
      <c r="AN26" s="3"/>
      <c r="AO26" s="3"/>
      <c r="AP26" s="40"/>
      <c r="AQ26" s="215"/>
      <c r="AR26" s="40"/>
      <c r="AS26" s="312" t="s">
        <v>231</v>
      </c>
      <c r="AT26" s="313"/>
      <c r="AU26" s="314"/>
      <c r="AW26" s="40"/>
      <c r="AZ26" s="97" t="s">
        <v>238</v>
      </c>
      <c r="BA26" s="96"/>
      <c r="BB26" s="96"/>
      <c r="BC26" s="96"/>
      <c r="BD26" s="96"/>
    </row>
    <row r="27" spans="1:58" ht="79.5" customHeight="1" x14ac:dyDescent="0.2">
      <c r="A27" s="40"/>
      <c r="B27" s="40"/>
      <c r="C27" s="40"/>
      <c r="D27" s="40"/>
      <c r="E27" s="40"/>
      <c r="F27" s="40"/>
      <c r="J27" s="95"/>
      <c r="K27" s="216">
        <v>1216.95</v>
      </c>
      <c r="L27" s="51" t="s">
        <v>18</v>
      </c>
      <c r="M27" s="52" t="s">
        <v>19</v>
      </c>
      <c r="N27" s="40"/>
      <c r="O27" s="40"/>
      <c r="R27" s="217">
        <v>1266.03</v>
      </c>
      <c r="S27" s="51" t="s">
        <v>18</v>
      </c>
      <c r="T27" s="52" t="s">
        <v>19</v>
      </c>
      <c r="Z27" s="217">
        <v>1326.54</v>
      </c>
      <c r="AA27" s="51" t="s">
        <v>18</v>
      </c>
      <c r="AB27" s="52" t="s">
        <v>19</v>
      </c>
      <c r="AH27" s="217">
        <v>1387.13</v>
      </c>
      <c r="AI27" s="51" t="s">
        <v>18</v>
      </c>
      <c r="AJ27" s="52" t="s">
        <v>19</v>
      </c>
      <c r="AK27" s="232"/>
      <c r="AL27" s="233"/>
      <c r="AM27" s="233"/>
      <c r="AN27" s="3"/>
      <c r="AO27" s="3"/>
      <c r="AP27" s="40"/>
      <c r="AQ27" s="40"/>
      <c r="AR27" s="40"/>
      <c r="AS27" s="217">
        <v>1460.25</v>
      </c>
      <c r="AT27" s="51" t="s">
        <v>18</v>
      </c>
      <c r="AU27" s="52" t="s">
        <v>19</v>
      </c>
      <c r="AW27" s="40"/>
      <c r="AZ27" s="3"/>
      <c r="BB27" s="39"/>
    </row>
    <row r="28" spans="1:58" ht="60" customHeight="1" thickBot="1" x14ac:dyDescent="0.25">
      <c r="A28" s="40"/>
      <c r="B28" s="40"/>
      <c r="C28" s="40"/>
      <c r="D28" s="40"/>
      <c r="E28" s="40"/>
      <c r="F28" s="40"/>
      <c r="J28" s="40"/>
      <c r="K28" s="41">
        <f>K27-IF($G$18="Хвостовик  ''НТЦ ''ЗЭРС''",  IF($M$18=114.3,  0.9,       0.85),      IF($G$18="Хвостовик ''Барбус''",0.92, 1.1) )</f>
        <v>1216.05</v>
      </c>
      <c r="L28" s="98">
        <f>VLOOKUP(K26,$BA$44:$BC$54,2)</f>
        <v>55.55</v>
      </c>
      <c r="M28" s="99">
        <f>VLOOKUP(K26,$BA$44:$BC$54,3)</f>
        <v>58.17</v>
      </c>
      <c r="N28" s="40"/>
      <c r="O28" s="40"/>
      <c r="R28" s="41">
        <f>R27-IF($G$18="Хвостовик  ''НТЦ ''ЗЭРС''",  IF($M$18=114.3,  0.9,       0.85),      IF($G$18="Хвостовик ''Барбус''",0.92, 1.1) )</f>
        <v>1265.1299999999999</v>
      </c>
      <c r="S28" s="98">
        <f>VLOOKUP(R26,$BA$44:$BC$54,2)</f>
        <v>49.8</v>
      </c>
      <c r="T28" s="99">
        <f>VLOOKUP(R26,$BA$44:$BC$54,3)</f>
        <v>52.43</v>
      </c>
      <c r="Z28" s="41">
        <f>Z27-IF($G$18="Хвостовик  ''НТЦ ''ЗЭРС''",  IF($M$18=114.3,  0.9,       0.85),      IF($G$18="Хвостовик ''Барбус''",0.92, 1.1) )</f>
        <v>1325.6399999999999</v>
      </c>
      <c r="AA28" s="98">
        <f>VLOOKUP(Z26,$BA$44:$BC$54,2)</f>
        <v>47.2</v>
      </c>
      <c r="AB28" s="99">
        <f>VLOOKUP(Z26,$BA$44:$BC$54,3)</f>
        <v>49.71</v>
      </c>
      <c r="AH28" s="41">
        <f>AH27-IF($G$18="Хвостовик  ''НТЦ ''ЗЭРС''",  IF($M$18=114.3,  0.9,  0.85),      IF($G$18="Хвостовик ''Барбус''",0.92, 1.1) )</f>
        <v>1386.23</v>
      </c>
      <c r="AI28" s="98">
        <f>VLOOKUP(AH26,$BA$44:$BC$54,2)</f>
        <v>45.06</v>
      </c>
      <c r="AJ28" s="99">
        <f>VLOOKUP(AH26,$BA$44:$BC$54,3)</f>
        <v>47.07</v>
      </c>
      <c r="AK28" s="53"/>
      <c r="AL28" s="54"/>
      <c r="AM28" s="54"/>
      <c r="AN28" s="3"/>
      <c r="AO28" s="3"/>
      <c r="AP28" s="40"/>
      <c r="AQ28" s="40"/>
      <c r="AR28" s="40"/>
      <c r="AS28" s="41">
        <f>AS27-IF($G$18="Хвостовик  ''НТЦ ''ЗЭРС''",  IF($M$18=114.3,  1.1,       1.2),            IF($G$18="Хвостовик ''Барбус''",1.16,0.58) )</f>
        <v>1459.15</v>
      </c>
      <c r="AT28" s="218">
        <f>VLOOKUP(AS26,$BA$44:$BC$54,2)</f>
        <v>30</v>
      </c>
      <c r="AU28" s="255">
        <f>VLOOKUP(AS26,$BA$44:$BC$54,3)</f>
        <v>32</v>
      </c>
      <c r="AW28" s="40"/>
    </row>
    <row r="29" spans="1:58" ht="13.5" customHeight="1" x14ac:dyDescent="0.2">
      <c r="A29" s="40"/>
      <c r="B29" s="40"/>
      <c r="C29" s="40"/>
      <c r="D29" s="40"/>
      <c r="E29" s="40"/>
      <c r="F29" s="40"/>
      <c r="G29" s="53"/>
      <c r="H29" s="54"/>
      <c r="I29" s="54"/>
      <c r="J29" s="1"/>
      <c r="K29" s="53"/>
      <c r="L29" s="54"/>
      <c r="M29" s="54"/>
      <c r="N29" s="1"/>
      <c r="O29" s="1"/>
      <c r="P29" s="1"/>
      <c r="Q29" s="53"/>
      <c r="R29" s="54"/>
      <c r="S29" s="54"/>
      <c r="T29" s="1"/>
      <c r="U29" s="53"/>
      <c r="V29" s="54"/>
      <c r="W29" s="54"/>
      <c r="X29" s="40"/>
      <c r="Y29" s="40"/>
      <c r="Z29" s="40"/>
      <c r="AA29" s="54"/>
      <c r="AB29" s="1"/>
      <c r="AC29" s="53"/>
      <c r="AD29" s="54"/>
      <c r="AE29" s="1"/>
      <c r="AF29" s="1"/>
      <c r="AG29" s="53"/>
      <c r="AH29" s="54"/>
      <c r="AI29" s="54"/>
      <c r="AJ29" s="1"/>
      <c r="AK29" s="42"/>
      <c r="AL29" s="54"/>
      <c r="AM29" s="54"/>
      <c r="AN29" s="1"/>
      <c r="AO29" s="42"/>
      <c r="AP29" s="54"/>
      <c r="AQ29" s="54"/>
      <c r="AR29" s="1"/>
      <c r="AS29" s="42"/>
      <c r="AT29" s="55"/>
      <c r="AU29" s="55"/>
      <c r="AV29" s="56"/>
      <c r="AW29" s="40"/>
      <c r="AY29" s="60"/>
    </row>
    <row r="30" spans="1:58" ht="13.5" thickBot="1" x14ac:dyDescent="0.25">
      <c r="G30" s="2"/>
      <c r="H30" s="2"/>
      <c r="I30" s="3"/>
      <c r="J30" s="3"/>
      <c r="K30" s="2"/>
      <c r="L30" s="2"/>
      <c r="M30" s="3"/>
      <c r="N30" s="3"/>
      <c r="O30" s="3"/>
      <c r="P30" s="3"/>
      <c r="Q30" s="2"/>
      <c r="R30" s="2"/>
      <c r="S30" s="3"/>
      <c r="T30" s="3"/>
      <c r="U30" s="2"/>
      <c r="V30" s="2"/>
      <c r="W30" s="3"/>
      <c r="X30" s="3"/>
      <c r="Y30" s="2"/>
      <c r="Z30" s="2"/>
      <c r="AA30" s="3"/>
      <c r="AB30" s="3"/>
      <c r="AC30" s="2"/>
      <c r="AD30" s="2"/>
      <c r="AE30" s="3"/>
      <c r="AF30" s="3"/>
      <c r="AG30" s="2"/>
      <c r="AH30" s="2"/>
      <c r="AI30" s="3"/>
      <c r="AJ30" s="3"/>
      <c r="AK30" s="2"/>
      <c r="AL30" s="2"/>
      <c r="AM30" s="3"/>
      <c r="AN30" s="3"/>
      <c r="AO30" s="2"/>
      <c r="AP30" s="2"/>
      <c r="AQ30" s="3"/>
      <c r="AR30" s="3"/>
      <c r="AS30" s="2"/>
      <c r="AT30" s="2"/>
      <c r="AU30" s="2"/>
      <c r="AV30" s="3"/>
      <c r="AY30" s="60"/>
    </row>
    <row r="31" spans="1:58" ht="43.5" customHeight="1" thickTop="1" thickBot="1" x14ac:dyDescent="0.25"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Y31" s="60"/>
      <c r="AZ31" s="63"/>
      <c r="BA31" s="61"/>
      <c r="BB31" s="61"/>
      <c r="BC31" s="62"/>
    </row>
    <row r="32" spans="1:58" ht="13.5" thickTop="1" x14ac:dyDescent="0.2">
      <c r="AY32" s="60"/>
      <c r="AZ32" s="63"/>
      <c r="BA32" s="61"/>
      <c r="BB32" s="61"/>
      <c r="BC32" s="62"/>
    </row>
    <row r="33" spans="2:55" x14ac:dyDescent="0.2">
      <c r="AY33" s="60"/>
      <c r="AZ33" s="60"/>
      <c r="BA33" s="61"/>
      <c r="BB33" s="61"/>
      <c r="BC33" s="62"/>
    </row>
    <row r="34" spans="2:55" ht="45.75" customHeight="1" x14ac:dyDescent="0.2">
      <c r="B34" s="345" t="s">
        <v>84</v>
      </c>
      <c r="C34" s="345"/>
      <c r="D34" s="345"/>
      <c r="E34" s="345"/>
      <c r="F34" s="345"/>
      <c r="G34" s="345"/>
      <c r="H34" s="345"/>
      <c r="I34" s="346" t="str">
        <f>"СПО промывочной КНК-1 с промывкой до МГРП №"&amp;номер_послед_МГРП&amp;". СПО фрезеровочной КНК-2: фрезерование МГРП №"&amp;номер_послед_МГРП&amp;"-№2. Тех.отстой , замер Ризб. По доп.согласованию с Заказчиком, СПО промывочной КНК-1 до текущего забоя (МГРП №1)."</f>
        <v>СПО промывочной КНК-1 с промывкой до МГРП №5. СПО фрезеровочной КНК-2: фрезерование МГРП №5-№2. Тех.отстой , замер Ризб. По доп.согласованию с Заказчиком, СПО промывочной КНК-1 до текущего забоя (МГРП №1).</v>
      </c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Y34" s="60"/>
    </row>
    <row r="35" spans="2:55" hidden="1" outlineLevel="1" x14ac:dyDescent="0.2"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55" ht="74.25" hidden="1" customHeight="1" outlineLevel="1" x14ac:dyDescent="0.2">
      <c r="L36" s="209">
        <f>K28</f>
        <v>1216.05</v>
      </c>
      <c r="M36" s="23">
        <f t="shared" ref="M36:AS36" si="0">N36-м</f>
        <v>1223.2814285714303</v>
      </c>
      <c r="N36" s="23">
        <f t="shared" si="0"/>
        <v>1230.5128571428588</v>
      </c>
      <c r="O36" s="23">
        <f t="shared" si="0"/>
        <v>1237.7442857142873</v>
      </c>
      <c r="P36" s="23">
        <f t="shared" si="0"/>
        <v>1244.9757142857159</v>
      </c>
      <c r="Q36" s="23">
        <f t="shared" si="0"/>
        <v>1252.2071428571444</v>
      </c>
      <c r="R36" s="23">
        <f t="shared" si="0"/>
        <v>1259.4385714285729</v>
      </c>
      <c r="S36" s="23">
        <f t="shared" si="0"/>
        <v>1266.6700000000014</v>
      </c>
      <c r="T36" s="23">
        <f t="shared" si="0"/>
        <v>1273.90142857143</v>
      </c>
      <c r="U36" s="23">
        <f t="shared" si="0"/>
        <v>1281.1328571428585</v>
      </c>
      <c r="V36" s="23">
        <f t="shared" si="0"/>
        <v>1288.364285714287</v>
      </c>
      <c r="W36" s="23">
        <f t="shared" si="0"/>
        <v>1295.5957142857155</v>
      </c>
      <c r="X36" s="23">
        <f t="shared" si="0"/>
        <v>1302.8271428571441</v>
      </c>
      <c r="Y36" s="23">
        <f t="shared" si="0"/>
        <v>1310.0585714285726</v>
      </c>
      <c r="Z36" s="23">
        <f t="shared" si="0"/>
        <v>1317.2900000000011</v>
      </c>
      <c r="AA36" s="23">
        <f t="shared" si="0"/>
        <v>1324.5214285714296</v>
      </c>
      <c r="AB36" s="23">
        <f t="shared" si="0"/>
        <v>1331.7528571428581</v>
      </c>
      <c r="AC36" s="23">
        <f t="shared" si="0"/>
        <v>1338.9842857142867</v>
      </c>
      <c r="AD36" s="23">
        <f t="shared" si="0"/>
        <v>1346.2157142857152</v>
      </c>
      <c r="AE36" s="23">
        <f t="shared" si="0"/>
        <v>1353.4471428571437</v>
      </c>
      <c r="AF36" s="23">
        <f t="shared" si="0"/>
        <v>1360.6785714285722</v>
      </c>
      <c r="AG36" s="23">
        <f t="shared" si="0"/>
        <v>1367.9100000000008</v>
      </c>
      <c r="AH36" s="23">
        <f t="shared" si="0"/>
        <v>1375.1414285714293</v>
      </c>
      <c r="AI36" s="23">
        <f t="shared" si="0"/>
        <v>1382.3728571428578</v>
      </c>
      <c r="AJ36" s="23">
        <f t="shared" si="0"/>
        <v>1389.6042857142863</v>
      </c>
      <c r="AK36" s="23">
        <f t="shared" si="0"/>
        <v>1396.8357142857149</v>
      </c>
      <c r="AL36" s="23">
        <f t="shared" si="0"/>
        <v>1404.0671428571434</v>
      </c>
      <c r="AM36" s="23">
        <f t="shared" si="0"/>
        <v>1411.2985714285719</v>
      </c>
      <c r="AN36" s="23">
        <f t="shared" si="0"/>
        <v>1418.5300000000004</v>
      </c>
      <c r="AO36" s="23">
        <f t="shared" si="0"/>
        <v>1425.761428571429</v>
      </c>
      <c r="AP36" s="23">
        <f t="shared" si="0"/>
        <v>1432.9928571428575</v>
      </c>
      <c r="AQ36" s="23">
        <f t="shared" si="0"/>
        <v>1440.224285714286</v>
      </c>
      <c r="AR36" s="23">
        <f t="shared" si="0"/>
        <v>1447.4557142857145</v>
      </c>
      <c r="AS36" s="23">
        <f t="shared" si="0"/>
        <v>1454.687142857143</v>
      </c>
      <c r="AT36" s="23">
        <f>AU36-м</f>
        <v>1461.9185714285716</v>
      </c>
      <c r="AU36" s="209">
        <f>AS28+10</f>
        <v>1469.15</v>
      </c>
    </row>
    <row r="37" spans="2:55" hidden="1" outlineLevel="1" x14ac:dyDescent="0.2">
      <c r="J37" s="324">
        <f>AU36-L36</f>
        <v>253.10000000000014</v>
      </c>
      <c r="K37" s="32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55" hidden="1" outlineLevel="1" x14ac:dyDescent="0.2">
      <c r="J38" s="324">
        <f>COLUMN(AU36)-COLUMN(L36)</f>
        <v>35</v>
      </c>
      <c r="K38" s="32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55" hidden="1" outlineLevel="1" x14ac:dyDescent="0.2">
      <c r="K39" s="3">
        <f>J37/J38</f>
        <v>7.2314285714285758</v>
      </c>
      <c r="L39" s="3"/>
    </row>
    <row r="40" spans="2:55" collapsed="1" x14ac:dyDescent="0.2">
      <c r="K40" s="3"/>
      <c r="L40" s="3"/>
    </row>
    <row r="41" spans="2:55" x14ac:dyDescent="0.2">
      <c r="AV41" s="40"/>
      <c r="AW41" s="40"/>
      <c r="AX41" s="40"/>
      <c r="AY41" s="40"/>
      <c r="AZ41" s="40"/>
      <c r="BA41" s="40"/>
      <c r="BB41" s="40"/>
      <c r="BC41" s="40"/>
    </row>
    <row r="42" spans="2:55" x14ac:dyDescent="0.2">
      <c r="AV42" s="40"/>
      <c r="AW42" s="40"/>
      <c r="AX42" s="40"/>
      <c r="AY42" s="40"/>
      <c r="AZ42" s="40"/>
      <c r="BA42" s="40"/>
      <c r="BB42" s="40"/>
      <c r="BC42" s="40"/>
    </row>
    <row r="43" spans="2:55" ht="13.5" thickBot="1" x14ac:dyDescent="0.25"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64"/>
      <c r="AW43" s="64"/>
      <c r="AX43" s="40"/>
      <c r="AY43" s="40"/>
      <c r="AZ43" s="40"/>
      <c r="BA43" s="40"/>
      <c r="BB43" s="84" t="s">
        <v>101</v>
      </c>
      <c r="BC43" s="85" t="s">
        <v>128</v>
      </c>
    </row>
    <row r="44" spans="2:55" ht="12.75" customHeight="1" x14ac:dyDescent="0.2">
      <c r="AV44" s="40"/>
      <c r="AW44" s="40"/>
      <c r="AX44" s="40"/>
      <c r="AY44" s="40"/>
      <c r="AZ44" s="109"/>
      <c r="BA44" s="91" t="s">
        <v>402</v>
      </c>
      <c r="BB44" s="89">
        <v>43.03</v>
      </c>
      <c r="BC44" s="90">
        <v>45.02</v>
      </c>
    </row>
    <row r="45" spans="2:55" ht="12.75" customHeight="1" x14ac:dyDescent="0.2">
      <c r="AV45" s="40"/>
      <c r="AW45" s="40"/>
      <c r="AX45" s="40"/>
      <c r="AY45" s="40"/>
      <c r="AZ45" s="110"/>
      <c r="BA45" s="92" t="s">
        <v>403</v>
      </c>
      <c r="BB45" s="64">
        <v>45.06</v>
      </c>
      <c r="BC45" s="83">
        <v>47.07</v>
      </c>
    </row>
    <row r="46" spans="2:55" ht="12.75" customHeight="1" x14ac:dyDescent="0.2">
      <c r="AV46" s="40"/>
      <c r="AW46" s="40"/>
      <c r="AX46" s="40"/>
      <c r="AY46" s="40"/>
      <c r="AZ46" s="110"/>
      <c r="BA46" s="92" t="s">
        <v>404</v>
      </c>
      <c r="BB46" s="64">
        <v>47.2</v>
      </c>
      <c r="BC46" s="83">
        <v>49.71</v>
      </c>
    </row>
    <row r="47" spans="2:55" x14ac:dyDescent="0.2">
      <c r="AV47" s="40"/>
      <c r="AW47" s="40"/>
      <c r="AX47" s="40"/>
      <c r="AY47" s="40"/>
      <c r="AZ47" s="111"/>
      <c r="BA47" s="92" t="s">
        <v>405</v>
      </c>
      <c r="BB47" s="64">
        <v>49.8</v>
      </c>
      <c r="BC47" s="83">
        <v>52.43</v>
      </c>
    </row>
    <row r="48" spans="2:55" x14ac:dyDescent="0.2">
      <c r="AV48" s="40"/>
      <c r="AW48" s="40"/>
      <c r="AX48" s="40"/>
      <c r="AY48" s="40"/>
      <c r="AZ48" s="111"/>
      <c r="BA48" s="92" t="s">
        <v>406</v>
      </c>
      <c r="BB48" s="64">
        <v>52.75</v>
      </c>
      <c r="BC48" s="83">
        <v>55.25</v>
      </c>
    </row>
    <row r="49" spans="48:55" x14ac:dyDescent="0.2">
      <c r="AZ49" s="111"/>
      <c r="BA49" s="92" t="s">
        <v>407</v>
      </c>
      <c r="BB49" s="64">
        <v>55.55</v>
      </c>
      <c r="BC49" s="83">
        <v>58.17</v>
      </c>
    </row>
    <row r="50" spans="48:55" x14ac:dyDescent="0.2">
      <c r="AZ50" s="111"/>
      <c r="BA50" s="92" t="s">
        <v>408</v>
      </c>
      <c r="BB50" s="64">
        <v>58.5</v>
      </c>
      <c r="BC50" s="79">
        <v>61.19</v>
      </c>
    </row>
    <row r="51" spans="48:55" x14ac:dyDescent="0.2">
      <c r="AZ51" s="111"/>
      <c r="BA51" s="92" t="s">
        <v>409</v>
      </c>
      <c r="BB51" s="64">
        <v>61.5</v>
      </c>
      <c r="BC51" s="79">
        <v>64.319999999999993</v>
      </c>
    </row>
    <row r="52" spans="48:55" x14ac:dyDescent="0.2">
      <c r="AZ52" s="111"/>
      <c r="BA52" s="92" t="s">
        <v>410</v>
      </c>
      <c r="BB52" s="64">
        <v>64.650000000000006</v>
      </c>
      <c r="BC52" s="79">
        <v>67.569999999999993</v>
      </c>
    </row>
    <row r="53" spans="48:55" x14ac:dyDescent="0.2">
      <c r="AZ53" s="111"/>
      <c r="BA53" s="92" t="s">
        <v>411</v>
      </c>
      <c r="BB53" s="64">
        <v>67.900000000000006</v>
      </c>
      <c r="BC53" s="79">
        <v>70.92</v>
      </c>
    </row>
    <row r="54" spans="48:55" ht="15.75" customHeight="1" thickBot="1" x14ac:dyDescent="0.25">
      <c r="AZ54" s="112" t="s">
        <v>236</v>
      </c>
      <c r="BA54" s="92" t="s">
        <v>231</v>
      </c>
      <c r="BB54" s="78">
        <v>30</v>
      </c>
      <c r="BC54" s="244">
        <v>32</v>
      </c>
    </row>
    <row r="55" spans="48:55" ht="12.75" customHeight="1" x14ac:dyDescent="0.2">
      <c r="AV55" s="40"/>
      <c r="AW55" s="40"/>
      <c r="AX55" s="40"/>
      <c r="AY55" s="40"/>
      <c r="AZ55" s="109"/>
      <c r="BA55" s="91" t="s">
        <v>335</v>
      </c>
      <c r="BB55" s="89">
        <v>43.03</v>
      </c>
      <c r="BC55" s="90">
        <v>45.02</v>
      </c>
    </row>
    <row r="56" spans="48:55" ht="12.75" customHeight="1" x14ac:dyDescent="0.2">
      <c r="AV56" s="40"/>
      <c r="AW56" s="40"/>
      <c r="AX56" s="40"/>
      <c r="AY56" s="40"/>
      <c r="AZ56" s="110"/>
      <c r="BA56" s="92" t="s">
        <v>336</v>
      </c>
      <c r="BB56" s="64">
        <v>45.06</v>
      </c>
      <c r="BC56" s="83">
        <v>47.07</v>
      </c>
    </row>
    <row r="57" spans="48:55" ht="12.75" customHeight="1" x14ac:dyDescent="0.2">
      <c r="AV57" s="40"/>
      <c r="AW57" s="40"/>
      <c r="AX57" s="40"/>
      <c r="AY57" s="40"/>
      <c r="AZ57" s="110"/>
      <c r="BA57" s="92" t="s">
        <v>337</v>
      </c>
      <c r="BB57" s="64">
        <v>47.2</v>
      </c>
      <c r="BC57" s="83">
        <v>49.71</v>
      </c>
    </row>
    <row r="58" spans="48:55" x14ac:dyDescent="0.2">
      <c r="AV58" s="40"/>
      <c r="AW58" s="40"/>
      <c r="AX58" s="40"/>
      <c r="AY58" s="40"/>
      <c r="AZ58" s="111"/>
      <c r="BA58" s="92" t="s">
        <v>338</v>
      </c>
      <c r="BB58" s="64">
        <v>50.22</v>
      </c>
      <c r="BC58" s="83">
        <v>52.43</v>
      </c>
    </row>
    <row r="59" spans="48:55" x14ac:dyDescent="0.2">
      <c r="AV59" s="40"/>
      <c r="AW59" s="40"/>
      <c r="AX59" s="40"/>
      <c r="AY59" s="40"/>
      <c r="AZ59" s="111"/>
      <c r="BA59" s="92" t="s">
        <v>339</v>
      </c>
      <c r="BB59" s="64">
        <v>52.75</v>
      </c>
      <c r="BC59" s="83">
        <v>55.25</v>
      </c>
    </row>
    <row r="60" spans="48:55" x14ac:dyDescent="0.2">
      <c r="AZ60" s="111"/>
      <c r="BA60" s="92" t="s">
        <v>340</v>
      </c>
      <c r="BB60" s="64">
        <v>55.76</v>
      </c>
      <c r="BC60" s="83">
        <v>58.17</v>
      </c>
    </row>
    <row r="61" spans="48:55" x14ac:dyDescent="0.2">
      <c r="AZ61" s="111"/>
      <c r="BA61" s="92" t="s">
        <v>341</v>
      </c>
      <c r="BB61" s="64">
        <v>58.5</v>
      </c>
      <c r="BC61" s="79">
        <v>61.19</v>
      </c>
    </row>
    <row r="62" spans="48:55" x14ac:dyDescent="0.2">
      <c r="AZ62" s="111"/>
      <c r="BA62" s="92" t="s">
        <v>342</v>
      </c>
      <c r="BB62" s="64">
        <v>61.5</v>
      </c>
      <c r="BC62" s="79">
        <v>64.319999999999993</v>
      </c>
    </row>
    <row r="63" spans="48:55" x14ac:dyDescent="0.2">
      <c r="AZ63" s="111"/>
      <c r="BA63" s="92" t="s">
        <v>343</v>
      </c>
      <c r="BB63" s="64">
        <v>64.650000000000006</v>
      </c>
      <c r="BC63" s="79">
        <v>67.569999999999993</v>
      </c>
    </row>
    <row r="64" spans="48:55" x14ac:dyDescent="0.2">
      <c r="AZ64" s="111"/>
      <c r="BA64" s="92" t="s">
        <v>344</v>
      </c>
      <c r="BB64" s="64">
        <v>67.900000000000006</v>
      </c>
      <c r="BC64" s="79">
        <v>70.92</v>
      </c>
    </row>
    <row r="65" spans="48:55" ht="15.75" customHeight="1" thickBot="1" x14ac:dyDescent="0.25">
      <c r="AZ65" s="112" t="s">
        <v>236</v>
      </c>
      <c r="BA65" s="92" t="s">
        <v>231</v>
      </c>
      <c r="BB65" s="78">
        <v>30</v>
      </c>
      <c r="BC65" s="244">
        <v>32</v>
      </c>
    </row>
    <row r="66" spans="48:55" ht="15.75" customHeight="1" x14ac:dyDescent="0.2">
      <c r="AZ66" s="249" t="s">
        <v>236</v>
      </c>
      <c r="BA66" s="254" t="s">
        <v>374</v>
      </c>
      <c r="BB66" s="250">
        <v>19</v>
      </c>
      <c r="BC66" s="251">
        <v>25</v>
      </c>
    </row>
    <row r="67" spans="48:55" ht="12.75" customHeight="1" x14ac:dyDescent="0.2">
      <c r="AV67" s="40"/>
      <c r="AW67" s="40"/>
      <c r="AX67" s="40"/>
      <c r="AY67" s="40"/>
      <c r="AZ67" s="110"/>
      <c r="BA67" s="92" t="s">
        <v>364</v>
      </c>
      <c r="BB67" s="64">
        <v>43.03</v>
      </c>
      <c r="BC67" s="83">
        <v>45.02</v>
      </c>
    </row>
    <row r="68" spans="48:55" ht="12.75" customHeight="1" x14ac:dyDescent="0.2">
      <c r="AV68" s="40"/>
      <c r="AW68" s="40"/>
      <c r="AX68" s="40"/>
      <c r="AY68" s="40"/>
      <c r="AZ68" s="110"/>
      <c r="BA68" s="92" t="s">
        <v>365</v>
      </c>
      <c r="BB68" s="64">
        <v>45.06</v>
      </c>
      <c r="BC68" s="83">
        <v>47.07</v>
      </c>
    </row>
    <row r="69" spans="48:55" ht="12.75" customHeight="1" x14ac:dyDescent="0.2">
      <c r="AV69" s="40"/>
      <c r="AW69" s="40"/>
      <c r="AX69" s="40"/>
      <c r="AY69" s="40"/>
      <c r="AZ69" s="110"/>
      <c r="BA69" s="92" t="s">
        <v>366</v>
      </c>
      <c r="BB69" s="64">
        <v>47.2</v>
      </c>
      <c r="BC69" s="83">
        <v>49.71</v>
      </c>
    </row>
    <row r="70" spans="48:55" x14ac:dyDescent="0.2">
      <c r="AV70" s="40"/>
      <c r="AW70" s="40"/>
      <c r="AX70" s="40"/>
      <c r="AY70" s="40"/>
      <c r="AZ70" s="111"/>
      <c r="BA70" s="92" t="s">
        <v>367</v>
      </c>
      <c r="BB70" s="64">
        <v>50.22</v>
      </c>
      <c r="BC70" s="83">
        <v>52.43</v>
      </c>
    </row>
    <row r="71" spans="48:55" x14ac:dyDescent="0.2">
      <c r="AV71" s="40"/>
      <c r="AW71" s="40"/>
      <c r="AX71" s="40"/>
      <c r="AY71" s="40"/>
      <c r="AZ71" s="111"/>
      <c r="BA71" s="92" t="s">
        <v>368</v>
      </c>
      <c r="BB71" s="64">
        <v>52.75</v>
      </c>
      <c r="BC71" s="83">
        <v>55.25</v>
      </c>
    </row>
    <row r="72" spans="48:55" x14ac:dyDescent="0.2">
      <c r="AZ72" s="111"/>
      <c r="BA72" s="245" t="s">
        <v>369</v>
      </c>
      <c r="BB72" s="246">
        <v>55.76</v>
      </c>
      <c r="BC72" s="247">
        <v>58.17</v>
      </c>
    </row>
    <row r="73" spans="48:55" x14ac:dyDescent="0.2">
      <c r="AZ73" s="111"/>
      <c r="BA73" s="92" t="s">
        <v>370</v>
      </c>
      <c r="BB73" s="64">
        <v>58.5</v>
      </c>
      <c r="BC73" s="79">
        <v>61.19</v>
      </c>
    </row>
    <row r="74" spans="48:55" x14ac:dyDescent="0.2">
      <c r="AZ74" s="111"/>
      <c r="BA74" s="245" t="s">
        <v>371</v>
      </c>
      <c r="BB74" s="246">
        <v>61.7</v>
      </c>
      <c r="BC74" s="248">
        <v>64.319999999999993</v>
      </c>
    </row>
    <row r="75" spans="48:55" x14ac:dyDescent="0.2">
      <c r="AZ75" s="111"/>
      <c r="BA75" s="245" t="s">
        <v>372</v>
      </c>
      <c r="BB75" s="246">
        <v>64.819999999999993</v>
      </c>
      <c r="BC75" s="248">
        <v>67.569999999999993</v>
      </c>
    </row>
    <row r="76" spans="48:55" ht="13.5" thickBot="1" x14ac:dyDescent="0.25">
      <c r="AZ76" s="252"/>
      <c r="BA76" s="93" t="s">
        <v>373</v>
      </c>
      <c r="BB76" s="253">
        <v>67.900000000000006</v>
      </c>
      <c r="BC76" s="82">
        <v>70.92</v>
      </c>
    </row>
    <row r="77" spans="48:55" ht="12.75" customHeight="1" x14ac:dyDescent="0.2">
      <c r="AZ77" s="219" t="s">
        <v>230</v>
      </c>
      <c r="BA77" s="238" t="s">
        <v>218</v>
      </c>
      <c r="BB77" s="78">
        <v>48.1</v>
      </c>
      <c r="BC77" s="79">
        <v>49.6</v>
      </c>
    </row>
    <row r="78" spans="48:55" x14ac:dyDescent="0.2">
      <c r="AZ78" s="86"/>
      <c r="BA78" s="238" t="s">
        <v>219</v>
      </c>
      <c r="BB78" s="78">
        <v>49.8</v>
      </c>
      <c r="BC78" s="79">
        <v>51.4</v>
      </c>
    </row>
    <row r="79" spans="48:55" x14ac:dyDescent="0.2">
      <c r="AZ79" s="86"/>
      <c r="BA79" s="239" t="s">
        <v>220</v>
      </c>
      <c r="BB79" s="78">
        <v>51.6</v>
      </c>
      <c r="BC79" s="79">
        <v>53.1</v>
      </c>
    </row>
    <row r="80" spans="48:55" x14ac:dyDescent="0.2">
      <c r="AZ80" s="86"/>
      <c r="BA80" s="238" t="s">
        <v>221</v>
      </c>
      <c r="BB80" s="80">
        <v>53.4</v>
      </c>
      <c r="BC80" s="79">
        <v>54.9</v>
      </c>
    </row>
    <row r="81" spans="52:55" x14ac:dyDescent="0.2">
      <c r="AZ81" s="86"/>
      <c r="BA81" s="238" t="s">
        <v>222</v>
      </c>
      <c r="BB81" s="80">
        <v>55.2</v>
      </c>
      <c r="BC81" s="79">
        <v>56.9</v>
      </c>
    </row>
    <row r="82" spans="52:55" x14ac:dyDescent="0.2">
      <c r="AZ82" s="86"/>
      <c r="BA82" s="238" t="s">
        <v>223</v>
      </c>
      <c r="BB82" s="80">
        <v>57.2</v>
      </c>
      <c r="BC82" s="79">
        <v>59</v>
      </c>
    </row>
    <row r="83" spans="52:55" x14ac:dyDescent="0.2">
      <c r="AZ83" s="86"/>
      <c r="BA83" s="238" t="s">
        <v>224</v>
      </c>
      <c r="BB83" s="80">
        <v>59.2</v>
      </c>
      <c r="BC83" s="79">
        <v>61</v>
      </c>
    </row>
    <row r="84" spans="52:55" x14ac:dyDescent="0.2">
      <c r="AZ84" s="86"/>
      <c r="BA84" s="238" t="s">
        <v>225</v>
      </c>
      <c r="BB84" s="80">
        <v>61.3</v>
      </c>
      <c r="BC84" s="79">
        <v>63.2</v>
      </c>
    </row>
    <row r="85" spans="52:55" x14ac:dyDescent="0.2">
      <c r="AZ85" s="86"/>
      <c r="BA85" s="238" t="s">
        <v>226</v>
      </c>
      <c r="BB85" s="80">
        <v>63.4</v>
      </c>
      <c r="BC85" s="79">
        <v>65.5</v>
      </c>
    </row>
    <row r="86" spans="52:55" x14ac:dyDescent="0.2">
      <c r="AZ86" s="86"/>
      <c r="BA86" s="238" t="s">
        <v>227</v>
      </c>
      <c r="BB86" s="80">
        <v>65.7</v>
      </c>
      <c r="BC86" s="79">
        <v>67.7</v>
      </c>
    </row>
    <row r="87" spans="52:55" x14ac:dyDescent="0.2">
      <c r="AZ87" s="86"/>
      <c r="BA87" s="238" t="s">
        <v>228</v>
      </c>
      <c r="BB87" s="80">
        <v>68</v>
      </c>
      <c r="BC87" s="79">
        <v>70</v>
      </c>
    </row>
    <row r="88" spans="52:55" ht="13.5" thickBot="1" x14ac:dyDescent="0.25">
      <c r="AZ88" s="87"/>
      <c r="BA88" s="240" t="s">
        <v>229</v>
      </c>
      <c r="BB88" s="81">
        <v>70.3</v>
      </c>
      <c r="BC88" s="82">
        <v>72.3</v>
      </c>
    </row>
    <row r="89" spans="52:55" x14ac:dyDescent="0.2">
      <c r="AZ89" s="88" t="s">
        <v>267</v>
      </c>
      <c r="BA89" s="239" t="s">
        <v>284</v>
      </c>
      <c r="BB89" s="78">
        <v>99</v>
      </c>
      <c r="BC89" s="210" t="s">
        <v>268</v>
      </c>
    </row>
    <row r="90" spans="52:55" x14ac:dyDescent="0.2">
      <c r="AZ90" s="86"/>
      <c r="BA90" s="239" t="s">
        <v>269</v>
      </c>
      <c r="BB90" s="211">
        <v>48.86</v>
      </c>
      <c r="BC90" s="241">
        <v>51.36</v>
      </c>
    </row>
    <row r="91" spans="52:55" x14ac:dyDescent="0.2">
      <c r="AZ91" s="86"/>
      <c r="BA91" s="239" t="s">
        <v>270</v>
      </c>
      <c r="BB91" s="212">
        <v>51.5</v>
      </c>
      <c r="BC91" s="242">
        <v>54</v>
      </c>
    </row>
    <row r="92" spans="52:55" x14ac:dyDescent="0.2">
      <c r="AZ92" s="86"/>
      <c r="BA92" s="239" t="s">
        <v>271</v>
      </c>
      <c r="BB92" s="213">
        <v>54.15</v>
      </c>
      <c r="BC92" s="243">
        <v>56.65</v>
      </c>
    </row>
    <row r="93" spans="52:55" x14ac:dyDescent="0.2">
      <c r="AZ93" s="86"/>
      <c r="BA93" s="239" t="s">
        <v>272</v>
      </c>
      <c r="BB93" s="213">
        <v>56.8</v>
      </c>
      <c r="BC93" s="243">
        <v>59.8</v>
      </c>
    </row>
    <row r="94" spans="52:55" x14ac:dyDescent="0.2">
      <c r="AZ94" s="86"/>
      <c r="BA94" s="239" t="s">
        <v>287</v>
      </c>
      <c r="BB94" s="213">
        <f>BC94-3</f>
        <v>59.95</v>
      </c>
      <c r="BC94" s="243">
        <v>62.95</v>
      </c>
    </row>
    <row r="95" spans="52:55" x14ac:dyDescent="0.2">
      <c r="AZ95" s="86"/>
      <c r="BA95" s="239" t="s">
        <v>285</v>
      </c>
      <c r="BB95" s="213">
        <v>63.1</v>
      </c>
      <c r="BC95" s="243">
        <v>66.099999999999994</v>
      </c>
    </row>
    <row r="96" spans="52:55" x14ac:dyDescent="0.2">
      <c r="AZ96" s="86"/>
      <c r="BA96" s="238"/>
      <c r="BB96" s="80"/>
      <c r="BC96" s="79"/>
    </row>
    <row r="123" ht="134.25" customHeight="1" x14ac:dyDescent="0.2"/>
    <row r="130" spans="1:1" x14ac:dyDescent="0.2">
      <c r="A130" t="s">
        <v>129</v>
      </c>
    </row>
  </sheetData>
  <mergeCells count="181">
    <mergeCell ref="AQ13:AS13"/>
    <mergeCell ref="AN12:AP12"/>
    <mergeCell ref="AQ14:AS14"/>
    <mergeCell ref="AN19:AP19"/>
    <mergeCell ref="AT14:AV14"/>
    <mergeCell ref="AQ15:AS15"/>
    <mergeCell ref="S20:T20"/>
    <mergeCell ref="S21:T21"/>
    <mergeCell ref="AF17:AM17"/>
    <mergeCell ref="AF16:AM16"/>
    <mergeCell ref="AN17:AP17"/>
    <mergeCell ref="AF18:AM18"/>
    <mergeCell ref="AN18:AP18"/>
    <mergeCell ref="AT19:AV19"/>
    <mergeCell ref="AF19:AM19"/>
    <mergeCell ref="AN15:AP15"/>
    <mergeCell ref="AT15:AV15"/>
    <mergeCell ref="AN14:AP14"/>
    <mergeCell ref="AF15:AM15"/>
    <mergeCell ref="AT23:AV23"/>
    <mergeCell ref="AF23:AS23"/>
    <mergeCell ref="AQ18:AS18"/>
    <mergeCell ref="AT18:AV18"/>
    <mergeCell ref="O19:P19"/>
    <mergeCell ref="W18:Z18"/>
    <mergeCell ref="AT16:AV16"/>
    <mergeCell ref="AN16:AP16"/>
    <mergeCell ref="AQ16:AS16"/>
    <mergeCell ref="AA16:AB16"/>
    <mergeCell ref="AC16:AD16"/>
    <mergeCell ref="AC21:AD21"/>
    <mergeCell ref="AC18:AD18"/>
    <mergeCell ref="AQ17:AS17"/>
    <mergeCell ref="AT17:AV17"/>
    <mergeCell ref="AQ19:AS19"/>
    <mergeCell ref="S18:T18"/>
    <mergeCell ref="G18:L18"/>
    <mergeCell ref="M18:N18"/>
    <mergeCell ref="Q18:R18"/>
    <mergeCell ref="U18:V18"/>
    <mergeCell ref="AA18:AB18"/>
    <mergeCell ref="O18:P18"/>
    <mergeCell ref="G17:L17"/>
    <mergeCell ref="M17:N17"/>
    <mergeCell ref="Q17:R17"/>
    <mergeCell ref="S17:V17"/>
    <mergeCell ref="W17:Z17"/>
    <mergeCell ref="O17:P17"/>
    <mergeCell ref="AA17:AB17"/>
    <mergeCell ref="AC17:AD17"/>
    <mergeCell ref="G15:L15"/>
    <mergeCell ref="G14:J14"/>
    <mergeCell ref="M15:N15"/>
    <mergeCell ref="Q15:R15"/>
    <mergeCell ref="S15:V15"/>
    <mergeCell ref="W15:Z15"/>
    <mergeCell ref="G16:L16"/>
    <mergeCell ref="S16:V16"/>
    <mergeCell ref="O16:P16"/>
    <mergeCell ref="W13:Z14"/>
    <mergeCell ref="M13:N14"/>
    <mergeCell ref="Q13:R14"/>
    <mergeCell ref="O15:P15"/>
    <mergeCell ref="S13:V13"/>
    <mergeCell ref="O13:P14"/>
    <mergeCell ref="AA15:AB15"/>
    <mergeCell ref="W16:Z16"/>
    <mergeCell ref="M16:N16"/>
    <mergeCell ref="Q16:R16"/>
    <mergeCell ref="AC15:AD15"/>
    <mergeCell ref="AA13:AD13"/>
    <mergeCell ref="AA14:AB14"/>
    <mergeCell ref="AC14:AD14"/>
    <mergeCell ref="AF13:AM13"/>
    <mergeCell ref="AN9:AP9"/>
    <mergeCell ref="AN11:AP11"/>
    <mergeCell ref="A1:AW2"/>
    <mergeCell ref="J5:AD5"/>
    <mergeCell ref="AG5:AV5"/>
    <mergeCell ref="AF6:AM6"/>
    <mergeCell ref="AN6:AV6"/>
    <mergeCell ref="AF7:AM7"/>
    <mergeCell ref="M6:AD6"/>
    <mergeCell ref="N3:U3"/>
    <mergeCell ref="V3:Z3"/>
    <mergeCell ref="AK3:AV3"/>
    <mergeCell ref="AD3:AJ3"/>
    <mergeCell ref="AN7:AP7"/>
    <mergeCell ref="M11:AD11"/>
    <mergeCell ref="AF11:AM11"/>
    <mergeCell ref="AF10:AM10"/>
    <mergeCell ref="AQ9:AV9"/>
    <mergeCell ref="AQ11:AV11"/>
    <mergeCell ref="AF9:AM9"/>
    <mergeCell ref="AN10:AP10"/>
    <mergeCell ref="AN13:AP13"/>
    <mergeCell ref="AT13:AV13"/>
    <mergeCell ref="AS25:AU25"/>
    <mergeCell ref="AS26:AU26"/>
    <mergeCell ref="AH25:AJ25"/>
    <mergeCell ref="AN8:AP8"/>
    <mergeCell ref="G6:L11"/>
    <mergeCell ref="AF8:AM8"/>
    <mergeCell ref="M10:AD10"/>
    <mergeCell ref="M12:AD12"/>
    <mergeCell ref="S14:T14"/>
    <mergeCell ref="U14:V14"/>
    <mergeCell ref="AQ7:AV7"/>
    <mergeCell ref="AQ8:AV8"/>
    <mergeCell ref="G12:L12"/>
    <mergeCell ref="K13:L13"/>
    <mergeCell ref="K14:L14"/>
    <mergeCell ref="G13:J13"/>
    <mergeCell ref="M7:AD7"/>
    <mergeCell ref="M8:AD8"/>
    <mergeCell ref="M9:AD9"/>
    <mergeCell ref="AF14:AM14"/>
    <mergeCell ref="AF12:AM12"/>
    <mergeCell ref="AQ10:AV10"/>
    <mergeCell ref="AT12:AV12"/>
    <mergeCell ref="AQ12:AS12"/>
    <mergeCell ref="G23:L23"/>
    <mergeCell ref="S19:T19"/>
    <mergeCell ref="AA23:AB23"/>
    <mergeCell ref="AC23:AD23"/>
    <mergeCell ref="M19:N19"/>
    <mergeCell ref="Q19:R19"/>
    <mergeCell ref="S22:T22"/>
    <mergeCell ref="U22:V22"/>
    <mergeCell ref="M23:N23"/>
    <mergeCell ref="U21:V21"/>
    <mergeCell ref="AA21:AB21"/>
    <mergeCell ref="Q21:R21"/>
    <mergeCell ref="M20:N20"/>
    <mergeCell ref="Q20:R20"/>
    <mergeCell ref="G22:L22"/>
    <mergeCell ref="M22:N22"/>
    <mergeCell ref="Q22:R22"/>
    <mergeCell ref="J37:K37"/>
    <mergeCell ref="J38:K38"/>
    <mergeCell ref="R25:T25"/>
    <mergeCell ref="K26:M26"/>
    <mergeCell ref="R26:T26"/>
    <mergeCell ref="G19:L19"/>
    <mergeCell ref="Q23:R23"/>
    <mergeCell ref="S23:Z23"/>
    <mergeCell ref="G21:L21"/>
    <mergeCell ref="W22:Z22"/>
    <mergeCell ref="G20:L20"/>
    <mergeCell ref="O20:P20"/>
    <mergeCell ref="O21:P21"/>
    <mergeCell ref="O22:P22"/>
    <mergeCell ref="O23:P23"/>
    <mergeCell ref="M21:N21"/>
    <mergeCell ref="U20:V20"/>
    <mergeCell ref="W20:Z20"/>
    <mergeCell ref="Z25:AB25"/>
    <mergeCell ref="Z26:AB26"/>
    <mergeCell ref="B34:H34"/>
    <mergeCell ref="I34:AV34"/>
    <mergeCell ref="K25:M25"/>
    <mergeCell ref="G24:AV24"/>
    <mergeCell ref="AH26:AJ26"/>
    <mergeCell ref="U19:V19"/>
    <mergeCell ref="W19:Z19"/>
    <mergeCell ref="AC20:AD20"/>
    <mergeCell ref="AF21:AM21"/>
    <mergeCell ref="AA19:AB19"/>
    <mergeCell ref="AC19:AD19"/>
    <mergeCell ref="AA20:AB20"/>
    <mergeCell ref="AC22:AD22"/>
    <mergeCell ref="W21:Z21"/>
    <mergeCell ref="AT22:AV22"/>
    <mergeCell ref="AF22:AS22"/>
    <mergeCell ref="AN21:AP21"/>
    <mergeCell ref="AQ21:AV21"/>
    <mergeCell ref="AT20:AV20"/>
    <mergeCell ref="AN20:AP20"/>
    <mergeCell ref="AQ20:AS20"/>
    <mergeCell ref="AA22:AB22"/>
    <mergeCell ref="AF20:AM20"/>
  </mergeCells>
  <conditionalFormatting sqref="AQ21:AV21">
    <cfRule type="containsText" dxfId="0" priority="1" operator="containsText" text="более">
      <formula>NOT(ISERROR(SEARCH("более",AQ21)))</formula>
    </cfRule>
  </conditionalFormatting>
  <dataValidations count="2">
    <dataValidation type="list" allowBlank="1" showInputMessage="1" showErrorMessage="1" sqref="G18:L18">
      <formula1>$AZ$54:$AZ$89</formula1>
    </dataValidation>
    <dataValidation type="list" allowBlank="1" showInputMessage="1" showErrorMessage="1" sqref="AH26:AM26 K26:M26 R26:T26 AS26:AU26 Z26:AB26">
      <formula1>$BA$44:$BA$96</formula1>
    </dataValidation>
  </dataValidations>
  <printOptions horizontalCentered="1" verticalCentered="1"/>
  <pageMargins left="0" right="0" top="0.35433070866141736" bottom="0.31496062992125984" header="0.31496062992125984" footer="0.11811023622047245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B128"/>
  <sheetViews>
    <sheetView view="pageBreakPreview" topLeftCell="A154" zoomScale="115" zoomScaleNormal="100" zoomScaleSheetLayoutView="115" workbookViewId="0">
      <selection activeCell="B122" sqref="B122"/>
    </sheetView>
  </sheetViews>
  <sheetFormatPr defaultRowHeight="12.75" outlineLevelCol="1" x14ac:dyDescent="0.2"/>
  <cols>
    <col min="1" max="1" width="5.85546875" style="180" customWidth="1"/>
    <col min="2" max="2" width="88.5703125" style="181" customWidth="1"/>
    <col min="3" max="3" width="16.5703125" style="114" customWidth="1"/>
    <col min="4" max="4" width="9.140625" style="114"/>
    <col min="5" max="8" width="9.140625" style="114" customWidth="1" outlineLevel="1"/>
    <col min="9" max="9" width="37.7109375" style="185" customWidth="1" outlineLevel="1" collapsed="1"/>
    <col min="10" max="10" width="31.140625" style="185" customWidth="1" outlineLevel="1"/>
    <col min="11" max="12" width="31.140625" style="117" customWidth="1" outlineLevel="1"/>
    <col min="13" max="14" width="31.140625" style="114" customWidth="1" outlineLevel="1"/>
    <col min="15" max="28" width="9.140625" style="114" customWidth="1" outlineLevel="1"/>
    <col min="29" max="16384" width="9.140625" style="114"/>
  </cols>
  <sheetData>
    <row r="1" spans="1:10" ht="25.5" x14ac:dyDescent="0.2">
      <c r="A1" s="474" t="s">
        <v>27</v>
      </c>
      <c r="B1" s="475"/>
      <c r="C1" s="476"/>
      <c r="E1" s="115">
        <f>IF(B1&gt;0,LENB(B1),LENB(A1))</f>
        <v>70</v>
      </c>
      <c r="F1" s="115">
        <f t="shared" ref="F1:F66" si="0">CEILING(E1/100,1)</f>
        <v>1</v>
      </c>
      <c r="G1" s="116" t="str">
        <f t="shared" ref="G1:G72" si="1">" 1"&amp;" 
"&amp;"2"</f>
        <v xml:space="preserve"> 1 
2</v>
      </c>
      <c r="H1" s="116" t="str">
        <f t="shared" ref="H1:H66" si="2">IF(F1&gt;1,REPT(G1,F1),"-")</f>
        <v>-</v>
      </c>
    </row>
    <row r="2" spans="1:10" ht="127.5" customHeight="1" x14ac:dyDescent="0.2">
      <c r="A2" s="498" t="s">
        <v>289</v>
      </c>
      <c r="B2" s="499"/>
      <c r="C2" s="500"/>
      <c r="E2" s="115">
        <f t="shared" ref="E2:E67" si="3">IF(B2&gt;0,LENB(B2),LENB(A2))</f>
        <v>955</v>
      </c>
      <c r="F2" s="115">
        <f t="shared" si="0"/>
        <v>10</v>
      </c>
      <c r="G2" s="116" t="str">
        <f t="shared" si="1"/>
        <v xml:space="preserve"> 1 
2</v>
      </c>
      <c r="H2" s="116" t="str">
        <f t="shared" si="2"/>
        <v xml:space="preserve"> 1 
2 1 
2 1 
2 1 
2 1 
2 1 
2 1 
2 1 
2 1 
2 1 
2</v>
      </c>
      <c r="J2" s="186"/>
    </row>
    <row r="3" spans="1:10" ht="25.5" customHeight="1" x14ac:dyDescent="0.2">
      <c r="A3" s="490" t="s">
        <v>28</v>
      </c>
      <c r="B3" s="475"/>
      <c r="C3" s="476"/>
      <c r="E3" s="115">
        <f t="shared" si="3"/>
        <v>77</v>
      </c>
      <c r="F3" s="115">
        <f t="shared" si="0"/>
        <v>1</v>
      </c>
      <c r="G3" s="116" t="str">
        <f t="shared" si="1"/>
        <v xml:space="preserve"> 1 
2</v>
      </c>
      <c r="H3" s="116" t="str">
        <f t="shared" si="2"/>
        <v>-</v>
      </c>
    </row>
    <row r="4" spans="1:10" ht="25.5" x14ac:dyDescent="0.2">
      <c r="A4" s="118" t="s">
        <v>29</v>
      </c>
      <c r="B4" s="119" t="s">
        <v>30</v>
      </c>
      <c r="C4" s="120" t="s">
        <v>31</v>
      </c>
      <c r="D4" s="121"/>
      <c r="E4" s="115">
        <f t="shared" si="3"/>
        <v>11</v>
      </c>
      <c r="F4" s="115">
        <f t="shared" si="0"/>
        <v>1</v>
      </c>
      <c r="G4" s="116" t="str">
        <f t="shared" si="1"/>
        <v xml:space="preserve"> 1 
2</v>
      </c>
      <c r="H4" s="116" t="str">
        <f t="shared" si="2"/>
        <v>-</v>
      </c>
    </row>
    <row r="5" spans="1:10" ht="25.5" x14ac:dyDescent="0.2">
      <c r="A5" s="122">
        <v>1</v>
      </c>
      <c r="B5" s="123" t="s">
        <v>32</v>
      </c>
      <c r="C5" s="124" t="s">
        <v>33</v>
      </c>
      <c r="D5" s="121"/>
      <c r="E5" s="115">
        <f t="shared" si="3"/>
        <v>92</v>
      </c>
      <c r="F5" s="115">
        <f t="shared" si="0"/>
        <v>1</v>
      </c>
      <c r="G5" s="116" t="str">
        <f t="shared" si="1"/>
        <v xml:space="preserve"> 1 
2</v>
      </c>
      <c r="H5" s="116" t="str">
        <f t="shared" si="2"/>
        <v>-</v>
      </c>
    </row>
    <row r="6" spans="1:10" ht="38.25" x14ac:dyDescent="0.2">
      <c r="A6" s="122">
        <v>2</v>
      </c>
      <c r="B6" s="125" t="s">
        <v>34</v>
      </c>
      <c r="C6" s="124" t="s">
        <v>33</v>
      </c>
      <c r="D6" s="121"/>
      <c r="E6" s="115">
        <f t="shared" si="3"/>
        <v>138</v>
      </c>
      <c r="F6" s="115">
        <f t="shared" si="0"/>
        <v>2</v>
      </c>
      <c r="G6" s="116" t="str">
        <f t="shared" si="1"/>
        <v xml:space="preserve"> 1 
2</v>
      </c>
      <c r="H6" s="116" t="str">
        <f t="shared" si="2"/>
        <v xml:space="preserve"> 1 
2 1 
2</v>
      </c>
    </row>
    <row r="7" spans="1:10" ht="38.25" x14ac:dyDescent="0.2">
      <c r="A7" s="122">
        <v>3</v>
      </c>
      <c r="B7" s="125" t="s">
        <v>35</v>
      </c>
      <c r="C7" s="124" t="s">
        <v>33</v>
      </c>
      <c r="D7" s="121"/>
      <c r="E7" s="115">
        <f t="shared" si="3"/>
        <v>103</v>
      </c>
      <c r="F7" s="115">
        <f t="shared" si="0"/>
        <v>2</v>
      </c>
      <c r="G7" s="116" t="str">
        <f t="shared" si="1"/>
        <v xml:space="preserve"> 1 
2</v>
      </c>
      <c r="H7" s="116" t="str">
        <f t="shared" si="2"/>
        <v xml:space="preserve"> 1 
2 1 
2</v>
      </c>
    </row>
    <row r="8" spans="1:10" ht="51" x14ac:dyDescent="0.2">
      <c r="A8" s="126">
        <v>4</v>
      </c>
      <c r="B8" s="127" t="s">
        <v>36</v>
      </c>
      <c r="C8" s="128" t="s">
        <v>37</v>
      </c>
      <c r="D8" s="121"/>
      <c r="E8" s="129">
        <f t="shared" si="3"/>
        <v>285</v>
      </c>
      <c r="F8" s="115">
        <f t="shared" si="0"/>
        <v>3</v>
      </c>
      <c r="G8" s="116" t="str">
        <f t="shared" si="1"/>
        <v xml:space="preserve"> 1 
2</v>
      </c>
      <c r="H8" s="116" t="str">
        <f t="shared" si="2"/>
        <v xml:space="preserve"> 1 
2 1 
2 1 
2</v>
      </c>
    </row>
    <row r="9" spans="1:10" ht="38.25" x14ac:dyDescent="0.2">
      <c r="A9" s="122">
        <v>5</v>
      </c>
      <c r="B9" s="125" t="s">
        <v>38</v>
      </c>
      <c r="C9" s="124" t="s">
        <v>33</v>
      </c>
      <c r="D9" s="121"/>
      <c r="E9" s="115">
        <f t="shared" si="3"/>
        <v>121</v>
      </c>
      <c r="F9" s="115">
        <f t="shared" si="0"/>
        <v>2</v>
      </c>
      <c r="G9" s="116" t="str">
        <f t="shared" si="1"/>
        <v xml:space="preserve"> 1 
2</v>
      </c>
      <c r="H9" s="116" t="str">
        <f t="shared" si="2"/>
        <v xml:space="preserve"> 1 
2 1 
2</v>
      </c>
    </row>
    <row r="10" spans="1:10" ht="38.25" x14ac:dyDescent="0.2">
      <c r="A10" s="122">
        <v>6</v>
      </c>
      <c r="B10" s="125" t="s">
        <v>39</v>
      </c>
      <c r="C10" s="124" t="s">
        <v>33</v>
      </c>
      <c r="E10" s="115">
        <f t="shared" si="3"/>
        <v>111</v>
      </c>
      <c r="F10" s="115">
        <f t="shared" si="0"/>
        <v>2</v>
      </c>
      <c r="G10" s="116" t="str">
        <f t="shared" si="1"/>
        <v xml:space="preserve"> 1 
2</v>
      </c>
      <c r="H10" s="116" t="str">
        <f t="shared" si="2"/>
        <v xml:space="preserve"> 1 
2 1 
2</v>
      </c>
    </row>
    <row r="11" spans="1:10" ht="38.25" x14ac:dyDescent="0.2">
      <c r="A11" s="122">
        <v>7</v>
      </c>
      <c r="B11" s="125" t="s">
        <v>40</v>
      </c>
      <c r="C11" s="130" t="s">
        <v>37</v>
      </c>
      <c r="E11" s="115">
        <f>IF(B11&gt;0,LENB(B11),LENB(A11))</f>
        <v>154</v>
      </c>
      <c r="F11" s="115">
        <f>CEILING(E11/100,1)</f>
        <v>2</v>
      </c>
      <c r="G11" s="116" t="str">
        <f t="shared" si="1"/>
        <v xml:space="preserve"> 1 
2</v>
      </c>
      <c r="H11" s="116" t="str">
        <f>IF(F11&gt;1,REPT(G11,F11),"-")</f>
        <v xml:space="preserve"> 1 
2 1 
2</v>
      </c>
    </row>
    <row r="12" spans="1:10" ht="38.25" x14ac:dyDescent="0.2">
      <c r="A12" s="122">
        <v>8</v>
      </c>
      <c r="B12" s="125" t="s">
        <v>41</v>
      </c>
      <c r="C12" s="124" t="s">
        <v>33</v>
      </c>
      <c r="E12" s="115">
        <f t="shared" si="3"/>
        <v>187</v>
      </c>
      <c r="F12" s="115">
        <f t="shared" si="0"/>
        <v>2</v>
      </c>
      <c r="G12" s="116" t="str">
        <f t="shared" si="1"/>
        <v xml:space="preserve"> 1 
2</v>
      </c>
      <c r="H12" s="116" t="str">
        <f t="shared" si="2"/>
        <v xml:space="preserve"> 1 
2 1 
2</v>
      </c>
    </row>
    <row r="13" spans="1:10" ht="25.5" x14ac:dyDescent="0.2">
      <c r="A13" s="122">
        <v>9</v>
      </c>
      <c r="B13" s="125" t="s">
        <v>42</v>
      </c>
      <c r="C13" s="124" t="s">
        <v>33</v>
      </c>
      <c r="E13" s="115">
        <f t="shared" si="3"/>
        <v>92</v>
      </c>
      <c r="F13" s="115">
        <f t="shared" si="0"/>
        <v>1</v>
      </c>
      <c r="G13" s="116" t="str">
        <f t="shared" si="1"/>
        <v xml:space="preserve"> 1 
2</v>
      </c>
      <c r="H13" s="116" t="str">
        <f t="shared" si="2"/>
        <v>-</v>
      </c>
    </row>
    <row r="14" spans="1:10" ht="38.25" x14ac:dyDescent="0.2">
      <c r="A14" s="122">
        <v>10</v>
      </c>
      <c r="B14" s="131" t="s">
        <v>133</v>
      </c>
      <c r="C14" s="124" t="s">
        <v>33</v>
      </c>
      <c r="E14" s="115">
        <f t="shared" si="3"/>
        <v>132</v>
      </c>
      <c r="F14" s="115">
        <f t="shared" si="0"/>
        <v>2</v>
      </c>
      <c r="G14" s="116" t="str">
        <f t="shared" si="1"/>
        <v xml:space="preserve"> 1 
2</v>
      </c>
      <c r="H14" s="116" t="str">
        <f t="shared" si="2"/>
        <v xml:space="preserve"> 1 
2 1 
2</v>
      </c>
      <c r="I14" s="187"/>
      <c r="J14" s="187"/>
    </row>
    <row r="15" spans="1:10" ht="38.25" x14ac:dyDescent="0.2">
      <c r="A15" s="122">
        <v>11</v>
      </c>
      <c r="B15" s="125" t="s">
        <v>43</v>
      </c>
      <c r="C15" s="124" t="s">
        <v>33</v>
      </c>
      <c r="E15" s="115">
        <f t="shared" si="3"/>
        <v>174</v>
      </c>
      <c r="F15" s="115">
        <f t="shared" si="0"/>
        <v>2</v>
      </c>
      <c r="G15" s="116" t="str">
        <f t="shared" si="1"/>
        <v xml:space="preserve"> 1 
2</v>
      </c>
      <c r="H15" s="116" t="str">
        <f t="shared" si="2"/>
        <v xml:space="preserve"> 1 
2 1 
2</v>
      </c>
      <c r="I15" s="187"/>
    </row>
    <row r="16" spans="1:10" ht="38.25" x14ac:dyDescent="0.2">
      <c r="A16" s="122">
        <v>12</v>
      </c>
      <c r="B16" s="125" t="s">
        <v>44</v>
      </c>
      <c r="C16" s="124" t="s">
        <v>33</v>
      </c>
      <c r="E16" s="115">
        <f t="shared" si="3"/>
        <v>120</v>
      </c>
      <c r="F16" s="115">
        <f t="shared" si="0"/>
        <v>2</v>
      </c>
      <c r="G16" s="116" t="str">
        <f t="shared" si="1"/>
        <v xml:space="preserve"> 1 
2</v>
      </c>
      <c r="H16" s="116" t="str">
        <f t="shared" si="2"/>
        <v xml:space="preserve"> 1 
2 1 
2</v>
      </c>
    </row>
    <row r="17" spans="1:10" ht="25.5" x14ac:dyDescent="0.2">
      <c r="A17" s="474" t="s">
        <v>45</v>
      </c>
      <c r="B17" s="475"/>
      <c r="C17" s="476"/>
      <c r="E17" s="115">
        <f t="shared" si="3"/>
        <v>63</v>
      </c>
      <c r="F17" s="115">
        <f t="shared" si="0"/>
        <v>1</v>
      </c>
      <c r="G17" s="116" t="str">
        <f t="shared" si="1"/>
        <v xml:space="preserve"> 1 
2</v>
      </c>
      <c r="H17" s="116" t="str">
        <f t="shared" si="2"/>
        <v>-</v>
      </c>
    </row>
    <row r="18" spans="1:10" ht="25.5" x14ac:dyDescent="0.2">
      <c r="A18" s="118" t="s">
        <v>29</v>
      </c>
      <c r="B18" s="132" t="s">
        <v>30</v>
      </c>
      <c r="C18" s="120" t="s">
        <v>31</v>
      </c>
      <c r="E18" s="115">
        <f t="shared" si="3"/>
        <v>11</v>
      </c>
      <c r="F18" s="115">
        <f t="shared" si="0"/>
        <v>1</v>
      </c>
      <c r="G18" s="116" t="str">
        <f t="shared" si="1"/>
        <v xml:space="preserve"> 1 
2</v>
      </c>
      <c r="H18" s="116" t="str">
        <f t="shared" si="2"/>
        <v>-</v>
      </c>
    </row>
    <row r="19" spans="1:10" ht="38.25" x14ac:dyDescent="0.2">
      <c r="A19" s="122">
        <v>1</v>
      </c>
      <c r="B19" s="125" t="s">
        <v>46</v>
      </c>
      <c r="C19" s="124" t="s">
        <v>33</v>
      </c>
      <c r="E19" s="115">
        <f t="shared" si="3"/>
        <v>200</v>
      </c>
      <c r="F19" s="115">
        <f t="shared" si="0"/>
        <v>2</v>
      </c>
      <c r="G19" s="116" t="str">
        <f t="shared" si="1"/>
        <v xml:space="preserve"> 1 
2</v>
      </c>
      <c r="H19" s="116" t="str">
        <f t="shared" si="2"/>
        <v xml:space="preserve"> 1 
2 1 
2</v>
      </c>
    </row>
    <row r="20" spans="1:10" ht="38.25" x14ac:dyDescent="0.2">
      <c r="A20" s="122">
        <v>2</v>
      </c>
      <c r="B20" s="125" t="s">
        <v>47</v>
      </c>
      <c r="C20" s="124" t="s">
        <v>33</v>
      </c>
      <c r="E20" s="115">
        <f t="shared" si="3"/>
        <v>162</v>
      </c>
      <c r="F20" s="115">
        <f t="shared" si="0"/>
        <v>2</v>
      </c>
      <c r="G20" s="116" t="str">
        <f t="shared" si="1"/>
        <v xml:space="preserve"> 1 
2</v>
      </c>
      <c r="H20" s="116" t="str">
        <f t="shared" si="2"/>
        <v xml:space="preserve"> 1 
2 1 
2</v>
      </c>
    </row>
    <row r="21" spans="1:10" ht="25.5" x14ac:dyDescent="0.2">
      <c r="A21" s="122">
        <v>3</v>
      </c>
      <c r="B21" s="125" t="s">
        <v>48</v>
      </c>
      <c r="C21" s="124" t="s">
        <v>33</v>
      </c>
      <c r="E21" s="115">
        <f t="shared" si="3"/>
        <v>69</v>
      </c>
      <c r="F21" s="115">
        <f t="shared" si="0"/>
        <v>1</v>
      </c>
      <c r="G21" s="116" t="str">
        <f t="shared" si="1"/>
        <v xml:space="preserve"> 1 
2</v>
      </c>
      <c r="H21" s="116" t="str">
        <f t="shared" si="2"/>
        <v>-</v>
      </c>
    </row>
    <row r="22" spans="1:10" ht="63.75" x14ac:dyDescent="0.2">
      <c r="A22" s="485">
        <v>4</v>
      </c>
      <c r="B22" s="133" t="s">
        <v>197</v>
      </c>
      <c r="C22" s="487" t="s">
        <v>33</v>
      </c>
      <c r="E22" s="115">
        <f t="shared" si="3"/>
        <v>339</v>
      </c>
      <c r="F22" s="115">
        <f t="shared" si="0"/>
        <v>4</v>
      </c>
      <c r="G22" s="116" t="str">
        <f t="shared" si="1"/>
        <v xml:space="preserve"> 1 
2</v>
      </c>
      <c r="H22" s="116" t="str">
        <f t="shared" si="2"/>
        <v xml:space="preserve"> 1 
2 1 
2 1 
2 1 
2</v>
      </c>
    </row>
    <row r="23" spans="1:10" ht="16.5" customHeight="1" x14ac:dyDescent="0.2">
      <c r="A23" s="485"/>
      <c r="B23" s="66" t="s">
        <v>292</v>
      </c>
      <c r="C23" s="487"/>
      <c r="E23" s="115">
        <f t="shared" si="3"/>
        <v>63</v>
      </c>
      <c r="F23" s="115">
        <f t="shared" si="0"/>
        <v>1</v>
      </c>
      <c r="G23" s="116" t="str">
        <f t="shared" si="1"/>
        <v xml:space="preserve"> 1 
2</v>
      </c>
      <c r="H23" s="116" t="str">
        <f t="shared" si="2"/>
        <v>-</v>
      </c>
    </row>
    <row r="24" spans="1:10" ht="38.25" x14ac:dyDescent="0.2">
      <c r="A24" s="122">
        <v>5</v>
      </c>
      <c r="B24" s="125" t="s">
        <v>49</v>
      </c>
      <c r="C24" s="124" t="s">
        <v>33</v>
      </c>
      <c r="E24" s="115">
        <f t="shared" si="3"/>
        <v>139</v>
      </c>
      <c r="F24" s="115">
        <f t="shared" si="0"/>
        <v>2</v>
      </c>
      <c r="G24" s="116" t="str">
        <f t="shared" si="1"/>
        <v xml:space="preserve"> 1 
2</v>
      </c>
      <c r="H24" s="116" t="str">
        <f t="shared" si="2"/>
        <v xml:space="preserve"> 1 
2 1 
2</v>
      </c>
    </row>
    <row r="25" spans="1:10" ht="18" customHeight="1" x14ac:dyDescent="0.2">
      <c r="A25" s="485">
        <v>6</v>
      </c>
      <c r="B25" s="201" t="s">
        <v>414</v>
      </c>
      <c r="C25" s="487" t="s">
        <v>50</v>
      </c>
      <c r="E25" s="115">
        <f t="shared" si="3"/>
        <v>82</v>
      </c>
      <c r="F25" s="115">
        <f t="shared" si="0"/>
        <v>1</v>
      </c>
      <c r="G25" s="116" t="str">
        <f t="shared" si="1"/>
        <v xml:space="preserve"> 1 
2</v>
      </c>
      <c r="H25" s="116" t="str">
        <f t="shared" si="2"/>
        <v>-</v>
      </c>
    </row>
    <row r="26" spans="1:10" ht="33.75" customHeight="1" x14ac:dyDescent="0.2">
      <c r="A26" s="485"/>
      <c r="B26" s="66" t="s">
        <v>400</v>
      </c>
      <c r="C26" s="487"/>
      <c r="E26" s="115">
        <f t="shared" si="3"/>
        <v>166</v>
      </c>
      <c r="F26" s="115">
        <f t="shared" si="0"/>
        <v>2</v>
      </c>
      <c r="G26" s="116" t="str">
        <f t="shared" si="1"/>
        <v xml:space="preserve"> 1 
2</v>
      </c>
      <c r="H26" s="116" t="str">
        <f t="shared" si="2"/>
        <v xml:space="preserve"> 1 
2 1 
2</v>
      </c>
      <c r="I26" s="66" t="s">
        <v>281</v>
      </c>
      <c r="J26" s="66" t="s">
        <v>283</v>
      </c>
    </row>
    <row r="27" spans="1:10" ht="38.25" x14ac:dyDescent="0.2">
      <c r="A27" s="122">
        <v>7</v>
      </c>
      <c r="B27" s="125" t="s">
        <v>51</v>
      </c>
      <c r="C27" s="124" t="s">
        <v>33</v>
      </c>
      <c r="E27" s="115">
        <f t="shared" si="3"/>
        <v>146</v>
      </c>
      <c r="F27" s="115">
        <f t="shared" si="0"/>
        <v>2</v>
      </c>
      <c r="G27" s="116" t="str">
        <f t="shared" si="1"/>
        <v xml:space="preserve"> 1 
2</v>
      </c>
      <c r="H27" s="116" t="str">
        <f t="shared" si="2"/>
        <v xml:space="preserve"> 1 
2 1 
2</v>
      </c>
    </row>
    <row r="28" spans="1:10" ht="51" x14ac:dyDescent="0.2">
      <c r="A28" s="122">
        <v>8</v>
      </c>
      <c r="B28" s="125" t="s">
        <v>127</v>
      </c>
      <c r="C28" s="124" t="s">
        <v>33</v>
      </c>
      <c r="E28" s="115">
        <f t="shared" si="3"/>
        <v>220</v>
      </c>
      <c r="F28" s="115">
        <f t="shared" si="0"/>
        <v>3</v>
      </c>
      <c r="G28" s="116" t="str">
        <f t="shared" si="1"/>
        <v xml:space="preserve"> 1 
2</v>
      </c>
      <c r="H28" s="116" t="str">
        <f t="shared" si="2"/>
        <v xml:space="preserve"> 1 
2 1 
2 1 
2</v>
      </c>
    </row>
    <row r="29" spans="1:10" ht="25.5" x14ac:dyDescent="0.2">
      <c r="A29" s="474" t="s">
        <v>52</v>
      </c>
      <c r="B29" s="475"/>
      <c r="C29" s="476"/>
      <c r="E29" s="115">
        <f t="shared" si="3"/>
        <v>39</v>
      </c>
      <c r="F29" s="115">
        <f t="shared" si="0"/>
        <v>1</v>
      </c>
      <c r="G29" s="116" t="str">
        <f t="shared" si="1"/>
        <v xml:space="preserve"> 1 
2</v>
      </c>
      <c r="H29" s="116" t="str">
        <f t="shared" si="2"/>
        <v>-</v>
      </c>
    </row>
    <row r="30" spans="1:10" ht="25.5" x14ac:dyDescent="0.2">
      <c r="A30" s="118" t="s">
        <v>29</v>
      </c>
      <c r="B30" s="132" t="s">
        <v>30</v>
      </c>
      <c r="C30" s="120" t="s">
        <v>31</v>
      </c>
      <c r="E30" s="115">
        <f t="shared" si="3"/>
        <v>11</v>
      </c>
      <c r="F30" s="115">
        <f t="shared" si="0"/>
        <v>1</v>
      </c>
      <c r="G30" s="116" t="str">
        <f t="shared" si="1"/>
        <v xml:space="preserve"> 1 
2</v>
      </c>
      <c r="H30" s="116" t="str">
        <f t="shared" si="2"/>
        <v>-</v>
      </c>
    </row>
    <row r="31" spans="1:10" ht="38.25" x14ac:dyDescent="0.2">
      <c r="A31" s="122">
        <v>1</v>
      </c>
      <c r="B31" s="125" t="s">
        <v>53</v>
      </c>
      <c r="C31" s="124" t="s">
        <v>33</v>
      </c>
      <c r="E31" s="115">
        <f t="shared" si="3"/>
        <v>103</v>
      </c>
      <c r="F31" s="115">
        <f t="shared" si="0"/>
        <v>2</v>
      </c>
      <c r="G31" s="116" t="str">
        <f t="shared" si="1"/>
        <v xml:space="preserve"> 1 
2</v>
      </c>
      <c r="H31" s="116" t="str">
        <f t="shared" si="2"/>
        <v xml:space="preserve"> 1 
2 1 
2</v>
      </c>
    </row>
    <row r="32" spans="1:10" ht="25.5" x14ac:dyDescent="0.2">
      <c r="A32" s="122">
        <v>2</v>
      </c>
      <c r="B32" s="125" t="s">
        <v>54</v>
      </c>
      <c r="C32" s="124" t="s">
        <v>33</v>
      </c>
      <c r="E32" s="115">
        <f t="shared" si="3"/>
        <v>72</v>
      </c>
      <c r="F32" s="115">
        <f t="shared" si="0"/>
        <v>1</v>
      </c>
      <c r="G32" s="116" t="str">
        <f t="shared" si="1"/>
        <v xml:space="preserve"> 1 
2</v>
      </c>
      <c r="H32" s="116" t="str">
        <f t="shared" si="2"/>
        <v>-</v>
      </c>
    </row>
    <row r="33" spans="1:8" ht="38.25" x14ac:dyDescent="0.2">
      <c r="A33" s="122">
        <v>3</v>
      </c>
      <c r="B33" s="125" t="s">
        <v>55</v>
      </c>
      <c r="C33" s="124" t="s">
        <v>33</v>
      </c>
      <c r="E33" s="115">
        <f t="shared" si="3"/>
        <v>114</v>
      </c>
      <c r="F33" s="115">
        <f t="shared" si="0"/>
        <v>2</v>
      </c>
      <c r="G33" s="116" t="str">
        <f t="shared" si="1"/>
        <v xml:space="preserve"> 1 
2</v>
      </c>
      <c r="H33" s="116" t="str">
        <f t="shared" si="2"/>
        <v xml:space="preserve"> 1 
2 1 
2</v>
      </c>
    </row>
    <row r="34" spans="1:8" ht="25.5" x14ac:dyDescent="0.2">
      <c r="A34" s="122">
        <v>4</v>
      </c>
      <c r="B34" s="125" t="s">
        <v>56</v>
      </c>
      <c r="C34" s="124" t="s">
        <v>33</v>
      </c>
      <c r="E34" s="115">
        <f t="shared" si="3"/>
        <v>79</v>
      </c>
      <c r="F34" s="115">
        <f t="shared" si="0"/>
        <v>1</v>
      </c>
      <c r="G34" s="116" t="str">
        <f t="shared" si="1"/>
        <v xml:space="preserve"> 1 
2</v>
      </c>
      <c r="H34" s="116" t="str">
        <f t="shared" si="2"/>
        <v>-</v>
      </c>
    </row>
    <row r="35" spans="1:8" ht="38.25" x14ac:dyDescent="0.2">
      <c r="A35" s="122">
        <v>5</v>
      </c>
      <c r="B35" s="125" t="s">
        <v>57</v>
      </c>
      <c r="C35" s="124" t="s">
        <v>33</v>
      </c>
      <c r="E35" s="115">
        <f t="shared" si="3"/>
        <v>167</v>
      </c>
      <c r="F35" s="115">
        <f t="shared" si="0"/>
        <v>2</v>
      </c>
      <c r="G35" s="116" t="str">
        <f t="shared" si="1"/>
        <v xml:space="preserve"> 1 
2</v>
      </c>
      <c r="H35" s="116" t="str">
        <f t="shared" si="2"/>
        <v xml:space="preserve"> 1 
2 1 
2</v>
      </c>
    </row>
    <row r="36" spans="1:8" ht="25.5" x14ac:dyDescent="0.2">
      <c r="A36" s="501" t="s">
        <v>58</v>
      </c>
      <c r="B36" s="502"/>
      <c r="C36" s="503"/>
      <c r="E36" s="115">
        <f t="shared" si="3"/>
        <v>14</v>
      </c>
      <c r="F36" s="115">
        <f t="shared" si="0"/>
        <v>1</v>
      </c>
      <c r="G36" s="116" t="str">
        <f t="shared" si="1"/>
        <v xml:space="preserve"> 1 
2</v>
      </c>
      <c r="H36" s="116" t="str">
        <f t="shared" si="2"/>
        <v>-</v>
      </c>
    </row>
    <row r="37" spans="1:8" ht="38.25" customHeight="1" x14ac:dyDescent="0.2">
      <c r="A37" s="504" t="s">
        <v>415</v>
      </c>
      <c r="B37" s="499"/>
      <c r="C37" s="500"/>
      <c r="E37" s="115">
        <f t="shared" si="3"/>
        <v>205</v>
      </c>
      <c r="F37" s="115">
        <f t="shared" si="0"/>
        <v>3</v>
      </c>
      <c r="G37" s="116" t="str">
        <f t="shared" si="1"/>
        <v xml:space="preserve"> 1 
2</v>
      </c>
      <c r="H37" s="116" t="str">
        <f t="shared" si="2"/>
        <v xml:space="preserve"> 1 
2 1 
2 1 
2</v>
      </c>
    </row>
    <row r="38" spans="1:8" ht="38.25" customHeight="1" x14ac:dyDescent="0.2">
      <c r="A38" s="495" t="s">
        <v>96</v>
      </c>
      <c r="B38" s="496"/>
      <c r="C38" s="497"/>
      <c r="E38" s="115">
        <f t="shared" si="3"/>
        <v>185</v>
      </c>
      <c r="F38" s="115">
        <f t="shared" si="0"/>
        <v>2</v>
      </c>
      <c r="G38" s="116" t="str">
        <f t="shared" si="1"/>
        <v xml:space="preserve"> 1 
2</v>
      </c>
      <c r="H38" s="116" t="str">
        <f t="shared" si="2"/>
        <v xml:space="preserve"> 1 
2 1 
2</v>
      </c>
    </row>
    <row r="39" spans="1:8" ht="25.5" x14ac:dyDescent="0.2">
      <c r="A39" s="483" t="s">
        <v>59</v>
      </c>
      <c r="B39" s="482"/>
      <c r="C39" s="484"/>
      <c r="E39" s="115">
        <f t="shared" si="3"/>
        <v>24</v>
      </c>
      <c r="F39" s="115">
        <f t="shared" si="0"/>
        <v>1</v>
      </c>
      <c r="G39" s="116" t="str">
        <f t="shared" si="1"/>
        <v xml:space="preserve"> 1 
2</v>
      </c>
      <c r="H39" s="116" t="str">
        <f t="shared" si="2"/>
        <v>-</v>
      </c>
    </row>
    <row r="40" spans="1:8" ht="25.5" x14ac:dyDescent="0.2">
      <c r="A40" s="118" t="s">
        <v>29</v>
      </c>
      <c r="B40" s="132"/>
      <c r="C40" s="120" t="s">
        <v>31</v>
      </c>
      <c r="E40" s="115">
        <f t="shared" si="3"/>
        <v>1</v>
      </c>
      <c r="F40" s="115">
        <f t="shared" si="0"/>
        <v>1</v>
      </c>
      <c r="G40" s="116" t="str">
        <f t="shared" si="1"/>
        <v xml:space="preserve"> 1 
2</v>
      </c>
      <c r="H40" s="116" t="str">
        <f t="shared" si="2"/>
        <v>-</v>
      </c>
    </row>
    <row r="41" spans="1:8" ht="38.25" x14ac:dyDescent="0.2">
      <c r="A41" s="122">
        <v>1</v>
      </c>
      <c r="B41" s="125" t="s">
        <v>60</v>
      </c>
      <c r="C41" s="124" t="s">
        <v>33</v>
      </c>
      <c r="E41" s="115">
        <f t="shared" si="3"/>
        <v>133</v>
      </c>
      <c r="F41" s="115">
        <f t="shared" si="0"/>
        <v>2</v>
      </c>
      <c r="G41" s="116" t="str">
        <f t="shared" si="1"/>
        <v xml:space="preserve"> 1 
2</v>
      </c>
      <c r="H41" s="116" t="str">
        <f t="shared" si="2"/>
        <v xml:space="preserve"> 1 
2 1 
2</v>
      </c>
    </row>
    <row r="42" spans="1:8" ht="25.5" x14ac:dyDescent="0.2">
      <c r="A42" s="122">
        <v>2</v>
      </c>
      <c r="B42" s="125" t="s">
        <v>61</v>
      </c>
      <c r="C42" s="124" t="s">
        <v>33</v>
      </c>
      <c r="E42" s="115">
        <f t="shared" si="3"/>
        <v>80</v>
      </c>
      <c r="F42" s="115">
        <f t="shared" si="0"/>
        <v>1</v>
      </c>
      <c r="G42" s="116" t="str">
        <f t="shared" si="1"/>
        <v xml:space="preserve"> 1 
2</v>
      </c>
      <c r="H42" s="116" t="str">
        <f t="shared" si="2"/>
        <v>-</v>
      </c>
    </row>
    <row r="43" spans="1:8" ht="38.25" x14ac:dyDescent="0.2">
      <c r="A43" s="122">
        <v>3</v>
      </c>
      <c r="B43" s="125" t="s">
        <v>62</v>
      </c>
      <c r="C43" s="124" t="s">
        <v>33</v>
      </c>
      <c r="E43" s="115">
        <f t="shared" si="3"/>
        <v>181</v>
      </c>
      <c r="F43" s="115">
        <f t="shared" si="0"/>
        <v>2</v>
      </c>
      <c r="G43" s="116" t="str">
        <f t="shared" si="1"/>
        <v xml:space="preserve"> 1 
2</v>
      </c>
      <c r="H43" s="116" t="str">
        <f t="shared" si="2"/>
        <v xml:space="preserve"> 1 
2 1 
2</v>
      </c>
    </row>
    <row r="44" spans="1:8" ht="54.75" customHeight="1" x14ac:dyDescent="0.2">
      <c r="A44" s="122">
        <v>4</v>
      </c>
      <c r="B44" s="125" t="s">
        <v>345</v>
      </c>
      <c r="C44" s="130" t="s">
        <v>63</v>
      </c>
      <c r="E44" s="115">
        <f t="shared" si="3"/>
        <v>311</v>
      </c>
      <c r="F44" s="115">
        <f t="shared" si="0"/>
        <v>4</v>
      </c>
      <c r="G44" s="116" t="str">
        <f t="shared" si="1"/>
        <v xml:space="preserve"> 1 
2</v>
      </c>
      <c r="H44" s="116" t="str">
        <f t="shared" si="2"/>
        <v xml:space="preserve"> 1 
2 1 
2 1 
2 1 
2</v>
      </c>
    </row>
    <row r="45" spans="1:8" ht="38.25" x14ac:dyDescent="0.2">
      <c r="A45" s="122">
        <v>5</v>
      </c>
      <c r="B45" s="134" t="s">
        <v>64</v>
      </c>
      <c r="C45" s="130" t="s">
        <v>63</v>
      </c>
      <c r="E45" s="115">
        <f t="shared" si="3"/>
        <v>149</v>
      </c>
      <c r="F45" s="115">
        <f t="shared" si="0"/>
        <v>2</v>
      </c>
      <c r="G45" s="116" t="str">
        <f t="shared" si="1"/>
        <v xml:space="preserve"> 1 
2</v>
      </c>
      <c r="H45" s="116" t="str">
        <f t="shared" si="2"/>
        <v xml:space="preserve"> 1 
2 1 
2</v>
      </c>
    </row>
    <row r="46" spans="1:8" ht="38.25" x14ac:dyDescent="0.2">
      <c r="A46" s="485">
        <v>6</v>
      </c>
      <c r="B46" s="134" t="s">
        <v>97</v>
      </c>
      <c r="C46" s="487" t="s">
        <v>33</v>
      </c>
      <c r="E46" s="115">
        <f t="shared" si="3"/>
        <v>157</v>
      </c>
      <c r="F46" s="115">
        <f t="shared" si="0"/>
        <v>2</v>
      </c>
      <c r="G46" s="116" t="str">
        <f t="shared" si="1"/>
        <v xml:space="preserve"> 1 
2</v>
      </c>
      <c r="H46" s="116" t="str">
        <f t="shared" si="2"/>
        <v xml:space="preserve"> 1 
2 1 
2</v>
      </c>
    </row>
    <row r="47" spans="1:8" ht="51" x14ac:dyDescent="0.2">
      <c r="A47" s="486"/>
      <c r="B47" s="135" t="s">
        <v>134</v>
      </c>
      <c r="C47" s="488"/>
      <c r="E47" s="115">
        <f t="shared" si="3"/>
        <v>241</v>
      </c>
      <c r="F47" s="115">
        <f t="shared" si="0"/>
        <v>3</v>
      </c>
      <c r="G47" s="116" t="str">
        <f t="shared" si="1"/>
        <v xml:space="preserve"> 1 
2</v>
      </c>
      <c r="H47" s="116" t="str">
        <f t="shared" si="2"/>
        <v xml:space="preserve"> 1 
2 1 
2 1 
2</v>
      </c>
    </row>
    <row r="48" spans="1:8" ht="25.5" x14ac:dyDescent="0.2">
      <c r="A48" s="474" t="s">
        <v>65</v>
      </c>
      <c r="B48" s="475"/>
      <c r="C48" s="476"/>
      <c r="E48" s="115">
        <f t="shared" si="3"/>
        <v>36</v>
      </c>
      <c r="F48" s="115">
        <f t="shared" si="0"/>
        <v>1</v>
      </c>
      <c r="G48" s="116" t="str">
        <f t="shared" si="1"/>
        <v xml:space="preserve"> 1 
2</v>
      </c>
      <c r="H48" s="116" t="str">
        <f t="shared" si="2"/>
        <v>-</v>
      </c>
    </row>
    <row r="49" spans="1:12" ht="38.25" x14ac:dyDescent="0.2">
      <c r="A49" s="136">
        <v>7</v>
      </c>
      <c r="B49" s="137" t="s">
        <v>213</v>
      </c>
      <c r="C49" s="138"/>
      <c r="E49" s="115">
        <f t="shared" si="3"/>
        <v>158</v>
      </c>
      <c r="F49" s="115">
        <f t="shared" si="0"/>
        <v>2</v>
      </c>
      <c r="G49" s="116" t="str">
        <f t="shared" si="1"/>
        <v xml:space="preserve"> 1 
2</v>
      </c>
      <c r="H49" s="116" t="str">
        <f t="shared" si="2"/>
        <v xml:space="preserve"> 1 
2 1 
2</v>
      </c>
    </row>
    <row r="50" spans="1:12" ht="93" customHeight="1" x14ac:dyDescent="0.2">
      <c r="A50" s="139">
        <v>8</v>
      </c>
      <c r="B50" s="131" t="s">
        <v>416</v>
      </c>
      <c r="C50" s="128" t="s">
        <v>80</v>
      </c>
      <c r="E50" s="115">
        <f t="shared" si="3"/>
        <v>350</v>
      </c>
      <c r="F50" s="115">
        <f t="shared" si="0"/>
        <v>4</v>
      </c>
      <c r="G50" s="116" t="str">
        <f t="shared" si="1"/>
        <v xml:space="preserve"> 1 
2</v>
      </c>
      <c r="H50" s="116" t="str">
        <f t="shared" si="2"/>
        <v xml:space="preserve"> 1 
2 1 
2 1 
2 1 
2</v>
      </c>
    </row>
    <row r="51" spans="1:12" ht="84" customHeight="1" x14ac:dyDescent="0.2">
      <c r="A51" s="139">
        <v>9</v>
      </c>
      <c r="B51" s="131" t="s">
        <v>417</v>
      </c>
      <c r="C51" s="128" t="s">
        <v>80</v>
      </c>
      <c r="E51" s="115">
        <f t="shared" si="3"/>
        <v>284</v>
      </c>
      <c r="F51" s="115">
        <f t="shared" si="0"/>
        <v>3</v>
      </c>
      <c r="G51" s="116" t="str">
        <f t="shared" si="1"/>
        <v xml:space="preserve"> 1 
2</v>
      </c>
      <c r="H51" s="116" t="str">
        <f t="shared" si="2"/>
        <v xml:space="preserve"> 1 
2 1 
2 1 
2</v>
      </c>
    </row>
    <row r="52" spans="1:12" ht="38.25" x14ac:dyDescent="0.2">
      <c r="A52" s="139">
        <v>10</v>
      </c>
      <c r="B52" s="140" t="s">
        <v>79</v>
      </c>
      <c r="C52" s="128" t="s">
        <v>80</v>
      </c>
      <c r="E52" s="115">
        <f t="shared" si="3"/>
        <v>177</v>
      </c>
      <c r="F52" s="115">
        <f t="shared" si="0"/>
        <v>2</v>
      </c>
      <c r="G52" s="116" t="str">
        <f t="shared" si="1"/>
        <v xml:space="preserve"> 1 
2</v>
      </c>
      <c r="H52" s="116" t="str">
        <f t="shared" si="2"/>
        <v xml:space="preserve"> 1 
2 1 
2</v>
      </c>
    </row>
    <row r="53" spans="1:12" ht="25.5" x14ac:dyDescent="0.2">
      <c r="A53" s="139">
        <v>11</v>
      </c>
      <c r="B53" s="141" t="s">
        <v>66</v>
      </c>
      <c r="C53" s="128" t="s">
        <v>80</v>
      </c>
      <c r="E53" s="115">
        <f t="shared" si="3"/>
        <v>71</v>
      </c>
      <c r="F53" s="115">
        <f t="shared" si="0"/>
        <v>1</v>
      </c>
      <c r="G53" s="116" t="str">
        <f t="shared" si="1"/>
        <v xml:space="preserve"> 1 
2</v>
      </c>
      <c r="H53" s="116" t="str">
        <f t="shared" si="2"/>
        <v>-</v>
      </c>
    </row>
    <row r="54" spans="1:12" ht="63.75" x14ac:dyDescent="0.2">
      <c r="A54" s="139">
        <v>12</v>
      </c>
      <c r="B54" s="141" t="s">
        <v>112</v>
      </c>
      <c r="C54" s="128" t="s">
        <v>80</v>
      </c>
      <c r="E54" s="115">
        <f t="shared" si="3"/>
        <v>364</v>
      </c>
      <c r="F54" s="115">
        <f t="shared" si="0"/>
        <v>4</v>
      </c>
      <c r="G54" s="116" t="str">
        <f t="shared" si="1"/>
        <v xml:space="preserve"> 1 
2</v>
      </c>
      <c r="H54" s="116" t="str">
        <f t="shared" si="2"/>
        <v xml:space="preserve"> 1 
2 1 
2 1 
2 1 
2</v>
      </c>
    </row>
    <row r="55" spans="1:12" ht="38.25" x14ac:dyDescent="0.2">
      <c r="A55" s="139">
        <v>13</v>
      </c>
      <c r="B55" s="142" t="s">
        <v>67</v>
      </c>
      <c r="C55" s="128" t="s">
        <v>80</v>
      </c>
      <c r="E55" s="115">
        <f t="shared" si="3"/>
        <v>134</v>
      </c>
      <c r="F55" s="115">
        <f t="shared" si="0"/>
        <v>2</v>
      </c>
      <c r="G55" s="116" t="str">
        <f t="shared" si="1"/>
        <v xml:space="preserve"> 1 
2</v>
      </c>
      <c r="H55" s="116" t="str">
        <f t="shared" si="2"/>
        <v xml:space="preserve"> 1 
2 1 
2</v>
      </c>
    </row>
    <row r="56" spans="1:12" ht="25.5" x14ac:dyDescent="0.2">
      <c r="A56" s="474" t="s">
        <v>68</v>
      </c>
      <c r="B56" s="475"/>
      <c r="C56" s="476"/>
      <c r="E56" s="115">
        <f t="shared" si="3"/>
        <v>19</v>
      </c>
      <c r="F56" s="115">
        <f t="shared" si="0"/>
        <v>1</v>
      </c>
      <c r="G56" s="116" t="str">
        <f t="shared" si="1"/>
        <v xml:space="preserve"> 1 
2</v>
      </c>
      <c r="H56" s="116" t="str">
        <f t="shared" si="2"/>
        <v>-</v>
      </c>
    </row>
    <row r="57" spans="1:12" s="115" customFormat="1" ht="34.5" customHeight="1" x14ac:dyDescent="0.2">
      <c r="A57" s="143">
        <v>14</v>
      </c>
      <c r="B57" s="134" t="s">
        <v>418</v>
      </c>
      <c r="C57" s="144" t="s">
        <v>33</v>
      </c>
      <c r="E57" s="115">
        <f t="shared" si="3"/>
        <v>115</v>
      </c>
      <c r="F57" s="115">
        <f t="shared" si="0"/>
        <v>2</v>
      </c>
      <c r="G57" s="116" t="str">
        <f t="shared" si="1"/>
        <v xml:space="preserve"> 1 
2</v>
      </c>
      <c r="H57" s="116" t="str">
        <f t="shared" si="2"/>
        <v xml:space="preserve"> 1 
2 1 
2</v>
      </c>
      <c r="I57" s="188" t="s">
        <v>232</v>
      </c>
      <c r="J57" s="188" t="str">
        <f>СХЕМА!M23&amp;"мм"</f>
        <v>38,1мм</v>
      </c>
      <c r="K57" s="145"/>
      <c r="L57" s="145"/>
    </row>
    <row r="58" spans="1:12" ht="81.75" customHeight="1" x14ac:dyDescent="0.2">
      <c r="A58" s="122">
        <v>15</v>
      </c>
      <c r="B58" s="125" t="s">
        <v>118</v>
      </c>
      <c r="C58" s="124" t="s">
        <v>33</v>
      </c>
      <c r="E58" s="115">
        <f t="shared" si="3"/>
        <v>454</v>
      </c>
      <c r="F58" s="115">
        <f t="shared" si="0"/>
        <v>5</v>
      </c>
      <c r="G58" s="116" t="str">
        <f t="shared" si="1"/>
        <v xml:space="preserve"> 1 
2</v>
      </c>
      <c r="H58" s="116" t="str">
        <f t="shared" si="2"/>
        <v xml:space="preserve"> 1 
2 1 
2 1 
2 1 
2 1 
2</v>
      </c>
    </row>
    <row r="59" spans="1:12" ht="63.75" x14ac:dyDescent="0.2">
      <c r="A59" s="122">
        <v>16</v>
      </c>
      <c r="B59" s="125" t="s">
        <v>69</v>
      </c>
      <c r="C59" s="124" t="s">
        <v>33</v>
      </c>
      <c r="E59" s="115">
        <f t="shared" si="3"/>
        <v>332</v>
      </c>
      <c r="F59" s="115">
        <f t="shared" si="0"/>
        <v>4</v>
      </c>
      <c r="G59" s="116" t="str">
        <f t="shared" si="1"/>
        <v xml:space="preserve"> 1 
2</v>
      </c>
      <c r="H59" s="116" t="str">
        <f t="shared" si="2"/>
        <v xml:space="preserve"> 1 
2 1 
2 1 
2 1 
2</v>
      </c>
    </row>
    <row r="60" spans="1:12" ht="45.75" customHeight="1" x14ac:dyDescent="0.2">
      <c r="A60" s="122">
        <v>17</v>
      </c>
      <c r="B60" s="125" t="s">
        <v>260</v>
      </c>
      <c r="C60" s="124" t="s">
        <v>33</v>
      </c>
      <c r="E60" s="115">
        <f>IF(B60&gt;0,LENB(B60),LENB(A60))</f>
        <v>195</v>
      </c>
      <c r="F60" s="115">
        <f t="shared" si="0"/>
        <v>2</v>
      </c>
      <c r="G60" s="116" t="str">
        <f t="shared" si="1"/>
        <v xml:space="preserve"> 1 
2</v>
      </c>
      <c r="H60" s="116" t="str">
        <f t="shared" si="2"/>
        <v xml:space="preserve"> 1 
2 1 
2</v>
      </c>
    </row>
    <row r="61" spans="1:12" ht="122.25" customHeight="1" x14ac:dyDescent="0.2">
      <c r="A61" s="122">
        <v>18</v>
      </c>
      <c r="B61" s="134" t="s">
        <v>419</v>
      </c>
      <c r="C61" s="124" t="s">
        <v>33</v>
      </c>
      <c r="E61" s="115">
        <f t="shared" si="3"/>
        <v>749</v>
      </c>
      <c r="F61" s="115">
        <f t="shared" si="0"/>
        <v>8</v>
      </c>
      <c r="G61" s="116" t="str">
        <f t="shared" si="1"/>
        <v xml:space="preserve"> 1 
2</v>
      </c>
      <c r="H61" s="116" t="str">
        <f t="shared" si="2"/>
        <v xml:space="preserve"> 1 
2 1 
2 1 
2 1 
2 1 
2 1 
2 1 
2 1 
2</v>
      </c>
      <c r="I61" s="189" t="s">
        <v>258</v>
      </c>
      <c r="J61" s="190">
        <f>CEILING(СХЕМА!AN21*1.1,5)</f>
        <v>105</v>
      </c>
      <c r="K61" s="189" t="s">
        <v>259</v>
      </c>
    </row>
    <row r="62" spans="1:12" s="115" customFormat="1" ht="25.5" x14ac:dyDescent="0.2">
      <c r="A62" s="474" t="s">
        <v>98</v>
      </c>
      <c r="B62" s="475"/>
      <c r="C62" s="476"/>
      <c r="D62" s="146"/>
      <c r="E62" s="115">
        <f t="shared" si="3"/>
        <v>21</v>
      </c>
      <c r="F62" s="115">
        <f t="shared" si="0"/>
        <v>1</v>
      </c>
      <c r="G62" s="116" t="str">
        <f t="shared" si="1"/>
        <v xml:space="preserve"> 1 
2</v>
      </c>
      <c r="H62" s="116" t="str">
        <f t="shared" si="2"/>
        <v>-</v>
      </c>
      <c r="I62" s="191"/>
      <c r="J62" s="191"/>
      <c r="K62" s="145"/>
      <c r="L62" s="145"/>
    </row>
    <row r="63" spans="1:12" s="115" customFormat="1" ht="51" x14ac:dyDescent="0.2">
      <c r="A63" s="147">
        <v>19</v>
      </c>
      <c r="B63" s="134" t="s">
        <v>420</v>
      </c>
      <c r="C63" s="124" t="s">
        <v>33</v>
      </c>
      <c r="E63" s="115">
        <f t="shared" si="3"/>
        <v>243</v>
      </c>
      <c r="F63" s="115">
        <f t="shared" si="0"/>
        <v>3</v>
      </c>
      <c r="G63" s="116" t="str">
        <f t="shared" si="1"/>
        <v xml:space="preserve"> 1 
2</v>
      </c>
      <c r="H63" s="116" t="str">
        <f t="shared" si="2"/>
        <v xml:space="preserve"> 1 
2 1 
2 1 
2</v>
      </c>
      <c r="I63" s="191"/>
      <c r="J63" s="191"/>
      <c r="K63" s="145"/>
      <c r="L63" s="145"/>
    </row>
    <row r="64" spans="1:12" s="115" customFormat="1" ht="89.25" x14ac:dyDescent="0.2">
      <c r="A64" s="147">
        <v>20</v>
      </c>
      <c r="B64" s="134" t="s">
        <v>421</v>
      </c>
      <c r="C64" s="124" t="s">
        <v>33</v>
      </c>
      <c r="E64" s="115">
        <f>IF(B64&gt;0,LENB(B64),LENB(A64))</f>
        <v>545</v>
      </c>
      <c r="F64" s="115">
        <f t="shared" si="0"/>
        <v>6</v>
      </c>
      <c r="G64" s="116" t="str">
        <f t="shared" si="1"/>
        <v xml:space="preserve"> 1 
2</v>
      </c>
      <c r="H64" s="116" t="str">
        <f t="shared" si="2"/>
        <v xml:space="preserve"> 1 
2 1 
2 1 
2 1 
2 1 
2 1 
2</v>
      </c>
      <c r="I64" s="192" t="s">
        <v>135</v>
      </c>
      <c r="J64" s="192" t="str">
        <f>"Произвести вывод НКА на рабочий режим, восстановить устойчивую циркуляцию промывочной жидкости (тех.вода 1,02г/см3) , продолжить спуск до гл."&amp;ROUND((НКТ-20),0)&amp;"м"</f>
        <v>Произвести вывод НКА на рабочий режим, восстановить устойчивую циркуляцию промывочной жидкости (тех.вода 1,02г/см3) , продолжить спуск до гл.1081м</v>
      </c>
      <c r="K64" s="148" t="s">
        <v>273</v>
      </c>
      <c r="L64" s="145"/>
    </row>
    <row r="65" spans="1:12" s="115" customFormat="1" ht="62.25" customHeight="1" x14ac:dyDescent="0.2">
      <c r="A65" s="489">
        <v>21</v>
      </c>
      <c r="B65" s="134" t="s">
        <v>422</v>
      </c>
      <c r="C65" s="124"/>
      <c r="E65" s="115">
        <f>IF(B65&gt;0,LENB(B65),LENB(A65))</f>
        <v>320</v>
      </c>
      <c r="F65" s="115">
        <f t="shared" si="0"/>
        <v>4</v>
      </c>
      <c r="G65" s="116" t="str">
        <f t="shared" si="1"/>
        <v xml:space="preserve"> 1 
2</v>
      </c>
      <c r="H65" s="116" t="str">
        <f t="shared" si="2"/>
        <v xml:space="preserve"> 1 
2 1 
2 1 
2 1 
2</v>
      </c>
      <c r="I65" s="192" t="str">
        <f>"На гл."&amp;ROUND((НКТ-20),0)&amp;"м  произвести вывод НКА на рабочий режим, восстановить устойчивую циркуляцию промывочной жидкости (тех.вода 1,02г/см3)"</f>
        <v>На гл.1081м  произвести вывод НКА на рабочий режим, восстановить устойчивую циркуляцию промывочной жидкости (тех.вода 1,02г/см3)</v>
      </c>
      <c r="J65" s="192" t="s">
        <v>131</v>
      </c>
      <c r="K65" s="145"/>
      <c r="L65" s="145"/>
    </row>
    <row r="66" spans="1:12" s="115" customFormat="1" ht="58.5" customHeight="1" x14ac:dyDescent="0.2">
      <c r="A66" s="481"/>
      <c r="B66" s="149" t="s">
        <v>136</v>
      </c>
      <c r="C66" s="124"/>
      <c r="E66" s="115">
        <f t="shared" si="3"/>
        <v>328</v>
      </c>
      <c r="F66" s="115">
        <f t="shared" si="0"/>
        <v>4</v>
      </c>
      <c r="G66" s="116" t="str">
        <f t="shared" si="1"/>
        <v xml:space="preserve"> 1 
2</v>
      </c>
      <c r="H66" s="116" t="str">
        <f t="shared" si="2"/>
        <v xml:space="preserve"> 1 
2 1 
2 1 
2 1 
2</v>
      </c>
      <c r="I66" s="191"/>
      <c r="J66" s="191"/>
      <c r="K66" s="145"/>
      <c r="L66" s="145"/>
    </row>
    <row r="67" spans="1:12" s="115" customFormat="1" ht="38.25" x14ac:dyDescent="0.2">
      <c r="A67" s="150">
        <v>22</v>
      </c>
      <c r="B67" s="131" t="s">
        <v>423</v>
      </c>
      <c r="C67" s="124" t="s">
        <v>33</v>
      </c>
      <c r="E67" s="115">
        <f t="shared" si="3"/>
        <v>165</v>
      </c>
      <c r="F67" s="115">
        <f t="shared" ref="F67:F122" si="4">CEILING(E67/100,1)</f>
        <v>2</v>
      </c>
      <c r="G67" s="116" t="str">
        <f t="shared" si="1"/>
        <v xml:space="preserve"> 1 
2</v>
      </c>
      <c r="H67" s="116" t="str">
        <f t="shared" ref="H67:H122" si="5">IF(F67&gt;1,REPT(G67,F67),"-")</f>
        <v xml:space="preserve"> 1 
2 1 
2</v>
      </c>
      <c r="I67" s="191"/>
      <c r="J67" s="191"/>
      <c r="K67" s="145"/>
      <c r="L67" s="145"/>
    </row>
    <row r="68" spans="1:12" s="115" customFormat="1" ht="51" x14ac:dyDescent="0.2">
      <c r="A68" s="150">
        <v>23</v>
      </c>
      <c r="B68" s="134" t="s">
        <v>424</v>
      </c>
      <c r="C68" s="124" t="s">
        <v>33</v>
      </c>
      <c r="E68" s="115">
        <f t="shared" ref="E68:E122" si="6">IF(B68&gt;0,LENB(B68),LENB(A68))</f>
        <v>267</v>
      </c>
      <c r="F68" s="115">
        <f t="shared" si="4"/>
        <v>3</v>
      </c>
      <c r="G68" s="116" t="str">
        <f t="shared" si="1"/>
        <v xml:space="preserve"> 1 
2</v>
      </c>
      <c r="H68" s="116" t="str">
        <f t="shared" si="5"/>
        <v xml:space="preserve"> 1 
2 1 
2 1 
2</v>
      </c>
      <c r="I68" s="192" t="s">
        <v>139</v>
      </c>
      <c r="J68" s="192" t="str">
        <f>" сопровождение гелевой пачки объёмом 0,5-3м3 со скоростью 10 м/мин до гл."&amp;ROUND((НКТ-20),0)&amp;"м"</f>
        <v xml:space="preserve"> сопровождение гелевой пачки объёмом 0,5-3м3 со скоростью 10 м/мин до гл.1081м</v>
      </c>
      <c r="K68" s="151"/>
      <c r="L68" s="145"/>
    </row>
    <row r="69" spans="1:12" s="115" customFormat="1" ht="71.25" customHeight="1" x14ac:dyDescent="0.2">
      <c r="A69" s="150">
        <v>24</v>
      </c>
      <c r="B69" s="152" t="s">
        <v>425</v>
      </c>
      <c r="C69" s="124" t="s">
        <v>33</v>
      </c>
      <c r="E69" s="115">
        <f t="shared" si="6"/>
        <v>367</v>
      </c>
      <c r="F69" s="115">
        <f t="shared" si="4"/>
        <v>4</v>
      </c>
      <c r="G69" s="116" t="str">
        <f t="shared" si="1"/>
        <v xml:space="preserve"> 1 
2</v>
      </c>
      <c r="H69" s="116" t="str">
        <f t="shared" si="5"/>
        <v xml:space="preserve"> 1 
2 1 
2 1 
2 1 
2</v>
      </c>
      <c r="I69" s="191"/>
      <c r="J69" s="191"/>
      <c r="K69" s="145"/>
      <c r="L69" s="145"/>
    </row>
    <row r="70" spans="1:12" s="115" customFormat="1" ht="81" customHeight="1" x14ac:dyDescent="0.2">
      <c r="A70" s="150">
        <v>25</v>
      </c>
      <c r="B70" s="153" t="s">
        <v>90</v>
      </c>
      <c r="C70" s="124" t="s">
        <v>33</v>
      </c>
      <c r="E70" s="115">
        <f t="shared" si="6"/>
        <v>450</v>
      </c>
      <c r="F70" s="115">
        <f t="shared" si="4"/>
        <v>5</v>
      </c>
      <c r="G70" s="116" t="str">
        <f t="shared" si="1"/>
        <v xml:space="preserve"> 1 
2</v>
      </c>
      <c r="H70" s="116" t="str">
        <f t="shared" si="5"/>
        <v xml:space="preserve"> 1 
2 1 
2 1 
2 1 
2 1 
2</v>
      </c>
      <c r="I70" s="191"/>
      <c r="J70" s="191"/>
      <c r="K70" s="145"/>
      <c r="L70" s="145"/>
    </row>
    <row r="71" spans="1:12" s="154" customFormat="1" ht="38.25" x14ac:dyDescent="0.2">
      <c r="A71" s="150">
        <v>26</v>
      </c>
      <c r="B71" s="134" t="s">
        <v>100</v>
      </c>
      <c r="C71" s="130" t="s">
        <v>70</v>
      </c>
      <c r="D71" s="115"/>
      <c r="E71" s="115">
        <f t="shared" si="6"/>
        <v>100</v>
      </c>
      <c r="F71" s="115">
        <f t="shared" si="4"/>
        <v>1</v>
      </c>
      <c r="G71" s="116" t="str">
        <f t="shared" si="1"/>
        <v xml:space="preserve"> 1 
2</v>
      </c>
      <c r="H71" s="116" t="str">
        <f t="shared" si="5"/>
        <v>-</v>
      </c>
      <c r="I71" s="191"/>
      <c r="J71" s="191"/>
      <c r="K71" s="145"/>
      <c r="L71" s="145"/>
    </row>
    <row r="72" spans="1:12" s="154" customFormat="1" ht="51" collapsed="1" x14ac:dyDescent="0.2">
      <c r="A72" s="150">
        <v>27</v>
      </c>
      <c r="B72" s="134" t="s">
        <v>426</v>
      </c>
      <c r="C72" s="128" t="s">
        <v>33</v>
      </c>
      <c r="D72" s="115"/>
      <c r="E72" s="115">
        <f t="shared" si="6"/>
        <v>250</v>
      </c>
      <c r="F72" s="115">
        <f t="shared" si="4"/>
        <v>3</v>
      </c>
      <c r="G72" s="116" t="str">
        <f t="shared" si="1"/>
        <v xml:space="preserve"> 1 
2</v>
      </c>
      <c r="H72" s="116" t="str">
        <f t="shared" si="5"/>
        <v xml:space="preserve"> 1 
2 1 
2 1 
2</v>
      </c>
      <c r="I72" s="191"/>
      <c r="J72" s="191"/>
      <c r="K72" s="145"/>
      <c r="L72" s="145"/>
    </row>
    <row r="73" spans="1:12" s="154" customFormat="1" ht="38.25" x14ac:dyDescent="0.2">
      <c r="A73" s="155">
        <v>28</v>
      </c>
      <c r="B73" s="134" t="s">
        <v>105</v>
      </c>
      <c r="C73" s="130" t="s">
        <v>70</v>
      </c>
      <c r="D73" s="115"/>
      <c r="E73" s="115">
        <f t="shared" si="6"/>
        <v>158</v>
      </c>
      <c r="F73" s="115">
        <f t="shared" si="4"/>
        <v>2</v>
      </c>
      <c r="G73" s="116" t="str">
        <f t="shared" ref="G73:G122" si="7">" 1"&amp;" 
"&amp;"2"</f>
        <v xml:space="preserve"> 1 
2</v>
      </c>
      <c r="H73" s="116" t="str">
        <f t="shared" si="5"/>
        <v xml:space="preserve"> 1 
2 1 
2</v>
      </c>
      <c r="I73" s="191"/>
      <c r="J73" s="191"/>
      <c r="K73" s="145"/>
      <c r="L73" s="145"/>
    </row>
    <row r="74" spans="1:12" s="115" customFormat="1" ht="25.5" x14ac:dyDescent="0.2">
      <c r="A74" s="474" t="s">
        <v>106</v>
      </c>
      <c r="B74" s="475"/>
      <c r="C74" s="476"/>
      <c r="D74" s="146"/>
      <c r="E74" s="115">
        <f t="shared" si="6"/>
        <v>62</v>
      </c>
      <c r="F74" s="115">
        <f t="shared" si="4"/>
        <v>1</v>
      </c>
      <c r="G74" s="116" t="str">
        <f t="shared" si="7"/>
        <v xml:space="preserve"> 1 
2</v>
      </c>
      <c r="H74" s="116" t="str">
        <f t="shared" si="5"/>
        <v>-</v>
      </c>
      <c r="I74" s="191"/>
      <c r="J74" s="191"/>
      <c r="K74" s="145"/>
      <c r="L74" s="145"/>
    </row>
    <row r="75" spans="1:12" ht="76.5" x14ac:dyDescent="0.2">
      <c r="A75" s="122">
        <v>29</v>
      </c>
      <c r="B75" s="140" t="s">
        <v>215</v>
      </c>
      <c r="C75" s="124" t="s">
        <v>33</v>
      </c>
      <c r="E75" s="115">
        <f t="shared" si="6"/>
        <v>461</v>
      </c>
      <c r="F75" s="115">
        <f t="shared" si="4"/>
        <v>5</v>
      </c>
      <c r="G75" s="116" t="str">
        <f t="shared" si="7"/>
        <v xml:space="preserve"> 1 
2</v>
      </c>
      <c r="H75" s="116" t="str">
        <f t="shared" si="5"/>
        <v xml:space="preserve"> 1 
2 1 
2 1 
2 1 
2 1 
2</v>
      </c>
    </row>
    <row r="76" spans="1:12" ht="51" x14ac:dyDescent="0.2">
      <c r="A76" s="122">
        <v>30</v>
      </c>
      <c r="B76" s="134" t="s">
        <v>427</v>
      </c>
      <c r="C76" s="124" t="s">
        <v>33</v>
      </c>
      <c r="E76" s="115">
        <f t="shared" si="6"/>
        <v>296</v>
      </c>
      <c r="F76" s="115">
        <f t="shared" si="4"/>
        <v>3</v>
      </c>
      <c r="G76" s="116" t="str">
        <f t="shared" si="7"/>
        <v xml:space="preserve"> 1 
2</v>
      </c>
      <c r="H76" s="116" t="str">
        <f t="shared" si="5"/>
        <v xml:space="preserve"> 1 
2 1 
2 1 
2</v>
      </c>
    </row>
    <row r="77" spans="1:12" ht="54.75" customHeight="1" x14ac:dyDescent="0.2">
      <c r="A77" s="122">
        <v>31</v>
      </c>
      <c r="B77" s="141" t="s">
        <v>428</v>
      </c>
      <c r="C77" s="124" t="s">
        <v>33</v>
      </c>
      <c r="E77" s="115">
        <f t="shared" si="6"/>
        <v>305</v>
      </c>
      <c r="F77" s="115">
        <f t="shared" si="4"/>
        <v>4</v>
      </c>
      <c r="G77" s="116" t="str">
        <f t="shared" si="7"/>
        <v xml:space="preserve"> 1 
2</v>
      </c>
      <c r="H77" s="116" t="str">
        <f t="shared" si="5"/>
        <v xml:space="preserve"> 1 
2 1 
2 1 
2 1 
2</v>
      </c>
    </row>
    <row r="78" spans="1:12" s="115" customFormat="1" ht="51" x14ac:dyDescent="0.2">
      <c r="A78" s="150">
        <v>32</v>
      </c>
      <c r="B78" s="156" t="s">
        <v>429</v>
      </c>
      <c r="C78" s="124" t="s">
        <v>33</v>
      </c>
      <c r="E78" s="115">
        <f t="shared" si="6"/>
        <v>217</v>
      </c>
      <c r="F78" s="115">
        <f t="shared" si="4"/>
        <v>3</v>
      </c>
      <c r="G78" s="116" t="str">
        <f t="shared" si="7"/>
        <v xml:space="preserve"> 1 
2</v>
      </c>
      <c r="H78" s="116" t="str">
        <f t="shared" si="5"/>
        <v xml:space="preserve"> 1 
2 1 
2 1 
2</v>
      </c>
      <c r="I78" s="191"/>
      <c r="J78" s="191"/>
      <c r="K78" s="145"/>
      <c r="L78" s="145"/>
    </row>
    <row r="79" spans="1:12" s="115" customFormat="1" ht="51" x14ac:dyDescent="0.2">
      <c r="A79" s="150">
        <v>33</v>
      </c>
      <c r="B79" s="134" t="s">
        <v>430</v>
      </c>
      <c r="C79" s="124" t="s">
        <v>33</v>
      </c>
      <c r="E79" s="115">
        <f t="shared" si="6"/>
        <v>277</v>
      </c>
      <c r="F79" s="115">
        <f t="shared" si="4"/>
        <v>3</v>
      </c>
      <c r="G79" s="116" t="str">
        <f t="shared" si="7"/>
        <v xml:space="preserve"> 1 
2</v>
      </c>
      <c r="H79" s="116" t="str">
        <f t="shared" si="5"/>
        <v xml:space="preserve"> 1 
2 1 
2 1 
2</v>
      </c>
      <c r="I79" s="191"/>
      <c r="J79" s="191"/>
      <c r="K79" s="145"/>
      <c r="L79" s="145"/>
    </row>
    <row r="80" spans="1:12" s="115" customFormat="1" ht="38.25" x14ac:dyDescent="0.2">
      <c r="A80" s="150">
        <v>34</v>
      </c>
      <c r="B80" s="134" t="s">
        <v>261</v>
      </c>
      <c r="C80" s="124" t="s">
        <v>33</v>
      </c>
      <c r="E80" s="115">
        <f t="shared" si="6"/>
        <v>191</v>
      </c>
      <c r="F80" s="115">
        <f t="shared" si="4"/>
        <v>2</v>
      </c>
      <c r="G80" s="116" t="str">
        <f t="shared" si="7"/>
        <v xml:space="preserve"> 1 
2</v>
      </c>
      <c r="H80" s="116" t="str">
        <f t="shared" si="5"/>
        <v xml:space="preserve"> 1 
2 1 
2</v>
      </c>
      <c r="I80" s="191"/>
      <c r="J80" s="191"/>
      <c r="K80" s="145"/>
      <c r="L80" s="145"/>
    </row>
    <row r="81" spans="1:12" s="115" customFormat="1" ht="63" customHeight="1" x14ac:dyDescent="0.2">
      <c r="A81" s="150">
        <v>35</v>
      </c>
      <c r="B81" s="134" t="s">
        <v>431</v>
      </c>
      <c r="C81" s="124" t="s">
        <v>33</v>
      </c>
      <c r="E81" s="115">
        <f t="shared" si="6"/>
        <v>277</v>
      </c>
      <c r="F81" s="115">
        <f t="shared" si="4"/>
        <v>3</v>
      </c>
      <c r="G81" s="116" t="str">
        <f t="shared" si="7"/>
        <v xml:space="preserve"> 1 
2</v>
      </c>
      <c r="H81" s="116" t="str">
        <f t="shared" si="5"/>
        <v xml:space="preserve"> 1 
2 1 
2 1 
2</v>
      </c>
      <c r="I81" s="191"/>
      <c r="J81" s="191"/>
      <c r="K81" s="145"/>
      <c r="L81" s="145"/>
    </row>
    <row r="82" spans="1:12" s="115" customFormat="1" ht="60" customHeight="1" x14ac:dyDescent="0.15">
      <c r="A82" s="150">
        <v>36</v>
      </c>
      <c r="B82" s="134" t="s">
        <v>432</v>
      </c>
      <c r="C82" s="124" t="s">
        <v>33</v>
      </c>
      <c r="E82" s="115">
        <f t="shared" si="6"/>
        <v>285</v>
      </c>
      <c r="F82" s="115">
        <f t="shared" si="4"/>
        <v>3</v>
      </c>
      <c r="G82" s="116" t="str">
        <f t="shared" si="7"/>
        <v xml:space="preserve"> 1 
2</v>
      </c>
      <c r="H82" s="116" t="str">
        <f t="shared" si="5"/>
        <v xml:space="preserve"> 1 
2 1 
2 1 
2</v>
      </c>
      <c r="I82" s="193"/>
      <c r="J82" s="193"/>
      <c r="K82" s="145"/>
      <c r="L82" s="145"/>
    </row>
    <row r="83" spans="1:12" s="115" customFormat="1" ht="83.25" customHeight="1" x14ac:dyDescent="0.2">
      <c r="A83" s="150">
        <v>37</v>
      </c>
      <c r="B83" s="134" t="s">
        <v>433</v>
      </c>
      <c r="C83" s="124" t="s">
        <v>33</v>
      </c>
      <c r="D83" s="158"/>
      <c r="E83" s="115">
        <f t="shared" si="6"/>
        <v>414</v>
      </c>
      <c r="F83" s="115">
        <f t="shared" si="4"/>
        <v>5</v>
      </c>
      <c r="G83" s="116" t="str">
        <f t="shared" si="7"/>
        <v xml:space="preserve"> 1 
2</v>
      </c>
      <c r="H83" s="116" t="str">
        <f t="shared" si="5"/>
        <v xml:space="preserve"> 1 
2 1 
2 1 
2 1 
2 1 
2</v>
      </c>
      <c r="I83" s="194"/>
      <c r="J83" s="194"/>
      <c r="K83" s="145"/>
      <c r="L83" s="145"/>
    </row>
    <row r="84" spans="1:12" s="115" customFormat="1" ht="54.75" customHeight="1" x14ac:dyDescent="0.2">
      <c r="A84" s="150">
        <v>38</v>
      </c>
      <c r="B84" s="131" t="s">
        <v>434</v>
      </c>
      <c r="C84" s="124" t="s">
        <v>33</v>
      </c>
      <c r="D84" s="158"/>
      <c r="E84" s="115">
        <f t="shared" si="6"/>
        <v>284</v>
      </c>
      <c r="F84" s="115">
        <f t="shared" si="4"/>
        <v>3</v>
      </c>
      <c r="G84" s="116" t="str">
        <f t="shared" si="7"/>
        <v xml:space="preserve"> 1 
2</v>
      </c>
      <c r="H84" s="116" t="str">
        <f t="shared" si="5"/>
        <v xml:space="preserve"> 1 
2 1 
2 1 
2</v>
      </c>
      <c r="I84" s="194"/>
      <c r="J84" s="194"/>
      <c r="K84" s="145"/>
      <c r="L84" s="145"/>
    </row>
    <row r="85" spans="1:12" s="115" customFormat="1" ht="51" x14ac:dyDescent="0.2">
      <c r="A85" s="150">
        <v>39</v>
      </c>
      <c r="B85" s="134" t="s">
        <v>247</v>
      </c>
      <c r="C85" s="124" t="s">
        <v>33</v>
      </c>
      <c r="E85" s="115">
        <f t="shared" si="6"/>
        <v>205</v>
      </c>
      <c r="F85" s="115">
        <f t="shared" si="4"/>
        <v>3</v>
      </c>
      <c r="G85" s="116" t="str">
        <f t="shared" si="7"/>
        <v xml:space="preserve"> 1 
2</v>
      </c>
      <c r="H85" s="116" t="str">
        <f t="shared" si="5"/>
        <v xml:space="preserve"> 1 
2 1 
2 1 
2</v>
      </c>
      <c r="I85" s="191"/>
      <c r="J85" s="191"/>
      <c r="K85" s="145"/>
      <c r="L85" s="145"/>
    </row>
    <row r="86" spans="1:12" s="115" customFormat="1" ht="51" x14ac:dyDescent="0.2">
      <c r="A86" s="150">
        <v>40</v>
      </c>
      <c r="B86" s="134" t="s">
        <v>435</v>
      </c>
      <c r="C86" s="124" t="s">
        <v>33</v>
      </c>
      <c r="E86" s="115">
        <f>IF(B86&gt;0,LENB(B86),LENB(A86))</f>
        <v>245</v>
      </c>
      <c r="F86" s="115">
        <f>CEILING(E86/100,1)</f>
        <v>3</v>
      </c>
      <c r="G86" s="116" t="str">
        <f t="shared" si="7"/>
        <v xml:space="preserve"> 1 
2</v>
      </c>
      <c r="H86" s="116" t="str">
        <f>IF(F86&gt;1,REPT(G86,F86),"-")</f>
        <v xml:space="preserve"> 1 
2 1 
2 1 
2</v>
      </c>
      <c r="I86" s="191"/>
      <c r="J86" s="191"/>
      <c r="K86" s="145"/>
      <c r="L86" s="145"/>
    </row>
    <row r="87" spans="1:12" s="115" customFormat="1" ht="38.25" x14ac:dyDescent="0.2">
      <c r="A87" s="490" t="s">
        <v>436</v>
      </c>
      <c r="B87" s="475"/>
      <c r="C87" s="476"/>
      <c r="D87" s="146"/>
      <c r="E87" s="115">
        <f t="shared" si="6"/>
        <v>136</v>
      </c>
      <c r="F87" s="115">
        <f t="shared" si="4"/>
        <v>2</v>
      </c>
      <c r="G87" s="116" t="str">
        <f t="shared" si="7"/>
        <v xml:space="preserve"> 1 
2</v>
      </c>
      <c r="H87" s="116" t="str">
        <f t="shared" si="5"/>
        <v xml:space="preserve"> 1 
2 1 
2</v>
      </c>
      <c r="I87" s="191"/>
      <c r="J87" s="191"/>
      <c r="K87" s="145"/>
      <c r="L87" s="145"/>
    </row>
    <row r="88" spans="1:12" s="115" customFormat="1" ht="145.5" customHeight="1" x14ac:dyDescent="0.2">
      <c r="A88" s="159">
        <v>41</v>
      </c>
      <c r="B88" s="160" t="s">
        <v>437</v>
      </c>
      <c r="C88" s="161" t="s">
        <v>33</v>
      </c>
      <c r="D88" s="158"/>
      <c r="E88" s="115">
        <f t="shared" si="6"/>
        <v>915</v>
      </c>
      <c r="F88" s="115">
        <f t="shared" si="4"/>
        <v>10</v>
      </c>
      <c r="G88" s="116" t="str">
        <f t="shared" si="7"/>
        <v xml:space="preserve"> 1 
2</v>
      </c>
      <c r="H88" s="116" t="str">
        <f t="shared" si="5"/>
        <v xml:space="preserve"> 1 
2 1 
2 1 
2 1 
2 1 
2 1 
2 1 
2 1 
2 1 
2 1 
2</v>
      </c>
      <c r="I88" s="195" t="s">
        <v>132</v>
      </c>
      <c r="J88" s="195" t="str">
        <f>"Произвести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гл."&amp;ROUND((НКТ-20),0)&amp;"м. "</f>
        <v xml:space="preserve">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гл.1081м. </v>
      </c>
      <c r="K88" s="162" t="s">
        <v>137</v>
      </c>
      <c r="L88" s="162" t="str">
        <f>"циркуляцию азотированной смеси. Доспустить КНК-1 с циркуляцией на азотированной смеси до глубины непрохода КНК-2 и произвести промывку скважины до ""Муфты ГРП №"&amp;номер_послед_МГРП-1&amp;" (№"&amp;(номер_послед_МГРП-2)&amp;".....№2)"" до получения жесткой посадки."</f>
        <v>циркуляцию азотированной смеси. Доспустить КНК-1 с циркуляцией на азотированной смеси до глубины непрохода КНК-2 и произвести промывку скважины до "Муфты ГРП №4 (№3.....№2)" до получения жесткой посадки.</v>
      </c>
    </row>
    <row r="89" spans="1:12" s="113" customFormat="1" ht="68.25" customHeight="1" x14ac:dyDescent="0.2">
      <c r="A89" s="163">
        <v>42</v>
      </c>
      <c r="B89" s="141" t="s">
        <v>438</v>
      </c>
      <c r="C89" s="130" t="s">
        <v>107</v>
      </c>
      <c r="D89" s="115"/>
      <c r="E89" s="115">
        <f t="shared" si="6"/>
        <v>326</v>
      </c>
      <c r="F89" s="115">
        <f t="shared" si="4"/>
        <v>4</v>
      </c>
      <c r="G89" s="116" t="str">
        <f t="shared" si="7"/>
        <v xml:space="preserve"> 1 
2</v>
      </c>
      <c r="H89" s="116" t="str">
        <f t="shared" si="5"/>
        <v xml:space="preserve"> 1 
2 1 
2 1 
2 1 
2</v>
      </c>
      <c r="I89" s="192" t="str">
        <f>"При достижении ""Муфты ГРП №"&amp;номер_послед_МГРП-1&amp;" (№"&amp;(номер_послед_МГРП-2)&amp;".....№2)"" произвести промывку:
- прокачать на циркуляцию по г/трубе вязкую пачку в V=2-3м3;
- "</f>
        <v xml:space="preserve">При достижении "Муфты ГРП №4 (№3.....№2)" произвести промывку:
- прокачать на циркуляцию по г/трубе вязкую пачку в V=2-3м3;
- </v>
      </c>
      <c r="J89" s="192" t="s">
        <v>140</v>
      </c>
      <c r="K89" s="145"/>
      <c r="L89" s="145"/>
    </row>
    <row r="90" spans="1:12" s="113" customFormat="1" ht="38.25" x14ac:dyDescent="0.2">
      <c r="A90" s="164">
        <v>43</v>
      </c>
      <c r="B90" s="165" t="s">
        <v>108</v>
      </c>
      <c r="C90" s="166" t="s">
        <v>33</v>
      </c>
      <c r="D90" s="115"/>
      <c r="E90" s="115">
        <f t="shared" si="6"/>
        <v>151</v>
      </c>
      <c r="F90" s="115">
        <f t="shared" si="4"/>
        <v>2</v>
      </c>
      <c r="G90" s="116" t="str">
        <f t="shared" si="7"/>
        <v xml:space="preserve"> 1 
2</v>
      </c>
      <c r="H90" s="116" t="str">
        <f t="shared" si="5"/>
        <v xml:space="preserve"> 1 
2 1 
2</v>
      </c>
      <c r="I90" s="193"/>
      <c r="J90" s="193"/>
      <c r="K90" s="157"/>
      <c r="L90" s="157"/>
    </row>
    <row r="91" spans="1:12" s="115" customFormat="1" ht="25.5" x14ac:dyDescent="0.2">
      <c r="A91" s="474" t="s">
        <v>239</v>
      </c>
      <c r="B91" s="475"/>
      <c r="C91" s="476"/>
      <c r="D91" s="146"/>
      <c r="E91" s="115">
        <f t="shared" si="6"/>
        <v>26</v>
      </c>
      <c r="F91" s="115">
        <f t="shared" si="4"/>
        <v>1</v>
      </c>
      <c r="G91" s="116" t="str">
        <f t="shared" si="7"/>
        <v xml:space="preserve"> 1 
2</v>
      </c>
      <c r="H91" s="116" t="str">
        <f t="shared" si="5"/>
        <v>-</v>
      </c>
      <c r="I91" s="191"/>
      <c r="J91" s="191"/>
      <c r="K91" s="145"/>
      <c r="L91" s="145"/>
    </row>
    <row r="92" spans="1:12" s="115" customFormat="1" ht="63.75" customHeight="1" x14ac:dyDescent="0.2">
      <c r="A92" s="491" t="s">
        <v>439</v>
      </c>
      <c r="B92" s="491"/>
      <c r="C92" s="491"/>
      <c r="D92" s="158"/>
      <c r="E92" s="115">
        <f t="shared" si="6"/>
        <v>371</v>
      </c>
      <c r="F92" s="115">
        <f t="shared" si="4"/>
        <v>4</v>
      </c>
      <c r="G92" s="116" t="str">
        <f t="shared" si="7"/>
        <v xml:space="preserve"> 1 
2</v>
      </c>
      <c r="H92" s="116" t="str">
        <f t="shared" si="5"/>
        <v xml:space="preserve"> 1 
2 1 
2 1 
2 1 
2</v>
      </c>
      <c r="I92" s="196" t="s">
        <v>141</v>
      </c>
      <c r="J92" s="196" t="str">
        <f>" остановить г/трубу не доходя 50м до воронки и прокачать малый затруб тех.жидкостью (тех.вода 1,02г/см3) в объеме не менее 2х объемов НКТ ("&amp;ROUND(объем_НКТ*2,1)&amp;"м3)."</f>
        <v xml:space="preserve"> остановить г/трубу не доходя 50м до воронки и прокачать малый затруб тех.жидкостью (тех.вода 1,02г/см3) в объеме не менее 2х объемов НКТ (9,6м3).</v>
      </c>
      <c r="K92" s="145"/>
      <c r="L92" s="145"/>
    </row>
    <row r="93" spans="1:12" s="115" customFormat="1" ht="63" customHeight="1" x14ac:dyDescent="0.2">
      <c r="A93" s="163">
        <v>44</v>
      </c>
      <c r="B93" s="141" t="s">
        <v>440</v>
      </c>
      <c r="C93" s="124" t="s">
        <v>33</v>
      </c>
      <c r="D93" s="134"/>
      <c r="E93" s="115">
        <f>IF(B93&gt;0,LENB(B93),LENB(A93))</f>
        <v>328</v>
      </c>
      <c r="F93" s="115">
        <f>CEILING(E93/100,1)</f>
        <v>4</v>
      </c>
      <c r="G93" s="116" t="str">
        <f t="shared" si="7"/>
        <v xml:space="preserve"> 1 
2</v>
      </c>
      <c r="H93" s="116" t="str">
        <f>IF(F93&gt;1,REPT(G93,F93),"-")</f>
        <v xml:space="preserve"> 1 
2 1 
2 1 
2 1 
2</v>
      </c>
      <c r="I93" s="192" t="str">
        <f>"После окончания проработки ""МГРП №2 от забоя"" поднять КНК-2 до гл."&amp;ROUND((НКТ-20),0)&amp;"м.
"</f>
        <v xml:space="preserve">После окончания проработки "МГРП №2 от забоя" поднять КНК-2 до гл.1081м.
</v>
      </c>
      <c r="J93" s="189" t="s">
        <v>363</v>
      </c>
      <c r="K93" s="236" t="str">
        <f>" выполнение п."&amp;A98&amp;"-"&amp;A111&amp;"."</f>
        <v xml:space="preserve"> выполнение п.47-57.</v>
      </c>
      <c r="L93" s="145"/>
    </row>
    <row r="94" spans="1:12" s="115" customFormat="1" ht="35.25" customHeight="1" x14ac:dyDescent="0.2">
      <c r="A94" s="163">
        <v>45</v>
      </c>
      <c r="B94" s="134" t="s">
        <v>358</v>
      </c>
      <c r="C94" s="124" t="s">
        <v>33</v>
      </c>
      <c r="D94" s="134"/>
      <c r="E94" s="115">
        <f t="shared" si="6"/>
        <v>125</v>
      </c>
      <c r="F94" s="115">
        <f t="shared" si="4"/>
        <v>2</v>
      </c>
      <c r="G94" s="116" t="str">
        <f t="shared" si="7"/>
        <v xml:space="preserve"> 1 
2</v>
      </c>
      <c r="H94" s="116" t="str">
        <f t="shared" si="5"/>
        <v xml:space="preserve"> 1 
2 1 
2</v>
      </c>
      <c r="I94" s="192"/>
      <c r="J94" s="197"/>
      <c r="K94" s="168"/>
      <c r="L94" s="145"/>
    </row>
    <row r="95" spans="1:12" s="115" customFormat="1" ht="30.75" customHeight="1" x14ac:dyDescent="0.2">
      <c r="A95" s="164">
        <v>46</v>
      </c>
      <c r="B95" s="234" t="s">
        <v>142</v>
      </c>
      <c r="C95" s="166" t="s">
        <v>33</v>
      </c>
      <c r="D95" s="140"/>
      <c r="E95" s="115">
        <f t="shared" si="6"/>
        <v>105</v>
      </c>
      <c r="F95" s="115">
        <f t="shared" si="4"/>
        <v>2</v>
      </c>
      <c r="G95" s="116" t="str">
        <f t="shared" si="7"/>
        <v xml:space="preserve"> 1 
2</v>
      </c>
      <c r="H95" s="116" t="str">
        <f t="shared" si="5"/>
        <v xml:space="preserve"> 1 
2 1 
2</v>
      </c>
      <c r="I95" s="192"/>
      <c r="J95" s="197"/>
      <c r="K95" s="168"/>
      <c r="L95" s="145"/>
    </row>
    <row r="96" spans="1:12" s="4" customFormat="1" ht="25.5" x14ac:dyDescent="0.2">
      <c r="A96" s="492" t="s">
        <v>441</v>
      </c>
      <c r="B96" s="493"/>
      <c r="C96" s="494"/>
      <c r="D96" s="202"/>
      <c r="E96" s="4">
        <f>IF(B96&gt;0,LENB(B96),LENB(A96))</f>
        <v>53</v>
      </c>
      <c r="F96" s="4">
        <f>CEILING(E96/100,1)</f>
        <v>1</v>
      </c>
      <c r="G96" s="203" t="str">
        <f t="shared" si="7"/>
        <v xml:space="preserve"> 1 
2</v>
      </c>
      <c r="H96" s="203" t="str">
        <f>IF(F96&gt;1,REPT(G96,F96),"-")</f>
        <v>-</v>
      </c>
      <c r="I96" s="204"/>
      <c r="J96" s="204"/>
      <c r="K96" s="204"/>
      <c r="L96" s="204"/>
    </row>
    <row r="97" spans="1:14" s="115" customFormat="1" ht="25.5" x14ac:dyDescent="0.2">
      <c r="A97" s="474" t="s">
        <v>109</v>
      </c>
      <c r="B97" s="475"/>
      <c r="C97" s="476"/>
      <c r="D97" s="146"/>
      <c r="E97" s="115">
        <f t="shared" si="6"/>
        <v>23</v>
      </c>
      <c r="F97" s="115">
        <f t="shared" si="4"/>
        <v>1</v>
      </c>
      <c r="G97" s="116" t="str">
        <f t="shared" si="7"/>
        <v xml:space="preserve"> 1 
2</v>
      </c>
      <c r="H97" s="116" t="str">
        <f t="shared" si="5"/>
        <v>-</v>
      </c>
      <c r="I97" s="191"/>
      <c r="J97" s="191"/>
      <c r="K97" s="145"/>
      <c r="L97" s="145"/>
    </row>
    <row r="98" spans="1:14" s="115" customFormat="1" ht="40.5" customHeight="1" x14ac:dyDescent="0.2">
      <c r="A98" s="150">
        <v>47</v>
      </c>
      <c r="B98" s="134" t="s">
        <v>442</v>
      </c>
      <c r="C98" s="124" t="s">
        <v>33</v>
      </c>
      <c r="E98" s="115">
        <f t="shared" si="6"/>
        <v>192</v>
      </c>
      <c r="F98" s="115">
        <f t="shared" si="4"/>
        <v>2</v>
      </c>
      <c r="G98" s="116" t="str">
        <f t="shared" si="7"/>
        <v xml:space="preserve"> 1 
2</v>
      </c>
      <c r="H98" s="116" t="str">
        <f t="shared" si="5"/>
        <v xml:space="preserve"> 1 
2 1 
2</v>
      </c>
      <c r="I98" s="198" t="s">
        <v>234</v>
      </c>
      <c r="J98" s="198" t="str">
        <f>J57</f>
        <v>38,1мм</v>
      </c>
      <c r="K98" s="145" t="s">
        <v>233</v>
      </c>
      <c r="L98" s="145"/>
    </row>
    <row r="99" spans="1:14" s="115" customFormat="1" ht="51" x14ac:dyDescent="0.2">
      <c r="A99" s="150">
        <v>48</v>
      </c>
      <c r="B99" s="140" t="s">
        <v>443</v>
      </c>
      <c r="C99" s="124" t="s">
        <v>33</v>
      </c>
      <c r="E99" s="115">
        <f t="shared" si="6"/>
        <v>262</v>
      </c>
      <c r="F99" s="115">
        <f t="shared" si="4"/>
        <v>3</v>
      </c>
      <c r="G99" s="116" t="str">
        <f t="shared" si="7"/>
        <v xml:space="preserve"> 1 
2</v>
      </c>
      <c r="H99" s="116" t="str">
        <f t="shared" si="5"/>
        <v xml:space="preserve"> 1 
2 1 
2 1 
2</v>
      </c>
      <c r="I99" s="191"/>
      <c r="J99" s="191"/>
      <c r="K99" s="145"/>
      <c r="L99" s="145"/>
    </row>
    <row r="100" spans="1:14" s="154" customFormat="1" ht="41.25" customHeight="1" x14ac:dyDescent="0.2">
      <c r="A100" s="481">
        <v>49</v>
      </c>
      <c r="B100" s="140" t="s">
        <v>110</v>
      </c>
      <c r="C100" s="124" t="s">
        <v>33</v>
      </c>
      <c r="D100" s="115"/>
      <c r="E100" s="115">
        <f t="shared" si="6"/>
        <v>201</v>
      </c>
      <c r="F100" s="115">
        <f t="shared" si="4"/>
        <v>3</v>
      </c>
      <c r="G100" s="116" t="str">
        <f t="shared" si="7"/>
        <v xml:space="preserve"> 1 
2</v>
      </c>
      <c r="H100" s="116" t="str">
        <f t="shared" si="5"/>
        <v xml:space="preserve"> 1 
2 1 
2 1 
2</v>
      </c>
      <c r="I100" s="191"/>
      <c r="J100" s="191"/>
      <c r="K100" s="145"/>
      <c r="L100" s="145"/>
    </row>
    <row r="101" spans="1:14" s="154" customFormat="1" ht="68.25" customHeight="1" x14ac:dyDescent="0.2">
      <c r="A101" s="481"/>
      <c r="B101" s="140" t="s">
        <v>266</v>
      </c>
      <c r="C101" s="124" t="s">
        <v>33</v>
      </c>
      <c r="D101" s="115"/>
      <c r="E101" s="115">
        <f t="shared" si="6"/>
        <v>372</v>
      </c>
      <c r="F101" s="115">
        <f t="shared" si="4"/>
        <v>4</v>
      </c>
      <c r="G101" s="116" t="str">
        <f t="shared" si="7"/>
        <v xml:space="preserve"> 1 
2</v>
      </c>
      <c r="H101" s="116" t="str">
        <f t="shared" si="5"/>
        <v xml:space="preserve"> 1 
2 1 
2 1 
2 1 
2</v>
      </c>
      <c r="I101" s="191"/>
      <c r="J101" s="191"/>
      <c r="K101" s="145"/>
      <c r="L101" s="145"/>
    </row>
    <row r="102" spans="1:14" s="154" customFormat="1" ht="38.25" x14ac:dyDescent="0.2">
      <c r="A102" s="163">
        <v>50</v>
      </c>
      <c r="B102" s="140" t="s">
        <v>444</v>
      </c>
      <c r="C102" s="130" t="s">
        <v>33</v>
      </c>
      <c r="D102" s="115"/>
      <c r="E102" s="115">
        <f t="shared" si="6"/>
        <v>157</v>
      </c>
      <c r="F102" s="115">
        <f t="shared" si="4"/>
        <v>2</v>
      </c>
      <c r="G102" s="116" t="str">
        <f t="shared" si="7"/>
        <v xml:space="preserve"> 1 
2</v>
      </c>
      <c r="H102" s="116" t="str">
        <f t="shared" si="5"/>
        <v xml:space="preserve"> 1 
2 1 
2</v>
      </c>
      <c r="I102" s="191"/>
      <c r="J102" s="191"/>
      <c r="K102" s="145"/>
      <c r="L102" s="145"/>
    </row>
    <row r="103" spans="1:14" ht="51" x14ac:dyDescent="0.2">
      <c r="A103" s="122">
        <v>51</v>
      </c>
      <c r="B103" s="152" t="s">
        <v>445</v>
      </c>
      <c r="C103" s="130" t="s">
        <v>33</v>
      </c>
      <c r="E103" s="115">
        <f t="shared" si="6"/>
        <v>226</v>
      </c>
      <c r="F103" s="115">
        <f t="shared" si="4"/>
        <v>3</v>
      </c>
      <c r="G103" s="116" t="str">
        <f t="shared" si="7"/>
        <v xml:space="preserve"> 1 
2</v>
      </c>
      <c r="H103" s="116" t="str">
        <f t="shared" si="5"/>
        <v xml:space="preserve"> 1 
2 1 
2 1 
2</v>
      </c>
    </row>
    <row r="104" spans="1:14" s="154" customFormat="1" ht="76.5" x14ac:dyDescent="0.2">
      <c r="A104" s="147">
        <v>52</v>
      </c>
      <c r="B104" s="141" t="s">
        <v>446</v>
      </c>
      <c r="C104" s="130" t="s">
        <v>33</v>
      </c>
      <c r="D104" s="115"/>
      <c r="E104" s="115">
        <f t="shared" si="6"/>
        <v>326</v>
      </c>
      <c r="F104" s="115">
        <f t="shared" si="4"/>
        <v>4</v>
      </c>
      <c r="G104" s="116" t="str">
        <f t="shared" si="7"/>
        <v xml:space="preserve"> 1 
2</v>
      </c>
      <c r="H104" s="116" t="str">
        <f t="shared" si="5"/>
        <v xml:space="preserve"> 1 
2 1 
2 1 
2 1 
2</v>
      </c>
      <c r="I104" s="192" t="str">
        <f>"При достижении глубины "&amp;ROUND((забой),0)&amp;"м (или согласованного забоя) произвести промывку в следующем порядке:
- прокачать гелевую пачку в объеме 2-3м3;
- "</f>
        <v xml:space="preserve">При достижении глубины 1459м (или согласованного забоя) произвести промывку в следующем порядке:
- прокачать гелевую пачку в объеме 2-3м3;
- </v>
      </c>
      <c r="J104" s="192" t="s">
        <v>143</v>
      </c>
      <c r="K104" s="145"/>
      <c r="L104" s="145"/>
    </row>
    <row r="105" spans="1:14" s="115" customFormat="1" ht="25.5" x14ac:dyDescent="0.2">
      <c r="A105" s="474" t="s">
        <v>114</v>
      </c>
      <c r="B105" s="475"/>
      <c r="C105" s="476"/>
      <c r="D105" s="146"/>
      <c r="E105" s="115">
        <f t="shared" si="6"/>
        <v>66</v>
      </c>
      <c r="F105" s="115">
        <f t="shared" si="4"/>
        <v>1</v>
      </c>
      <c r="G105" s="116" t="str">
        <f t="shared" si="7"/>
        <v xml:space="preserve"> 1 
2</v>
      </c>
      <c r="H105" s="116" t="str">
        <f t="shared" si="5"/>
        <v>-</v>
      </c>
      <c r="I105" s="191"/>
      <c r="J105" s="191"/>
      <c r="K105" s="145"/>
      <c r="L105" s="145"/>
    </row>
    <row r="106" spans="1:14" ht="38.25" x14ac:dyDescent="0.2">
      <c r="A106" s="136">
        <v>53</v>
      </c>
      <c r="B106" s="167" t="s">
        <v>447</v>
      </c>
      <c r="C106" s="169" t="s">
        <v>33</v>
      </c>
      <c r="E106" s="115">
        <f t="shared" si="6"/>
        <v>182</v>
      </c>
      <c r="F106" s="115">
        <f t="shared" si="4"/>
        <v>2</v>
      </c>
      <c r="G106" s="116" t="str">
        <f t="shared" si="7"/>
        <v xml:space="preserve"> 1 
2</v>
      </c>
      <c r="H106" s="116" t="str">
        <f t="shared" si="5"/>
        <v xml:space="preserve"> 1 
2 1 
2</v>
      </c>
    </row>
    <row r="107" spans="1:14" ht="25.5" x14ac:dyDescent="0.2">
      <c r="A107" s="170">
        <v>54</v>
      </c>
      <c r="B107" s="171" t="s">
        <v>111</v>
      </c>
      <c r="C107" s="130" t="s">
        <v>33</v>
      </c>
      <c r="E107" s="115">
        <f t="shared" si="6"/>
        <v>78</v>
      </c>
      <c r="F107" s="115">
        <f t="shared" si="4"/>
        <v>1</v>
      </c>
      <c r="G107" s="116" t="str">
        <f t="shared" si="7"/>
        <v xml:space="preserve"> 1 
2</v>
      </c>
      <c r="H107" s="116" t="str">
        <f t="shared" si="5"/>
        <v>-</v>
      </c>
    </row>
    <row r="108" spans="1:14" ht="67.5" customHeight="1" x14ac:dyDescent="0.2">
      <c r="A108" s="170">
        <v>55</v>
      </c>
      <c r="B108" s="141" t="s">
        <v>448</v>
      </c>
      <c r="C108" s="130" t="s">
        <v>70</v>
      </c>
      <c r="E108" s="115">
        <f t="shared" si="6"/>
        <v>298</v>
      </c>
      <c r="F108" s="115">
        <f t="shared" si="4"/>
        <v>3</v>
      </c>
      <c r="G108" s="116" t="str">
        <f t="shared" si="7"/>
        <v xml:space="preserve"> 1 
2</v>
      </c>
      <c r="H108" s="116" t="str">
        <f t="shared" si="5"/>
        <v xml:space="preserve"> 1 
2 1 
2 1 
2</v>
      </c>
      <c r="I108" s="199" t="str">
        <f>"После технологического отстоя допустить КНК-1 на г/трубе в скважину «без циркуляции» до гл."&amp;ROUND((забой),0)&amp;"м, забой должен соответствовать ранее нормализованному. "</f>
        <v xml:space="preserve">После технологического отстоя допустить КНК-1 на г/трубе в скважину «без циркуляции» до гл.1459м, забой должен соответствовать ранее нормализованному. </v>
      </c>
      <c r="J108" s="199" t="s">
        <v>144</v>
      </c>
    </row>
    <row r="109" spans="1:14" s="115" customFormat="1" ht="25.5" x14ac:dyDescent="0.2">
      <c r="A109" s="474" t="s">
        <v>113</v>
      </c>
      <c r="B109" s="475"/>
      <c r="C109" s="476"/>
      <c r="D109" s="146"/>
      <c r="E109" s="115">
        <f t="shared" si="6"/>
        <v>24</v>
      </c>
      <c r="F109" s="115">
        <f t="shared" si="4"/>
        <v>1</v>
      </c>
      <c r="G109" s="116" t="str">
        <f t="shared" si="7"/>
        <v xml:space="preserve"> 1 
2</v>
      </c>
      <c r="H109" s="116" t="str">
        <f t="shared" si="5"/>
        <v>-</v>
      </c>
      <c r="I109" s="191"/>
      <c r="J109" s="191"/>
      <c r="K109" s="145"/>
      <c r="L109" s="145"/>
    </row>
    <row r="110" spans="1:14" ht="127.5" customHeight="1" x14ac:dyDescent="0.2">
      <c r="A110" s="170">
        <v>56</v>
      </c>
      <c r="B110" s="141" t="s">
        <v>449</v>
      </c>
      <c r="C110" s="130" t="s">
        <v>70</v>
      </c>
      <c r="E110" s="115">
        <f t="shared" si="6"/>
        <v>748</v>
      </c>
      <c r="F110" s="115">
        <f t="shared" si="4"/>
        <v>8</v>
      </c>
      <c r="G110" s="116" t="str">
        <f t="shared" si="7"/>
        <v xml:space="preserve"> 1 
2</v>
      </c>
      <c r="H110" s="116" t="str">
        <f t="shared" si="5"/>
        <v xml:space="preserve"> 1 
2 1 
2 1 
2 1 
2 1 
2 1 
2 1 
2 1 
2</v>
      </c>
      <c r="I110" s="235" t="s">
        <v>360</v>
      </c>
      <c r="J110" s="235" t="str">
        <f>раствор_глушения&amp;"г/см3 (при Рпл="&amp;ТИТУЛЬНИК!C2&amp;"атм). "</f>
        <v xml:space="preserve">1,23г/см3 (при Рпл=95атм). </v>
      </c>
      <c r="K110" s="235" t="s">
        <v>361</v>
      </c>
      <c r="L110" s="235" t="str">
        <f>"Прокачать на циркуляцию жидкость глушения в объеме не менее "&amp;ROUND(объем_скв,1)&amp;"м3 (трубного пространства)  с одновременным подъемом ГНКТ (с протяжкой ГНКТ перевести хвостовик). "</f>
        <v xml:space="preserve">Прокачать на циркуляцию жидкость глушения в объеме не менее 7,4м3 (трубного пространства)  с одновременным подъемом ГНКТ (с протяжкой ГНКТ перевести хвостовик). </v>
      </c>
      <c r="M110" s="235" t="s">
        <v>359</v>
      </c>
      <c r="N110" s="200"/>
    </row>
    <row r="111" spans="1:14" ht="38.25" x14ac:dyDescent="0.2">
      <c r="A111" s="172">
        <v>57</v>
      </c>
      <c r="B111" s="173" t="s">
        <v>362</v>
      </c>
      <c r="C111" s="130" t="s">
        <v>70</v>
      </c>
      <c r="E111" s="115">
        <f t="shared" si="6"/>
        <v>122</v>
      </c>
      <c r="F111" s="115">
        <f t="shared" si="4"/>
        <v>2</v>
      </c>
      <c r="G111" s="116" t="str">
        <f t="shared" si="7"/>
        <v xml:space="preserve"> 1 
2</v>
      </c>
      <c r="H111" s="116" t="str">
        <f t="shared" si="5"/>
        <v xml:space="preserve"> 1 
2 1 
2</v>
      </c>
    </row>
    <row r="112" spans="1:14" ht="25.5" x14ac:dyDescent="0.2">
      <c r="A112" s="474" t="s">
        <v>240</v>
      </c>
      <c r="B112" s="482"/>
      <c r="C112" s="476"/>
      <c r="E112" s="115">
        <f t="shared" si="6"/>
        <v>34</v>
      </c>
      <c r="F112" s="115">
        <f t="shared" si="4"/>
        <v>1</v>
      </c>
      <c r="G112" s="116" t="str">
        <f t="shared" si="7"/>
        <v xml:space="preserve"> 1 
2</v>
      </c>
      <c r="H112" s="116" t="str">
        <f t="shared" si="5"/>
        <v>-</v>
      </c>
    </row>
    <row r="113" spans="1:10" ht="22.5" customHeight="1" x14ac:dyDescent="0.2">
      <c r="A113" s="170">
        <v>58</v>
      </c>
      <c r="B113" s="125" t="s">
        <v>71</v>
      </c>
      <c r="C113" s="161" t="s">
        <v>33</v>
      </c>
      <c r="E113" s="115">
        <f t="shared" si="6"/>
        <v>48</v>
      </c>
      <c r="F113" s="115">
        <f t="shared" si="4"/>
        <v>1</v>
      </c>
      <c r="G113" s="116" t="str">
        <f t="shared" si="7"/>
        <v xml:space="preserve"> 1 
2</v>
      </c>
      <c r="H113" s="116" t="str">
        <f t="shared" si="5"/>
        <v>-</v>
      </c>
    </row>
    <row r="114" spans="1:10" ht="72.75" customHeight="1" x14ac:dyDescent="0.2">
      <c r="A114" s="170">
        <v>59</v>
      </c>
      <c r="B114" s="125" t="s">
        <v>81</v>
      </c>
      <c r="C114" s="124" t="s">
        <v>33</v>
      </c>
      <c r="E114" s="115">
        <f t="shared" si="6"/>
        <v>377</v>
      </c>
      <c r="F114" s="115">
        <f t="shared" si="4"/>
        <v>4</v>
      </c>
      <c r="G114" s="116" t="str">
        <f t="shared" si="7"/>
        <v xml:space="preserve"> 1 
2</v>
      </c>
      <c r="H114" s="116" t="str">
        <f t="shared" si="5"/>
        <v xml:space="preserve"> 1 
2 1 
2 1 
2 1 
2</v>
      </c>
    </row>
    <row r="115" spans="1:10" ht="25.5" x14ac:dyDescent="0.2">
      <c r="A115" s="170">
        <v>60</v>
      </c>
      <c r="B115" s="125" t="s">
        <v>72</v>
      </c>
      <c r="C115" s="124" t="s">
        <v>33</v>
      </c>
      <c r="E115" s="115">
        <f t="shared" si="6"/>
        <v>53</v>
      </c>
      <c r="F115" s="115">
        <f t="shared" si="4"/>
        <v>1</v>
      </c>
      <c r="G115" s="116" t="str">
        <f t="shared" si="7"/>
        <v xml:space="preserve"> 1 
2</v>
      </c>
      <c r="H115" s="116" t="str">
        <f t="shared" si="5"/>
        <v>-</v>
      </c>
    </row>
    <row r="116" spans="1:10" ht="25.5" x14ac:dyDescent="0.2">
      <c r="A116" s="474" t="s">
        <v>73</v>
      </c>
      <c r="B116" s="475"/>
      <c r="C116" s="476"/>
      <c r="E116" s="115">
        <f t="shared" si="6"/>
        <v>30</v>
      </c>
      <c r="F116" s="115">
        <f t="shared" si="4"/>
        <v>1</v>
      </c>
      <c r="G116" s="116" t="str">
        <f t="shared" si="7"/>
        <v xml:space="preserve"> 1 
2</v>
      </c>
      <c r="H116" s="116" t="str">
        <f t="shared" si="5"/>
        <v>-</v>
      </c>
    </row>
    <row r="117" spans="1:10" ht="102" x14ac:dyDescent="0.2">
      <c r="A117" s="170">
        <v>61</v>
      </c>
      <c r="B117" s="125" t="s">
        <v>138</v>
      </c>
      <c r="C117" s="161" t="s">
        <v>33</v>
      </c>
      <c r="E117" s="115">
        <f t="shared" si="6"/>
        <v>565</v>
      </c>
      <c r="F117" s="115">
        <f t="shared" si="4"/>
        <v>6</v>
      </c>
      <c r="G117" s="116" t="str">
        <f t="shared" si="7"/>
        <v xml:space="preserve"> 1 
2</v>
      </c>
      <c r="H117" s="116" t="str">
        <f t="shared" si="5"/>
        <v xml:space="preserve"> 1 
2 1 
2 1 
2 1 
2 1 
2 1 
2</v>
      </c>
    </row>
    <row r="118" spans="1:10" ht="25.5" x14ac:dyDescent="0.2">
      <c r="A118" s="474" t="s">
        <v>74</v>
      </c>
      <c r="B118" s="475"/>
      <c r="C118" s="476"/>
      <c r="E118" s="115">
        <f t="shared" si="6"/>
        <v>27</v>
      </c>
      <c r="F118" s="115">
        <f t="shared" si="4"/>
        <v>1</v>
      </c>
      <c r="G118" s="116" t="str">
        <f t="shared" si="7"/>
        <v xml:space="preserve"> 1 
2</v>
      </c>
      <c r="H118" s="116" t="str">
        <f t="shared" si="5"/>
        <v>-</v>
      </c>
    </row>
    <row r="119" spans="1:10" ht="76.5" x14ac:dyDescent="0.2">
      <c r="A119" s="170">
        <v>62</v>
      </c>
      <c r="B119" s="174" t="s">
        <v>75</v>
      </c>
      <c r="C119" s="169" t="s">
        <v>76</v>
      </c>
      <c r="E119" s="115">
        <f t="shared" si="6"/>
        <v>411</v>
      </c>
      <c r="F119" s="115">
        <f t="shared" si="4"/>
        <v>5</v>
      </c>
      <c r="G119" s="116" t="str">
        <f t="shared" si="7"/>
        <v xml:space="preserve"> 1 
2</v>
      </c>
      <c r="H119" s="116" t="str">
        <f t="shared" si="5"/>
        <v xml:space="preserve"> 1 
2 1 
2 1 
2 1 
2 1 
2</v>
      </c>
    </row>
    <row r="120" spans="1:10" ht="25.5" x14ac:dyDescent="0.2">
      <c r="A120" s="477" t="s">
        <v>77</v>
      </c>
      <c r="B120" s="478"/>
      <c r="C120" s="479"/>
      <c r="E120" s="115">
        <f t="shared" si="6"/>
        <v>45</v>
      </c>
      <c r="F120" s="115">
        <f t="shared" si="4"/>
        <v>1</v>
      </c>
      <c r="G120" s="116" t="str">
        <f t="shared" si="7"/>
        <v xml:space="preserve"> 1 
2</v>
      </c>
      <c r="H120" s="116" t="str">
        <f t="shared" si="5"/>
        <v>-</v>
      </c>
    </row>
    <row r="121" spans="1:10" ht="216.75" customHeight="1" x14ac:dyDescent="0.2">
      <c r="A121" s="170">
        <v>63</v>
      </c>
      <c r="B121" s="123" t="s">
        <v>205</v>
      </c>
      <c r="C121" s="144" t="s">
        <v>33</v>
      </c>
      <c r="E121" s="115">
        <f t="shared" si="6"/>
        <v>1298</v>
      </c>
      <c r="F121" s="115">
        <f t="shared" si="4"/>
        <v>13</v>
      </c>
      <c r="G121" s="116" t="str">
        <f t="shared" si="7"/>
        <v xml:space="preserve"> 1 
2</v>
      </c>
      <c r="H121" s="116" t="str">
        <f t="shared" si="5"/>
        <v xml:space="preserve"> 1 
2 1 
2 1 
2 1 
2 1 
2 1 
2 1 
2 1 
2 1 
2 1 
2 1 
2 1 
2 1 
2</v>
      </c>
    </row>
    <row r="122" spans="1:10" ht="71.25" customHeight="1" x14ac:dyDescent="0.2">
      <c r="A122" s="172">
        <v>64</v>
      </c>
      <c r="B122" s="175" t="s">
        <v>214</v>
      </c>
      <c r="C122" s="176" t="s">
        <v>33</v>
      </c>
      <c r="E122" s="115">
        <f t="shared" si="6"/>
        <v>402</v>
      </c>
      <c r="F122" s="115">
        <f t="shared" si="4"/>
        <v>5</v>
      </c>
      <c r="G122" s="116" t="str">
        <f t="shared" si="7"/>
        <v xml:space="preserve"> 1 
2</v>
      </c>
      <c r="H122" s="116" t="str">
        <f t="shared" si="5"/>
        <v xml:space="preserve"> 1 
2 1 
2 1 
2 1 
2 1 
2</v>
      </c>
    </row>
    <row r="123" spans="1:10" x14ac:dyDescent="0.2">
      <c r="A123" s="480"/>
      <c r="B123" s="480"/>
      <c r="C123" s="125"/>
      <c r="E123" s="115"/>
      <c r="F123" s="115"/>
      <c r="G123" s="116"/>
      <c r="H123" s="116"/>
    </row>
    <row r="124" spans="1:10" x14ac:dyDescent="0.2">
      <c r="A124" s="177"/>
      <c r="B124" s="178"/>
      <c r="C124" s="179"/>
      <c r="E124" s="115"/>
      <c r="F124" s="115"/>
      <c r="G124" s="116"/>
      <c r="H124" s="116"/>
      <c r="I124" s="37"/>
    </row>
    <row r="125" spans="1:10" x14ac:dyDescent="0.2">
      <c r="A125" s="177"/>
      <c r="B125" s="37"/>
      <c r="C125" s="5"/>
      <c r="E125" s="115"/>
      <c r="F125" s="115"/>
      <c r="G125" s="116"/>
      <c r="H125" s="116"/>
      <c r="I125" s="205"/>
      <c r="J125" s="5"/>
    </row>
    <row r="126" spans="1:10" x14ac:dyDescent="0.2">
      <c r="B126" s="37"/>
      <c r="C126" s="228"/>
      <c r="E126" s="115"/>
      <c r="F126" s="115"/>
      <c r="G126" s="116"/>
      <c r="H126" s="116"/>
      <c r="I126" s="205"/>
      <c r="J126" s="228"/>
    </row>
    <row r="127" spans="1:10" x14ac:dyDescent="0.2">
      <c r="B127" s="37"/>
      <c r="C127" s="228"/>
      <c r="E127" s="115"/>
      <c r="F127" s="115"/>
      <c r="G127" s="116"/>
      <c r="H127" s="116"/>
      <c r="I127" s="205"/>
      <c r="J127" s="228"/>
    </row>
    <row r="128" spans="1:10" x14ac:dyDescent="0.2">
      <c r="B128" s="37"/>
      <c r="C128" s="205"/>
      <c r="E128" s="115"/>
      <c r="F128" s="115"/>
      <c r="G128" s="116"/>
      <c r="H128" s="116"/>
    </row>
  </sheetData>
  <mergeCells count="33">
    <mergeCell ref="A38:C38"/>
    <mergeCell ref="A1:C1"/>
    <mergeCell ref="A2:C2"/>
    <mergeCell ref="A3:C3"/>
    <mergeCell ref="A17:C17"/>
    <mergeCell ref="A22:A23"/>
    <mergeCell ref="C22:C23"/>
    <mergeCell ref="A25:A26"/>
    <mergeCell ref="C25:C26"/>
    <mergeCell ref="A29:C29"/>
    <mergeCell ref="A36:C36"/>
    <mergeCell ref="A37:C37"/>
    <mergeCell ref="A97:C97"/>
    <mergeCell ref="A39:C39"/>
    <mergeCell ref="A46:A47"/>
    <mergeCell ref="C46:C47"/>
    <mergeCell ref="A48:C48"/>
    <mergeCell ref="A56:C56"/>
    <mergeCell ref="A62:C62"/>
    <mergeCell ref="A65:A66"/>
    <mergeCell ref="A74:C74"/>
    <mergeCell ref="A87:C87"/>
    <mergeCell ref="A92:C92"/>
    <mergeCell ref="A96:C96"/>
    <mergeCell ref="A91:C91"/>
    <mergeCell ref="A118:C118"/>
    <mergeCell ref="A120:C120"/>
    <mergeCell ref="A123:B123"/>
    <mergeCell ref="A100:A101"/>
    <mergeCell ref="A105:C105"/>
    <mergeCell ref="A109:C109"/>
    <mergeCell ref="A112:C112"/>
    <mergeCell ref="A116:C116"/>
  </mergeCells>
  <printOptions horizontalCentered="1"/>
  <pageMargins left="0.70866141732283472" right="0.31496062992125984" top="0.35433070866141736" bottom="0.55118110236220474" header="0.31496062992125984" footer="0.31496062992125984"/>
  <pageSetup paperSize="9" scale="85" fitToHeight="8" orientation="portrait" r:id="rId1"/>
  <headerFooter>
    <oddFooter>&amp;Rстр.&amp;P</oddFooter>
  </headerFooter>
  <rowBreaks count="1" manualBreakCount="1">
    <brk id="115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48:C126"/>
  <sheetViews>
    <sheetView topLeftCell="A7" zoomScale="115" zoomScaleNormal="115" workbookViewId="0">
      <selection activeCell="E16" sqref="E16"/>
    </sheetView>
  </sheetViews>
  <sheetFormatPr defaultRowHeight="12.75" x14ac:dyDescent="0.2"/>
  <sheetData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226"/>
      <c r="C50" s="227"/>
    </row>
    <row r="51" spans="2:3" x14ac:dyDescent="0.2">
      <c r="B51" s="3"/>
      <c r="C51" s="3"/>
    </row>
    <row r="52" spans="2:3" x14ac:dyDescent="0.2">
      <c r="B52" s="3"/>
      <c r="C52" s="3"/>
    </row>
    <row r="126" spans="3:3" x14ac:dyDescent="0.2">
      <c r="C126" s="214"/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10:H127"/>
  <sheetViews>
    <sheetView workbookViewId="0">
      <selection activeCell="D24" sqref="D24"/>
    </sheetView>
  </sheetViews>
  <sheetFormatPr defaultRowHeight="12.75" x14ac:dyDescent="0.2"/>
  <sheetData>
    <row r="110" ht="134.25" customHeight="1" x14ac:dyDescent="0.2"/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229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zoomScaleNormal="100" workbookViewId="0">
      <selection activeCell="F11" sqref="F11"/>
    </sheetView>
  </sheetViews>
  <sheetFormatPr defaultRowHeight="12.75" x14ac:dyDescent="0.2"/>
  <cols>
    <col min="1" max="2" width="2.42578125" customWidth="1"/>
    <col min="3" max="3" width="0.140625" customWidth="1"/>
    <col min="4" max="5" width="14" customWidth="1"/>
    <col min="6" max="6" width="96.140625" customWidth="1"/>
    <col min="7" max="7" width="26.42578125" customWidth="1"/>
    <col min="8" max="8" width="9.42578125" customWidth="1"/>
    <col min="9" max="9" width="30.5703125" customWidth="1"/>
    <col min="10" max="10" width="14.85546875" customWidth="1"/>
  </cols>
  <sheetData>
    <row r="1" spans="1:10" ht="21" x14ac:dyDescent="0.2">
      <c r="A1" s="505" t="s">
        <v>347</v>
      </c>
      <c r="B1" s="505"/>
      <c r="C1" s="505"/>
      <c r="D1" s="256" t="s">
        <v>348</v>
      </c>
      <c r="E1" s="256" t="s">
        <v>349</v>
      </c>
      <c r="F1" s="256" t="s">
        <v>350</v>
      </c>
      <c r="G1" s="256" t="s">
        <v>351</v>
      </c>
      <c r="H1" s="256" t="s">
        <v>352</v>
      </c>
      <c r="I1" s="256" t="s">
        <v>353</v>
      </c>
      <c r="J1" s="256" t="s">
        <v>354</v>
      </c>
    </row>
    <row r="2" spans="1:10" x14ac:dyDescent="0.2">
      <c r="A2" s="257" t="s">
        <v>355</v>
      </c>
      <c r="B2" s="505" t="s">
        <v>377</v>
      </c>
      <c r="C2" s="505"/>
      <c r="D2" s="505"/>
      <c r="E2" s="505"/>
      <c r="F2" s="505"/>
      <c r="G2" s="505"/>
      <c r="H2" s="505"/>
      <c r="I2" s="505"/>
      <c r="J2" s="506"/>
    </row>
    <row r="3" spans="1:10" x14ac:dyDescent="0.2">
      <c r="A3" s="258"/>
      <c r="B3" s="257" t="s">
        <v>355</v>
      </c>
      <c r="C3" s="505" t="s">
        <v>378</v>
      </c>
      <c r="D3" s="505"/>
      <c r="E3" s="505"/>
      <c r="F3" s="505"/>
      <c r="G3" s="505"/>
      <c r="H3" s="505"/>
      <c r="I3" s="505"/>
      <c r="J3" s="506"/>
    </row>
    <row r="4" spans="1:10" ht="27" customHeight="1" x14ac:dyDescent="0.2">
      <c r="A4" s="258"/>
      <c r="B4" s="258"/>
      <c r="C4" s="259"/>
      <c r="D4" s="260">
        <v>45045.083333333336</v>
      </c>
      <c r="E4" s="260">
        <v>45045.25</v>
      </c>
      <c r="F4" s="259" t="s">
        <v>379</v>
      </c>
      <c r="G4" s="259" t="s">
        <v>380</v>
      </c>
      <c r="H4" s="259" t="s">
        <v>356</v>
      </c>
      <c r="I4" s="259" t="s">
        <v>381</v>
      </c>
      <c r="J4" s="259"/>
    </row>
    <row r="5" spans="1:10" ht="27" customHeight="1" x14ac:dyDescent="0.2">
      <c r="A5" s="258"/>
      <c r="B5" s="258"/>
      <c r="C5" s="259"/>
      <c r="D5" s="260">
        <v>45045.25</v>
      </c>
      <c r="E5" s="260">
        <v>45045.416666666664</v>
      </c>
      <c r="F5" s="259" t="s">
        <v>382</v>
      </c>
      <c r="G5" s="259" t="s">
        <v>380</v>
      </c>
      <c r="H5" s="259" t="s">
        <v>356</v>
      </c>
      <c r="I5" s="259" t="s">
        <v>381</v>
      </c>
      <c r="J5" s="259"/>
    </row>
    <row r="6" spans="1:10" ht="27" customHeight="1" x14ac:dyDescent="0.2">
      <c r="A6" s="258"/>
      <c r="B6" s="258"/>
      <c r="C6" s="259"/>
      <c r="D6" s="260">
        <v>45045.416666666664</v>
      </c>
      <c r="E6" s="260">
        <v>45045.583333333336</v>
      </c>
      <c r="F6" s="259" t="s">
        <v>383</v>
      </c>
      <c r="G6" s="259" t="s">
        <v>380</v>
      </c>
      <c r="H6" s="259" t="s">
        <v>356</v>
      </c>
      <c r="I6" s="259" t="s">
        <v>381</v>
      </c>
      <c r="J6" s="259"/>
    </row>
    <row r="7" spans="1:10" ht="45.75" customHeight="1" x14ac:dyDescent="0.2">
      <c r="A7" s="258"/>
      <c r="B7" s="258"/>
      <c r="C7" s="259"/>
      <c r="D7" s="260">
        <v>45045.583333333336</v>
      </c>
      <c r="E7" s="260">
        <v>45045.75</v>
      </c>
      <c r="F7" s="259" t="s">
        <v>384</v>
      </c>
      <c r="G7" s="259" t="s">
        <v>380</v>
      </c>
      <c r="H7" s="259" t="s">
        <v>356</v>
      </c>
      <c r="I7" s="259" t="s">
        <v>381</v>
      </c>
      <c r="J7" s="259"/>
    </row>
    <row r="8" spans="1:10" ht="27" customHeight="1" x14ac:dyDescent="0.2">
      <c r="A8" s="258"/>
      <c r="B8" s="258"/>
      <c r="C8" s="259"/>
      <c r="D8" s="260">
        <v>45045.75</v>
      </c>
      <c r="E8" s="260">
        <v>45045.916666666664</v>
      </c>
      <c r="F8" s="259" t="s">
        <v>385</v>
      </c>
      <c r="G8" s="259" t="s">
        <v>380</v>
      </c>
      <c r="H8" s="259" t="s">
        <v>356</v>
      </c>
      <c r="I8" s="259" t="s">
        <v>381</v>
      </c>
      <c r="J8" s="259"/>
    </row>
    <row r="9" spans="1:10" ht="27" customHeight="1" x14ac:dyDescent="0.2">
      <c r="A9" s="258"/>
      <c r="B9" s="258"/>
      <c r="C9" s="259"/>
      <c r="D9" s="260">
        <v>45045.916666666664</v>
      </c>
      <c r="E9" s="260">
        <v>45046.083333333336</v>
      </c>
      <c r="F9" s="259" t="s">
        <v>386</v>
      </c>
      <c r="G9" s="259" t="s">
        <v>380</v>
      </c>
      <c r="H9" s="259" t="s">
        <v>356</v>
      </c>
      <c r="I9" s="259" t="s">
        <v>381</v>
      </c>
      <c r="J9" s="259"/>
    </row>
    <row r="10" spans="1:10" ht="27" customHeight="1" x14ac:dyDescent="0.2">
      <c r="A10" s="258"/>
      <c r="B10" s="258"/>
      <c r="C10" s="259"/>
      <c r="D10" s="260">
        <v>45046.083333333336</v>
      </c>
      <c r="E10" s="260">
        <v>45046.25</v>
      </c>
      <c r="F10" s="259" t="s">
        <v>387</v>
      </c>
      <c r="G10" s="259" t="s">
        <v>380</v>
      </c>
      <c r="H10" s="259" t="s">
        <v>356</v>
      </c>
      <c r="I10" s="259" t="s">
        <v>381</v>
      </c>
      <c r="J10" s="259"/>
    </row>
    <row r="11" spans="1:10" ht="30" customHeight="1" x14ac:dyDescent="0.2">
      <c r="A11" s="258"/>
      <c r="B11" s="258"/>
      <c r="C11" s="259"/>
      <c r="D11" s="260">
        <v>45046.25</v>
      </c>
      <c r="E11" s="260">
        <v>45046.416666666664</v>
      </c>
      <c r="F11" s="262" t="s">
        <v>393</v>
      </c>
      <c r="G11" s="259" t="s">
        <v>380</v>
      </c>
      <c r="H11" s="259" t="s">
        <v>356</v>
      </c>
      <c r="I11" s="259" t="s">
        <v>381</v>
      </c>
      <c r="J11" s="259"/>
    </row>
    <row r="12" spans="1:10" ht="27" customHeight="1" x14ac:dyDescent="0.2">
      <c r="A12" s="258"/>
      <c r="B12" s="258"/>
      <c r="C12" s="259"/>
      <c r="D12" s="260">
        <v>45046.416666666664</v>
      </c>
      <c r="E12" s="260">
        <v>45046.583333333336</v>
      </c>
      <c r="F12" s="259" t="s">
        <v>388</v>
      </c>
      <c r="G12" s="259" t="s">
        <v>380</v>
      </c>
      <c r="H12" s="259" t="s">
        <v>356</v>
      </c>
      <c r="I12" s="259" t="s">
        <v>381</v>
      </c>
      <c r="J12" s="259"/>
    </row>
    <row r="13" spans="1:10" ht="27" customHeight="1" x14ac:dyDescent="0.2">
      <c r="A13" s="258"/>
      <c r="B13" s="258"/>
      <c r="C13" s="259"/>
      <c r="D13" s="260">
        <v>45046.583333333336</v>
      </c>
      <c r="E13" s="260">
        <v>45046.75</v>
      </c>
      <c r="F13" s="259" t="s">
        <v>389</v>
      </c>
      <c r="G13" s="259" t="s">
        <v>380</v>
      </c>
      <c r="H13" s="259" t="s">
        <v>356</v>
      </c>
      <c r="I13" s="259" t="s">
        <v>381</v>
      </c>
      <c r="J13" s="259"/>
    </row>
    <row r="14" spans="1:10" ht="27" customHeight="1" x14ac:dyDescent="0.2">
      <c r="A14" s="258"/>
      <c r="B14" s="258"/>
      <c r="C14" s="259"/>
      <c r="D14" s="260">
        <v>45046.75</v>
      </c>
      <c r="E14" s="260">
        <v>45046.916666666664</v>
      </c>
      <c r="F14" s="259" t="s">
        <v>390</v>
      </c>
      <c r="G14" s="259" t="s">
        <v>380</v>
      </c>
      <c r="H14" s="259" t="s">
        <v>356</v>
      </c>
      <c r="I14" s="259" t="s">
        <v>381</v>
      </c>
      <c r="J14" s="259"/>
    </row>
    <row r="15" spans="1:10" ht="27" customHeight="1" x14ac:dyDescent="0.2">
      <c r="A15" s="258"/>
      <c r="B15" s="258"/>
      <c r="C15" s="259"/>
      <c r="D15" s="260">
        <v>45046.916666666664</v>
      </c>
      <c r="E15" s="260">
        <v>45047.083333333336</v>
      </c>
      <c r="F15" s="259" t="s">
        <v>391</v>
      </c>
      <c r="G15" s="259" t="s">
        <v>380</v>
      </c>
      <c r="H15" s="259" t="s">
        <v>356</v>
      </c>
      <c r="I15" s="259" t="s">
        <v>381</v>
      </c>
      <c r="J15" s="259"/>
    </row>
    <row r="16" spans="1:10" ht="27" customHeight="1" x14ac:dyDescent="0.2">
      <c r="A16" s="258"/>
      <c r="B16" s="258"/>
      <c r="C16" s="259"/>
      <c r="D16" s="260">
        <v>45047.083333333336</v>
      </c>
      <c r="E16" s="260">
        <v>45047.25</v>
      </c>
      <c r="F16" s="259" t="s">
        <v>392</v>
      </c>
      <c r="G16" s="259" t="s">
        <v>380</v>
      </c>
      <c r="H16" s="259" t="s">
        <v>356</v>
      </c>
      <c r="I16" s="259" t="s">
        <v>381</v>
      </c>
      <c r="J16" s="259"/>
    </row>
    <row r="17" spans="1:10" ht="21" x14ac:dyDescent="0.2">
      <c r="A17" s="258"/>
      <c r="B17" s="258"/>
      <c r="C17" s="259"/>
      <c r="D17" s="260">
        <v>45047.25</v>
      </c>
      <c r="E17" s="260">
        <v>45047.416666666664</v>
      </c>
      <c r="F17" s="259"/>
      <c r="G17" s="259" t="s">
        <v>380</v>
      </c>
      <c r="H17" s="259" t="s">
        <v>356</v>
      </c>
      <c r="I17" s="259" t="s">
        <v>381</v>
      </c>
      <c r="J17" s="259"/>
    </row>
    <row r="18" spans="1:10" ht="21" x14ac:dyDescent="0.2">
      <c r="A18" s="258"/>
      <c r="B18" s="258"/>
      <c r="C18" s="259"/>
      <c r="D18" s="260">
        <v>45047.416666666664</v>
      </c>
      <c r="E18" s="260">
        <v>45047.583333333336</v>
      </c>
      <c r="F18" s="259"/>
      <c r="G18" s="259" t="s">
        <v>380</v>
      </c>
      <c r="H18" s="259" t="s">
        <v>356</v>
      </c>
      <c r="I18" s="259" t="s">
        <v>381</v>
      </c>
      <c r="J18" s="259"/>
    </row>
    <row r="19" spans="1:10" ht="21" x14ac:dyDescent="0.2">
      <c r="A19" s="258"/>
      <c r="B19" s="258"/>
      <c r="C19" s="259"/>
      <c r="D19" s="260">
        <v>45047.583333333336</v>
      </c>
      <c r="E19" s="260">
        <v>45047.75</v>
      </c>
      <c r="F19" s="259"/>
      <c r="G19" s="259" t="s">
        <v>380</v>
      </c>
      <c r="H19" s="259" t="s">
        <v>356</v>
      </c>
      <c r="I19" s="259" t="s">
        <v>381</v>
      </c>
      <c r="J19" s="259"/>
    </row>
    <row r="20" spans="1:10" ht="21" x14ac:dyDescent="0.2">
      <c r="A20" s="258"/>
      <c r="B20" s="258"/>
      <c r="C20" s="259"/>
      <c r="D20" s="260">
        <v>45047.75</v>
      </c>
      <c r="E20" s="260">
        <v>45047.916666666664</v>
      </c>
      <c r="F20" s="259"/>
      <c r="G20" s="259" t="s">
        <v>380</v>
      </c>
      <c r="H20" s="259" t="s">
        <v>356</v>
      </c>
      <c r="I20" s="259" t="s">
        <v>381</v>
      </c>
      <c r="J20" s="259"/>
    </row>
    <row r="21" spans="1:10" ht="21" x14ac:dyDescent="0.2">
      <c r="A21" s="261"/>
      <c r="B21" s="261"/>
      <c r="C21" s="259"/>
      <c r="D21" s="260">
        <v>45047.916666666664</v>
      </c>
      <c r="E21" s="260">
        <v>45048.083333333336</v>
      </c>
      <c r="F21" s="259"/>
      <c r="G21" s="259" t="s">
        <v>380</v>
      </c>
      <c r="H21" s="259" t="s">
        <v>356</v>
      </c>
      <c r="I21" s="259" t="s">
        <v>381</v>
      </c>
      <c r="J21" s="259"/>
    </row>
  </sheetData>
  <mergeCells count="3">
    <mergeCell ref="A1:C1"/>
    <mergeCell ref="B2:J2"/>
    <mergeCell ref="C3:J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15</vt:i4>
      </vt:variant>
    </vt:vector>
  </HeadingPairs>
  <TitlesOfParts>
    <vt:vector size="21" baseType="lpstr">
      <vt:lpstr>ТИТУЛЬНИК</vt:lpstr>
      <vt:lpstr>СХЕМА</vt:lpstr>
      <vt:lpstr>процедура</vt:lpstr>
      <vt:lpstr>СХЕМЫ КНК_44,45</vt:lpstr>
      <vt:lpstr>СХЕМЫ КНК_38,1</vt:lpstr>
      <vt:lpstr>Ремонтные работы 11675г</vt:lpstr>
      <vt:lpstr>верх_послед_МГРП</vt:lpstr>
      <vt:lpstr>верх_след_МГРП</vt:lpstr>
      <vt:lpstr>Два_Vнкт</vt:lpstr>
      <vt:lpstr>забой</vt:lpstr>
      <vt:lpstr>м</vt:lpstr>
      <vt:lpstr>низ_послед_МГРП</vt:lpstr>
      <vt:lpstr>НКТ</vt:lpstr>
      <vt:lpstr>номер_послед_МГРП</vt:lpstr>
      <vt:lpstr>процедура!Область_печати</vt:lpstr>
      <vt:lpstr>СХЕМА!Область_печати</vt:lpstr>
      <vt:lpstr>ТИТУЛЬНИК!Область_печати</vt:lpstr>
      <vt:lpstr>объем_НКТ</vt:lpstr>
      <vt:lpstr>раб_объем</vt:lpstr>
      <vt:lpstr>раствор_глушения</vt:lpstr>
      <vt:lpstr>стингер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Инженер-геолог</dc:creator>
  <cp:lastModifiedBy>Зуфаров Ильмир М.</cp:lastModifiedBy>
  <cp:lastPrinted>2023-03-10T04:25:58Z</cp:lastPrinted>
  <dcterms:created xsi:type="dcterms:W3CDTF">2011-10-28T10:12:23Z</dcterms:created>
  <dcterms:modified xsi:type="dcterms:W3CDTF">2024-02-21T04:48:54Z</dcterms:modified>
</cp:coreProperties>
</file>