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11055" yWindow="0" windowWidth="11055" windowHeight="11760"/>
  </bookViews>
  <sheets>
    <sheet name="Лист1" sheetId="1" r:id="rId1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1" i="1" l="1"/>
  <c r="A155" i="1" l="1"/>
  <c r="B16" i="1"/>
  <c r="B34" i="1"/>
  <c r="C56" i="1"/>
  <c r="C55" i="1"/>
  <c r="B338" i="1" l="1"/>
  <c r="B335" i="1"/>
  <c r="B334" i="1"/>
  <c r="B333" i="1"/>
  <c r="B332" i="1"/>
  <c r="B199" i="1"/>
  <c r="C321" i="1"/>
  <c r="C318" i="1"/>
  <c r="C314" i="1" s="1"/>
  <c r="B309" i="1"/>
  <c r="B326" i="1" s="1"/>
  <c r="F306" i="1"/>
  <c r="I306" i="1" s="1"/>
  <c r="I305" i="1" s="1"/>
  <c r="F304" i="1"/>
  <c r="I304" i="1" s="1"/>
  <c r="F302" i="1"/>
  <c r="I302" i="1" s="1"/>
  <c r="F300" i="1"/>
  <c r="I300" i="1" s="1"/>
  <c r="F297" i="1"/>
  <c r="I297" i="1" s="1"/>
  <c r="J297" i="1" s="1"/>
  <c r="F296" i="1"/>
  <c r="I296" i="1" s="1"/>
  <c r="F294" i="1"/>
  <c r="I294" i="1" s="1"/>
  <c r="J294" i="1" s="1"/>
  <c r="J293" i="1" s="1"/>
  <c r="J292" i="1" s="1"/>
  <c r="F291" i="1"/>
  <c r="I291" i="1" s="1"/>
  <c r="F290" i="1"/>
  <c r="I290" i="1" s="1"/>
  <c r="J290" i="1" s="1"/>
  <c r="F288" i="1"/>
  <c r="I288" i="1" s="1"/>
  <c r="F286" i="1"/>
  <c r="I286" i="1" s="1"/>
  <c r="J286" i="1" s="1"/>
  <c r="F285" i="1"/>
  <c r="I285" i="1" s="1"/>
  <c r="J285" i="1" s="1"/>
  <c r="F283" i="1"/>
  <c r="I283" i="1" s="1"/>
  <c r="J283" i="1" s="1"/>
  <c r="F282" i="1"/>
  <c r="I282" i="1" s="1"/>
  <c r="F281" i="1"/>
  <c r="I281" i="1" s="1"/>
  <c r="J281" i="1" s="1"/>
  <c r="I299" i="1" l="1"/>
  <c r="I298" i="1" s="1"/>
  <c r="J300" i="1"/>
  <c r="J299" i="1" s="1"/>
  <c r="B324" i="1"/>
  <c r="B337" i="1" s="1"/>
  <c r="B341" i="1" s="1"/>
  <c r="B343" i="1"/>
  <c r="B342" i="1"/>
  <c r="I287" i="1"/>
  <c r="J288" i="1"/>
  <c r="J287" i="1" s="1"/>
  <c r="I303" i="1"/>
  <c r="J304" i="1"/>
  <c r="J303" i="1" s="1"/>
  <c r="J291" i="1"/>
  <c r="J289" i="1" s="1"/>
  <c r="I289" i="1"/>
  <c r="I301" i="1"/>
  <c r="J302" i="1"/>
  <c r="J301" i="1" s="1"/>
  <c r="J298" i="1" s="1"/>
  <c r="I280" i="1"/>
  <c r="J282" i="1"/>
  <c r="J280" i="1" s="1"/>
  <c r="I295" i="1"/>
  <c r="J296" i="1"/>
  <c r="J295" i="1" s="1"/>
  <c r="I293" i="1"/>
  <c r="I292" i="1" s="1"/>
  <c r="J306" i="1"/>
  <c r="J305" i="1" s="1"/>
  <c r="E204" i="1"/>
  <c r="E203" i="1"/>
  <c r="E202" i="1"/>
  <c r="E201" i="1"/>
  <c r="E200" i="1"/>
  <c r="H204" i="1"/>
  <c r="H203" i="1"/>
  <c r="H202" i="1"/>
  <c r="H201" i="1"/>
  <c r="H200" i="1"/>
  <c r="B204" i="1"/>
  <c r="B203" i="1"/>
  <c r="B202" i="1"/>
  <c r="B201" i="1"/>
  <c r="B200" i="1"/>
  <c r="J279" i="1" l="1"/>
  <c r="J278" i="1" s="1"/>
  <c r="B310" i="1" s="1"/>
  <c r="B345" i="1" s="1"/>
  <c r="I279" i="1"/>
  <c r="I278" i="1" s="1"/>
  <c r="B187" i="1"/>
  <c r="H199" i="1"/>
  <c r="E199" i="1"/>
  <c r="B147" i="1"/>
  <c r="B146" i="1" s="1"/>
  <c r="B347" i="1" l="1"/>
  <c r="B351" i="1"/>
  <c r="B352" i="1" s="1"/>
  <c r="E106" i="1"/>
  <c r="H91" i="1"/>
  <c r="G91" i="1" s="1"/>
  <c r="H92" i="1"/>
  <c r="G92" i="1" s="1"/>
  <c r="H93" i="1"/>
  <c r="G93" i="1" s="1"/>
  <c r="H94" i="1"/>
  <c r="G94" i="1" s="1"/>
  <c r="H95" i="1"/>
  <c r="G95" i="1" s="1"/>
  <c r="H96" i="1"/>
  <c r="G96" i="1" s="1"/>
  <c r="H97" i="1"/>
  <c r="G97" i="1" s="1"/>
  <c r="H90" i="1"/>
  <c r="G90" i="1" s="1"/>
  <c r="B32" i="1"/>
  <c r="C42" i="1" s="1"/>
  <c r="E121" i="1"/>
  <c r="E122" i="1"/>
  <c r="E123" i="1"/>
  <c r="E124" i="1"/>
  <c r="E125" i="1"/>
  <c r="E126" i="1"/>
  <c r="E120" i="1"/>
  <c r="E105" i="1"/>
  <c r="E107" i="1"/>
  <c r="E108" i="1"/>
  <c r="E104" i="1"/>
  <c r="C28" i="1"/>
  <c r="G28" i="1" s="1"/>
  <c r="D29" i="1"/>
  <c r="E76" i="1"/>
  <c r="F76" i="1" s="1"/>
  <c r="E77" i="1"/>
  <c r="F77" i="1" s="1"/>
  <c r="E78" i="1"/>
  <c r="F78" i="1" s="1"/>
  <c r="E79" i="1"/>
  <c r="F79" i="1" s="1"/>
  <c r="E90" i="1"/>
  <c r="E91" i="1"/>
  <c r="E92" i="1"/>
  <c r="E93" i="1"/>
  <c r="E94" i="1"/>
  <c r="E95" i="1"/>
  <c r="E96" i="1"/>
  <c r="E97" i="1"/>
  <c r="C98" i="1"/>
  <c r="D98" i="1"/>
  <c r="D136" i="1"/>
  <c r="G136" i="1" s="1"/>
  <c r="D137" i="1"/>
  <c r="G137" i="1" s="1"/>
  <c r="D138" i="1"/>
  <c r="G138" i="1" s="1"/>
  <c r="D139" i="1"/>
  <c r="G139" i="1" s="1"/>
  <c r="D140" i="1"/>
  <c r="G140" i="1" s="1"/>
  <c r="D141" i="1"/>
  <c r="G141" i="1" s="1"/>
  <c r="F98" i="1"/>
  <c r="G27" i="1"/>
  <c r="G26" i="1"/>
  <c r="G25" i="1"/>
  <c r="G24" i="1"/>
  <c r="E69" i="1" s="1"/>
  <c r="F69" i="1" s="1"/>
  <c r="G23" i="1"/>
  <c r="E68" i="1" s="1"/>
  <c r="G143" i="1" l="1"/>
  <c r="B144" i="1" s="1"/>
  <c r="G142" i="1"/>
  <c r="I92" i="1"/>
  <c r="J92" i="1" s="1"/>
  <c r="K92" i="1" s="1"/>
  <c r="I91" i="1"/>
  <c r="J91" i="1" s="1"/>
  <c r="K91" i="1" s="1"/>
  <c r="I96" i="1"/>
  <c r="J96" i="1" s="1"/>
  <c r="K96" i="1" s="1"/>
  <c r="I95" i="1"/>
  <c r="I97" i="1"/>
  <c r="J97" i="1" s="1"/>
  <c r="K97" i="1" s="1"/>
  <c r="I93" i="1"/>
  <c r="J93" i="1" s="1"/>
  <c r="K93" i="1" s="1"/>
  <c r="I94" i="1"/>
  <c r="J94" i="1" s="1"/>
  <c r="K94" i="1" s="1"/>
  <c r="E110" i="1"/>
  <c r="E127" i="1"/>
  <c r="E119" i="1"/>
  <c r="E109" i="1"/>
  <c r="E128" i="1"/>
  <c r="J95" i="1"/>
  <c r="K95" i="1" s="1"/>
  <c r="C59" i="1"/>
  <c r="E75" i="1" s="1"/>
  <c r="E98" i="1"/>
  <c r="F68" i="1"/>
  <c r="E71" i="1"/>
  <c r="F71" i="1" s="1"/>
  <c r="E66" i="1"/>
  <c r="E73" i="1"/>
  <c r="F73" i="1" s="1"/>
  <c r="E72" i="1"/>
  <c r="F72" i="1" s="1"/>
  <c r="E70" i="1"/>
  <c r="F70" i="1" s="1"/>
  <c r="G98" i="1"/>
  <c r="H98" i="1"/>
  <c r="F75" i="1"/>
  <c r="G29" i="1"/>
  <c r="E129" i="1" l="1"/>
  <c r="E111" i="1"/>
  <c r="I90" i="1"/>
  <c r="I98" i="1" s="1"/>
  <c r="F67" i="1"/>
  <c r="F66" i="1"/>
  <c r="C44" i="1"/>
  <c r="E67" i="1"/>
  <c r="B131" i="1" l="1"/>
  <c r="J90" i="1"/>
  <c r="K90" i="1" s="1"/>
  <c r="K98" i="1" s="1"/>
  <c r="C46" i="1"/>
  <c r="E80" i="1" s="1"/>
  <c r="F80" i="1" s="1"/>
  <c r="C45" i="1"/>
  <c r="E74" i="1" s="1"/>
  <c r="J98" i="1" l="1"/>
  <c r="E81" i="1"/>
  <c r="F74" i="1"/>
  <c r="F81" i="1" s="1"/>
  <c r="C47" i="1"/>
  <c r="B215" i="1" s="1"/>
  <c r="B100" i="1" l="1"/>
  <c r="A151" i="1" s="1"/>
  <c r="B245" i="1"/>
  <c r="B159" i="1" l="1"/>
  <c r="B244" i="1"/>
  <c r="B163" i="1" l="1"/>
  <c r="B167" i="1" s="1"/>
  <c r="B171" i="1" l="1"/>
  <c r="B173" i="1" s="1"/>
  <c r="B177" i="1" s="1"/>
  <c r="B182" i="1" s="1"/>
  <c r="B246" i="1" s="1"/>
  <c r="B186" i="1"/>
  <c r="B247" i="1" l="1"/>
  <c r="B248" i="1" s="1"/>
  <c r="B189" i="1"/>
  <c r="B191" i="1" s="1"/>
  <c r="B212" i="1" l="1"/>
  <c r="B209" i="1"/>
  <c r="E211" i="1"/>
  <c r="H212" i="1"/>
  <c r="E212" i="1"/>
  <c r="E209" i="1"/>
  <c r="H209" i="1"/>
  <c r="H208" i="1"/>
  <c r="B208" i="1"/>
  <c r="H210" i="1"/>
  <c r="E208" i="1"/>
  <c r="H211" i="1"/>
  <c r="E210" i="1"/>
  <c r="B210" i="1"/>
  <c r="B211" i="1"/>
  <c r="H213" i="1" l="1"/>
  <c r="B228" i="1"/>
  <c r="C237" i="1" s="1"/>
  <c r="F213" i="1"/>
  <c r="B217" i="1"/>
  <c r="B218" i="1" s="1"/>
  <c r="B219" i="1" s="1"/>
  <c r="B220" i="1" s="1"/>
  <c r="B235" i="1" l="1"/>
  <c r="B221" i="1"/>
  <c r="B224" i="1"/>
</calcChain>
</file>

<file path=xl/sharedStrings.xml><?xml version="1.0" encoding="utf-8"?>
<sst xmlns="http://schemas.openxmlformats.org/spreadsheetml/2006/main" count="448" uniqueCount="282">
  <si>
    <t>I = Iоб + Iзд + Iна + Iпр</t>
  </si>
  <si>
    <t xml:space="preserve">Наименование оборудования </t>
  </si>
  <si>
    <t>Мдель</t>
  </si>
  <si>
    <t>Цi, руб.</t>
  </si>
  <si>
    <t>nпр i, шт.</t>
  </si>
  <si>
    <t>Ктр</t>
  </si>
  <si>
    <t>Кмнп</t>
  </si>
  <si>
    <t>Первоначальная стоимость (Коб), руб.</t>
  </si>
  <si>
    <t>Серверы</t>
  </si>
  <si>
    <t>Принтер/сканер</t>
  </si>
  <si>
    <t>Модем</t>
  </si>
  <si>
    <t>Ноутбук</t>
  </si>
  <si>
    <t>Настольный компьютер</t>
  </si>
  <si>
    <t>Компьютер ASUS ROG Strix GA15 G15DK-R5800X2080</t>
  </si>
  <si>
    <t>HP LaserJet Pro M428fdn</t>
  </si>
  <si>
    <t>ASUS Vivobook 16X X1603ZA-MB161</t>
  </si>
  <si>
    <t>T100 IX-T100G-2124</t>
  </si>
  <si>
    <t xml:space="preserve">Инвестиции в основные средства </t>
  </si>
  <si>
    <t xml:space="preserve">Наименование инвестиций в 
основные средства </t>
  </si>
  <si>
    <t>Инвестиции, р.</t>
  </si>
  <si>
    <t>Здания/офисное помешение</t>
  </si>
  <si>
    <t>Оборудование</t>
  </si>
  <si>
    <t>Производственный и хоз. Инвентарь</t>
  </si>
  <si>
    <t>Прочее</t>
  </si>
  <si>
    <t>Производственный и хоз. инвентарь</t>
  </si>
  <si>
    <t>Итого:</t>
  </si>
  <si>
    <t>Инвестиции в нематериальные активы</t>
  </si>
  <si>
    <t>Наименование инвестиций в нематериальные активы</t>
  </si>
  <si>
    <t>Стоимость лицензии на 1 рабочее место</t>
  </si>
  <si>
    <t>Общая величина затрат, р</t>
  </si>
  <si>
    <t>Операционная система</t>
  </si>
  <si>
    <t>Программное обеспечение</t>
  </si>
  <si>
    <t>Базы данных</t>
  </si>
  <si>
    <t>I об</t>
  </si>
  <si>
    <t>И другие</t>
  </si>
  <si>
    <t>I зд</t>
  </si>
  <si>
    <t>Цм</t>
  </si>
  <si>
    <t>Sзд</t>
  </si>
  <si>
    <t>-</t>
  </si>
  <si>
    <t>Веб-сайт</t>
  </si>
  <si>
    <t>№ п/п</t>
  </si>
  <si>
    <t>Наименование</t>
  </si>
  <si>
    <t>Шифр</t>
  </si>
  <si>
    <t>1.</t>
  </si>
  <si>
    <t>2.</t>
  </si>
  <si>
    <t>Здания / офисное помещение</t>
  </si>
  <si>
    <t>2.1.</t>
  </si>
  <si>
    <t>2.2.</t>
  </si>
  <si>
    <t>2.3.</t>
  </si>
  <si>
    <t>2.4.</t>
  </si>
  <si>
    <t>2.5.</t>
  </si>
  <si>
    <t>2.6.</t>
  </si>
  <si>
    <t>3.</t>
  </si>
  <si>
    <t>4.</t>
  </si>
  <si>
    <t>Нематериальные актитвы</t>
  </si>
  <si>
    <t>4.1.</t>
  </si>
  <si>
    <t>4.2.</t>
  </si>
  <si>
    <t>4.3.</t>
  </si>
  <si>
    <t>4.4.</t>
  </si>
  <si>
    <t>5.</t>
  </si>
  <si>
    <t>Виды работ</t>
  </si>
  <si>
    <t>Должность</t>
  </si>
  <si>
    <t>Количество дней,требуемых для выполнения работ</t>
  </si>
  <si>
    <t>Число сотрудников</t>
  </si>
  <si>
    <t>Месячная зарплата,р.</t>
  </si>
  <si>
    <t>Налоги и отчисления</t>
  </si>
  <si>
    <t>Расходы на оплату труда,р.</t>
  </si>
  <si>
    <t>Расходы на оплату труда,час,р.</t>
  </si>
  <si>
    <t>Итого</t>
  </si>
  <si>
    <t>Коли_x0002_чество часов, требуемых для выполнения работ в расчете на 1 сотрудника</t>
  </si>
  <si>
    <t>Определя_x0002_ются 
самосто_x0002_ятельно 
исходя из 
того, что 
необходимо 
реализовать 
все стадии 
разработки 
ПО</t>
  </si>
  <si>
    <t>(8) / 176 (176 = 8*22) **</t>
  </si>
  <si>
    <t>(5)* (4)* (9)</t>
  </si>
  <si>
    <t>Разработка ТЗ</t>
  </si>
  <si>
    <t>Бизнес-аналитик</t>
  </si>
  <si>
    <t>Бэк-энд</t>
  </si>
  <si>
    <t>Ведущий разработчик</t>
  </si>
  <si>
    <t>Разработчик</t>
  </si>
  <si>
    <t>Тестировщик</t>
  </si>
  <si>
    <t>Дизайнер UI/ UX</t>
  </si>
  <si>
    <t>Маркетолог</t>
  </si>
  <si>
    <t>Менеджер проектов</t>
  </si>
  <si>
    <t>Наименование сырья(материала)</t>
  </si>
  <si>
    <t>Единица измерения</t>
  </si>
  <si>
    <t>План расхода(за вычетом возвратных отходов)</t>
  </si>
  <si>
    <t>Цена за одну единицу измерения,р.</t>
  </si>
  <si>
    <t>Затраты,р.</t>
  </si>
  <si>
    <t>Всего затрат на сырье и материалы за период разработки и производства программного продукта</t>
  </si>
  <si>
    <t>Норма расхода(за вычетом возвратных отходов)</t>
  </si>
  <si>
    <t>Цену за одну единицу измерения,р.</t>
  </si>
  <si>
    <t>Затраты, р.</t>
  </si>
  <si>
    <t>Количество, шт</t>
  </si>
  <si>
    <t>Мощность единицы</t>
  </si>
  <si>
    <t>Суммарная мощность</t>
  </si>
  <si>
    <t>Кз</t>
  </si>
  <si>
    <t>стоимость 1 кВт*ч</t>
  </si>
  <si>
    <t>Разработка РП</t>
  </si>
  <si>
    <t>Разработка ВД</t>
  </si>
  <si>
    <t>Разработка ТП</t>
  </si>
  <si>
    <t>Разработка ЭП</t>
  </si>
  <si>
    <t>Дополнительная зарабатная плата</t>
  </si>
  <si>
    <t>Общие расходы на оплату труда</t>
  </si>
  <si>
    <t>(10)*15/100</t>
  </si>
  <si>
    <t>Сэл</t>
  </si>
  <si>
    <t>Fэф</t>
  </si>
  <si>
    <t>Fн</t>
  </si>
  <si>
    <t>С учетом Fэф</t>
  </si>
  <si>
    <t>Компьютерная и иная вычислительная техника</t>
  </si>
  <si>
    <t>1. USB-флэш-носитель</t>
  </si>
  <si>
    <t>2. Мышка</t>
  </si>
  <si>
    <t>1. Канцелярские товары</t>
  </si>
  <si>
    <t>2. Бумага</t>
  </si>
  <si>
    <t>3. Чернила для принтера</t>
  </si>
  <si>
    <t>шт</t>
  </si>
  <si>
    <t>1.1. Ручки</t>
  </si>
  <si>
    <t>1.2. Степлер</t>
  </si>
  <si>
    <t>1.3.Дырокол</t>
  </si>
  <si>
    <t>1.4. Блокнот</t>
  </si>
  <si>
    <t>1.5.Скрепки</t>
  </si>
  <si>
    <t>Возвратные отходы (1% от сумы затрат на материальные ценности)</t>
  </si>
  <si>
    <t>Коэффициент для начисления транспортно-заготовительных расходов(1,05% от суммы затрат материальные ценности)</t>
  </si>
  <si>
    <t>Всего затрат на сырье и материалы для изготовления комплекта(минус возвратные)</t>
  </si>
  <si>
    <t>Накладные расходы</t>
  </si>
  <si>
    <t>Прочие расходы</t>
  </si>
  <si>
    <t>Pком</t>
  </si>
  <si>
    <t>Сп = Спр + Рком</t>
  </si>
  <si>
    <t>Спр</t>
  </si>
  <si>
    <t>Пн</t>
  </si>
  <si>
    <t>Цп=Сп + Пн</t>
  </si>
  <si>
    <t>Ц*=Цп</t>
  </si>
  <si>
    <t>Pндс</t>
  </si>
  <si>
    <t>Нндс=20%</t>
  </si>
  <si>
    <t>Цр=Ц* + Рндс</t>
  </si>
  <si>
    <t>4. Коврик для мышки</t>
  </si>
  <si>
    <t>5. Наушники</t>
  </si>
  <si>
    <t>3. Переходник</t>
  </si>
  <si>
    <t>Затраты на материальные ресурсы</t>
  </si>
  <si>
    <t>П=Пед*Nг</t>
  </si>
  <si>
    <t>Nг</t>
  </si>
  <si>
    <t>Н npi</t>
  </si>
  <si>
    <t>Пчi</t>
  </si>
  <si>
    <t>%пр</t>
  </si>
  <si>
    <t>Норма дисконта (d)</t>
  </si>
  <si>
    <t>a0</t>
  </si>
  <si>
    <t>a1</t>
  </si>
  <si>
    <t>a2</t>
  </si>
  <si>
    <t>a3</t>
  </si>
  <si>
    <t>a4</t>
  </si>
  <si>
    <t>P0</t>
  </si>
  <si>
    <t>P1</t>
  </si>
  <si>
    <t>P2</t>
  </si>
  <si>
    <t>P3</t>
  </si>
  <si>
    <t>P4</t>
  </si>
  <si>
    <t>Величина инвестиционного капитала</t>
  </si>
  <si>
    <t>IC0</t>
  </si>
  <si>
    <t>IC ост1</t>
  </si>
  <si>
    <t>IC ост2</t>
  </si>
  <si>
    <t>IC ост3</t>
  </si>
  <si>
    <t>PP</t>
  </si>
  <si>
    <t>NVP</t>
  </si>
  <si>
    <t>IRR</t>
  </si>
  <si>
    <t>NPV1</t>
  </si>
  <si>
    <t>NPV2</t>
  </si>
  <si>
    <t>в</t>
  </si>
  <si>
    <t>а</t>
  </si>
  <si>
    <t>p</t>
  </si>
  <si>
    <t>х</t>
  </si>
  <si>
    <t>2.3 ЭКОНОМИЧЕСКОЕ ОБОСНОВАНИЕ ЭФФЕКТИВНОСТИ РАЗ-РАБОТКИ ПРОГРАММНОГО ПРОДУКТА ДЛЯ ОРГАНИЗАЦИИ-РАЗРАБОТЧИКА</t>
  </si>
  <si>
    <t>2.3.1 РАСЧЕТ ЧИСЛЕННОСТИ ПЕРСОНАЛА</t>
  </si>
  <si>
    <t>2.4. РАСЧЕТ ИНВЕСТИЦИЙ В ОСНОВНЫЕ СРЕДСТВА
И НЕМАТЕРИАЛЬНЫЕ АКТИВЫ</t>
  </si>
  <si>
    <t>2.4.1. РАСЧЕТ ИНВЕСТИЦИЙ В ОБОРУДОВАНИЕ</t>
  </si>
  <si>
    <t>2.4.2. РАСЧЁТ ИНВЕСТИЦИЙ В ЗДАНИЯ</t>
  </si>
  <si>
    <t>2.4.4. РАСЧЕТ ИНВЕСТИЦИЙ В НЕМАТЕРИАЛЬНЫЕ АКТИВЫ</t>
  </si>
  <si>
    <t>2.4.5. РАСЧЕТ АМОРТИЗАЦИИ ОСНОВНЫХ СРЕДСТВ И НЕМАТЕРИАЛЬНЫХ АКТИВОВ</t>
  </si>
  <si>
    <t>2.5. РАСЧЕТ СЕБЕСТОИМОСТИ И ЦЕНЫ ПРОДУКЦИИ С УЧЕТОМ КОСВЕННЫХ НАЛОГОВ</t>
  </si>
  <si>
    <t>2.5.1. РАСЧЕТ СТАТЬИ ЗАТРАТ «РАСХОДЫ НА ОПЛАТУ ТРУДА»</t>
  </si>
  <si>
    <t>2.5.2. РАСЧЁТ СТАТЬИ ЗАТРАТ «МАТЕРИАЛЬНЫЕ РЕСУРСЫ»</t>
  </si>
  <si>
    <t>2.5.3. РАСЧЕТ СТАТЬИ ЗАТРАТ «РАСХОДЫ НА ЭЛЕКТРОЭНЕРГИЮ, ПОТРЕБЛЯЕМУЮ ЭВМ»</t>
  </si>
  <si>
    <t>Расходы на электроэнергию</t>
  </si>
  <si>
    <t>2.5.4 РАСЧЕТ СТАТЬИ ЗАТРАТ «НАКЛАДНЫЕ РАСХОДЫ»</t>
  </si>
  <si>
    <t>2.5.5 РАСЧЕТ СТАТЬИ ЗАТРАТ «ПРОЧИЕ РАСХОДЫ»</t>
  </si>
  <si>
    <t>2.5.6. РАСЧЁТ ЗАТРАТ ПО СТАТЬЕ «КОММЕРЧЕСКИЕ РАСХОДЫ»</t>
  </si>
  <si>
    <t>2.5.7. РАСЧЕТ ПОЛНОЙ СЕБЕСТОИМОСТИ ПРОДУКЦИИ</t>
  </si>
  <si>
    <t>2.5.8. РАСЧЕТ ПРИБЫЛИ НА ЕДИНИЦУ ПРОДУКЦИИ</t>
  </si>
  <si>
    <t>2.5.9. РАСЧЕТ ВНУТРЕННЕЙ ЦЕНЫ ПРЕДПРИЯТИЯ</t>
  </si>
  <si>
    <t>2.5.10.РАСЧЕТ НАЛОГА НА ДОБАВЛЕННУЮ СТОИМОСТЬ</t>
  </si>
  <si>
    <t>2.5.11. РАСЧЕТ ЦЕНЫ РЕАЛИЗАЦИИ ПРОДУКЦИИ</t>
  </si>
  <si>
    <t>2.6. РАСЧЕТ ЧИСТОЙ ПРИБЫЛИ ОТ РЕАЛИЗАЦИИ ПРОЕКТА</t>
  </si>
  <si>
    <t>2.7. АНАЛИЗ ЭФФЕКТИВНОСТИ ПРОЕКТА</t>
  </si>
  <si>
    <t>2.7.1. РАСЧЕТ ПОКАЗАТЕЛЕЙ ЭФФЕКТИВНОСТИ ИНВЕСТИЦИОННОГО ПРОЕКТА С УЧЕТОМ ФАКТОРА ВРЕМЕНИ</t>
  </si>
  <si>
    <t>2.7.1.1. РАСЧЕТ СРОКА ОКУПАЕМОСТИ ИНВЕСТИЦИЙ</t>
  </si>
  <si>
    <t>2.7.1.2. РАСЧЕТ ЧИСТОЙ ТЕКУЩЕЙ СТОИМОСТИ</t>
  </si>
  <si>
    <t>2.7.1.3. РАСЧЕТ ВНУТРЕННЕЙ НОРМЫ РЕНТАБЕЛЬНОСТИ И ИНДЕКСА ДОХОДНОСТИ ИНВЕСТИЦИЙ</t>
  </si>
  <si>
    <t>2.7.2. АНАЛИЗ БЕЗУБЫТОЧНОСТИ ПРОЕКТА</t>
  </si>
  <si>
    <t>IC ост4</t>
  </si>
  <si>
    <t>а5</t>
  </si>
  <si>
    <t>P5</t>
  </si>
  <si>
    <t>IC ост5</t>
  </si>
  <si>
    <t>IC ост4&lt;P5</t>
  </si>
  <si>
    <t>a5</t>
  </si>
  <si>
    <t>d=13,5%</t>
  </si>
  <si>
    <t>d=14%</t>
  </si>
  <si>
    <t>d1=13,5</t>
  </si>
  <si>
    <t>d2=14</t>
  </si>
  <si>
    <t>Индекс доходности инвестиций (Profitability index – PI)</t>
  </si>
  <si>
    <t>Y</t>
  </si>
  <si>
    <t>3 ЭКОНОМИЧЕСКОЕ ОБОСНОВАНИЕ ЭФФЕКТИВНОСТИ
ПРИОБРЕТЕНИЯ ПРОГРАММНОГО ПРОДУКТА</t>
  </si>
  <si>
    <t>3.1. Определение совокупной стоимости владения программным продуктом</t>
  </si>
  <si>
    <t>Код строки</t>
  </si>
  <si>
    <t>Количество лет эксплутации ОС и НМА(капитальных затрат)</t>
  </si>
  <si>
    <t>Стоимость фактически понесенных капитальных затрат с учетом модернизации,бел руб.</t>
  </si>
  <si>
    <t>Среднегодовая стоимость капитальных затрат, бел.руб.(п.2+п.3)/п.1</t>
  </si>
  <si>
    <t>% использования в информационной системе</t>
  </si>
  <si>
    <t>Общая стоимость владения ИС,бел.руб.(п.7*кол-во лет эксплуатации ИС)</t>
  </si>
  <si>
    <t>А</t>
  </si>
  <si>
    <t>Б</t>
  </si>
  <si>
    <t>Стоимость капитальных затрат с учетом модернизации,планируемых до концв срока эксплуатации ИС,бел.руб.</t>
  </si>
  <si>
    <t>Среднегодовая стоимость текущих затрат,бел.руб.</t>
  </si>
  <si>
    <t>Среднегодовая стоимость затрат с учетом их использования в ИС,бел.руб.(п.4+п.5)*п.6</t>
  </si>
  <si>
    <t>Общая величина затрат:</t>
  </si>
  <si>
    <t>1. Затраты на аппаратное обеспечение</t>
  </si>
  <si>
    <t>1.1 Устройства сбора,накопления,обработки,передачи и вывода информации</t>
  </si>
  <si>
    <t>Сервер</t>
  </si>
  <si>
    <t>Дополнительные затраты в том числе:</t>
  </si>
  <si>
    <t>Настройка оборудования</t>
  </si>
  <si>
    <t>Техническая поддержка указанного оборудования</t>
  </si>
  <si>
    <t>1.2 Система защиты информации</t>
  </si>
  <si>
    <t>Программное обеспечение из состава системы защиты информации</t>
  </si>
  <si>
    <t>1.3 Устройства передачи данных и линий</t>
  </si>
  <si>
    <t>Коммутатор</t>
  </si>
  <si>
    <t>Маршрутизатор</t>
  </si>
  <si>
    <t>2.1 Затратиы на системное программное обеспечение,в том числе лицензии на системное ПО</t>
  </si>
  <si>
    <t>3. Прямые затраты на оплату труда</t>
  </si>
  <si>
    <t>ФОТ</t>
  </si>
  <si>
    <t>Налоги</t>
  </si>
  <si>
    <t>4. Техническая инфраструктура ИС</t>
  </si>
  <si>
    <t>4.1 оборудование системы электроснабжения</t>
  </si>
  <si>
    <t>система учета электроэнергии</t>
  </si>
  <si>
    <t>4.2 Оборудование системы пожаротушения</t>
  </si>
  <si>
    <t>установка газового пожаротушения</t>
  </si>
  <si>
    <t>4.3 Оборудование системы видеонаблюдения</t>
  </si>
  <si>
    <t>Видеокамеры</t>
  </si>
  <si>
    <t>4.4 Оборудование системы охранно-пожарной сигнализации</t>
  </si>
  <si>
    <t>система ОПС</t>
  </si>
  <si>
    <t>2. Затраты на программное обеспечение, в том числе лицензии на ПО</t>
  </si>
  <si>
    <t xml:space="preserve"> Microsoft Windows 11</t>
  </si>
  <si>
    <t>Общая стоимость владения ИС,бел.руб</t>
  </si>
  <si>
    <t>3.2. Определение эффекта от приобретения и внедрения программного 
продукта</t>
  </si>
  <si>
    <t>Эз.п</t>
  </si>
  <si>
    <t>Кпр</t>
  </si>
  <si>
    <t>t p без п.с</t>
  </si>
  <si>
    <t>t p с п.с</t>
  </si>
  <si>
    <t>T ч</t>
  </si>
  <si>
    <t>N п</t>
  </si>
  <si>
    <t>Н д</t>
  </si>
  <si>
    <t>Н соц</t>
  </si>
  <si>
    <t>ЗП</t>
  </si>
  <si>
    <t>Нп</t>
  </si>
  <si>
    <t>3.3. Расчет показателей экономической эффективности использования 
программного продукта</t>
  </si>
  <si>
    <t xml:space="preserve">d </t>
  </si>
  <si>
    <t>a 0</t>
  </si>
  <si>
    <t>П чt</t>
  </si>
  <si>
    <t>А гt</t>
  </si>
  <si>
    <t>IC ост0 &lt; P1</t>
  </si>
  <si>
    <t>Таким образом инвестиции окупятся менее чем за год осуществления инвестиционного проекта</t>
  </si>
  <si>
    <r>
      <t>D</t>
    </r>
    <r>
      <rPr>
        <sz val="10.25"/>
        <color theme="1"/>
        <rFont val="Times New Roman"/>
        <family val="1"/>
        <charset val="204"/>
      </rPr>
      <t xml:space="preserve"> Пч</t>
    </r>
  </si>
  <si>
    <r>
      <t>D</t>
    </r>
    <r>
      <rPr>
        <sz val="10.25"/>
        <color theme="1"/>
        <rFont val="Times New Roman"/>
        <family val="1"/>
        <charset val="204"/>
      </rPr>
      <t xml:space="preserve"> З п.с тек</t>
    </r>
  </si>
  <si>
    <t>NPV</t>
  </si>
  <si>
    <t>PI</t>
  </si>
  <si>
    <t>Процентное соотношение к технологическому оборудованию, %</t>
  </si>
  <si>
    <t>Первоначальная стоимость, р.</t>
  </si>
  <si>
    <t>Годовая сумма амортизации, р</t>
  </si>
  <si>
    <t>Нормативный срок службы, лет</t>
  </si>
  <si>
    <t>Определяются самостоятельно</t>
  </si>
  <si>
    <t>Определяются самостоятельно исходя из того, что необходимо реализовать все стадии разработки ПО</t>
  </si>
  <si>
    <t>(3) * 8, где 8 ч – продолжительность рабочего дня</t>
  </si>
  <si>
    <t>По данным открытых источников*</t>
  </si>
  <si>
    <t>48% (в соответствии с законодательством) *</t>
  </si>
  <si>
    <t>С учетом налогов и отчислений и с учетом численности сотрудников</t>
  </si>
  <si>
    <t>ML-специалист</t>
  </si>
  <si>
    <t>TP-Link TL-MR100</t>
  </si>
  <si>
    <t xml:space="preserve">2.4.3. РАСЧЕТ ИНВЕСТИЦИЙ В ОСТАЛЬНЫЕ СЛАГАЕМЫЕ ОСНОВНЫХ СРЕДСТВ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</si>
</sst>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sz val="11"/>
      <color theme="1"/>
      <name val="Calibri"/>
      <family val="2"/>
      <scheme val="minor"/>
    </font>
    <font>
      <sz val="10.25"/>
      <color theme="1"/>
      <name val="Times New Roman"/>
      <family val="1"/>
      <charset val="20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67">
    <xf numFmtId="0" fontId="0" fillId="0" borderId="0" xfId="0"/>
    <xf numFmtId="0" fontId="0" fillId="0" borderId="1" xfId="0" applyBorder="1"/>
    <xf numFmtId="0" fontId="1" fillId="0" borderId="0" xfId="0" applyFont="1"/>
    <xf numFmtId="0" fontId="1" fillId="0" borderId="1" xfId="0" applyFont="1" applyBorder="1"/>
    <xf numFmtId="2" fontId="1" fillId="0" borderId="1" xfId="0" applyNumberFormat="1" applyFont="1" applyBorder="1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 vertical="center"/>
    </xf>
    <xf numFmtId="2" fontId="1" fillId="0" borderId="0" xfId="0" applyNumberFormat="1" applyFont="1"/>
    <xf numFmtId="0" fontId="1" fillId="2" borderId="1" xfId="0" applyFont="1" applyFill="1" applyBorder="1"/>
    <xf numFmtId="2" fontId="0" fillId="0" borderId="1" xfId="0" applyNumberFormat="1" applyBorder="1"/>
    <xf numFmtId="2" fontId="0" fillId="0" borderId="0" xfId="0" applyNumberFormat="1"/>
    <xf numFmtId="0" fontId="0" fillId="0" borderId="0" xfId="0" applyAlignment="1">
      <alignment wrapText="1"/>
    </xf>
    <xf numFmtId="9" fontId="0" fillId="0" borderId="0" xfId="0" applyNumberFormat="1"/>
    <xf numFmtId="10" fontId="0" fillId="0" borderId="0" xfId="0" applyNumberFormat="1"/>
    <xf numFmtId="0" fontId="2" fillId="0" borderId="1" xfId="0" applyFont="1" applyBorder="1"/>
    <xf numFmtId="2" fontId="2" fillId="0" borderId="1" xfId="0" applyNumberFormat="1" applyFont="1" applyBorder="1"/>
    <xf numFmtId="0" fontId="1" fillId="3" borderId="1" xfId="0" applyFont="1" applyFill="1" applyBorder="1" applyAlignment="1">
      <alignment wrapText="1"/>
    </xf>
    <xf numFmtId="2" fontId="1" fillId="0" borderId="1" xfId="0" applyNumberFormat="1" applyFont="1" applyBorder="1" applyAlignment="1">
      <alignment wrapText="1"/>
    </xf>
    <xf numFmtId="0" fontId="0" fillId="4" borderId="1" xfId="0" applyFill="1" applyBorder="1"/>
    <xf numFmtId="0" fontId="0" fillId="4" borderId="0" xfId="0" applyFill="1"/>
    <xf numFmtId="0" fontId="3" fillId="0" borderId="1" xfId="0" applyFont="1" applyBorder="1"/>
    <xf numFmtId="0" fontId="2" fillId="0" borderId="1" xfId="0" applyFont="1" applyBorder="1" applyAlignment="1">
      <alignment wrapText="1"/>
    </xf>
    <xf numFmtId="3" fontId="1" fillId="0" borderId="1" xfId="0" applyNumberFormat="1" applyFont="1" applyBorder="1"/>
    <xf numFmtId="9" fontId="1" fillId="0" borderId="1" xfId="0" applyNumberFormat="1" applyFont="1" applyBorder="1"/>
    <xf numFmtId="10" fontId="1" fillId="0" borderId="1" xfId="0" applyNumberFormat="1" applyFont="1" applyBorder="1"/>
    <xf numFmtId="0" fontId="0" fillId="0" borderId="1" xfId="1" applyNumberFormat="1" applyFont="1" applyBorder="1"/>
    <xf numFmtId="0" fontId="0" fillId="2" borderId="1" xfId="0" applyFill="1" applyBorder="1"/>
    <xf numFmtId="0" fontId="2" fillId="0" borderId="1" xfId="0" applyFont="1" applyBorder="1" applyAlignment="1"/>
    <xf numFmtId="0" fontId="1" fillId="0" borderId="4" xfId="0" applyFont="1" applyBorder="1"/>
    <xf numFmtId="0" fontId="1" fillId="0" borderId="6" xfId="0" applyFont="1" applyBorder="1"/>
    <xf numFmtId="0" fontId="1" fillId="0" borderId="6" xfId="0" applyFont="1" applyBorder="1" applyAlignment="1">
      <alignment wrapText="1"/>
    </xf>
    <xf numFmtId="0" fontId="1" fillId="4" borderId="0" xfId="0" applyFont="1" applyFill="1" applyAlignment="1">
      <alignment horizontal="center" wrapText="1"/>
    </xf>
    <xf numFmtId="0" fontId="1" fillId="4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0" fillId="4" borderId="0" xfId="0" applyFill="1" applyAlignment="1">
      <alignment horizontal="center" wrapText="1"/>
    </xf>
    <xf numFmtId="0" fontId="0" fillId="4" borderId="0" xfId="0" applyFill="1" applyAlignment="1">
      <alignment horizontal="center"/>
    </xf>
    <xf numFmtId="0" fontId="0" fillId="3" borderId="0" xfId="0" applyFill="1" applyAlignment="1">
      <alignment horizontal="center" wrapText="1"/>
    </xf>
    <xf numFmtId="0" fontId="0" fillId="3" borderId="0" xfId="0" applyFill="1" applyAlignment="1">
      <alignment horizontal="center"/>
    </xf>
    <xf numFmtId="0" fontId="1" fillId="0" borderId="2" xfId="0" applyFont="1" applyBorder="1" applyAlignment="1">
      <alignment horizontal="right"/>
    </xf>
    <xf numFmtId="0" fontId="1" fillId="0" borderId="3" xfId="0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1" fillId="0" borderId="2" xfId="0" applyFont="1" applyBorder="1" applyAlignment="1">
      <alignment horizontal="left" wrapText="1"/>
    </xf>
    <xf numFmtId="0" fontId="1" fillId="0" borderId="3" xfId="0" applyFont="1" applyBorder="1" applyAlignment="1">
      <alignment horizontal="left" wrapText="1"/>
    </xf>
    <xf numFmtId="0" fontId="1" fillId="0" borderId="4" xfId="0" applyFont="1" applyBorder="1" applyAlignment="1">
      <alignment horizontal="left" wrapText="1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1" fillId="3" borderId="0" xfId="0" applyFont="1" applyFill="1" applyAlignment="1">
      <alignment horizontal="center" wrapText="1"/>
    </xf>
    <xf numFmtId="0" fontId="1" fillId="3" borderId="0" xfId="0" applyFont="1" applyFill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center"/>
    </xf>
    <xf numFmtId="0" fontId="1" fillId="4" borderId="2" xfId="0" applyFont="1" applyFill="1" applyBorder="1" applyAlignment="1">
      <alignment horizontal="center" wrapText="1"/>
    </xf>
    <xf numFmtId="0" fontId="1" fillId="4" borderId="3" xfId="0" applyFont="1" applyFill="1" applyBorder="1" applyAlignment="1">
      <alignment horizontal="center" wrapText="1"/>
    </xf>
    <xf numFmtId="0" fontId="1" fillId="4" borderId="4" xfId="0" applyFont="1" applyFill="1" applyBorder="1" applyAlignment="1">
      <alignment horizontal="center" wrapText="1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1295400</xdr:colOff>
      <xdr:row>248</xdr:row>
      <xdr:rowOff>118534</xdr:rowOff>
    </xdr:from>
    <xdr:to>
      <xdr:col>4</xdr:col>
      <xdr:colOff>767499</xdr:colOff>
      <xdr:row>268</xdr:row>
      <xdr:rowOff>155294</xdr:rowOff>
    </xdr:to>
    <xdr:pic>
      <xdr:nvPicPr>
        <xdr:cNvPr id="3" name="Рисунок 2">
          <a:extLst>
            <a:ext uri="{FF2B5EF4-FFF2-40B4-BE49-F238E27FC236}">
              <a16:creationId xmlns="" xmlns:a16="http://schemas.microsoft.com/office/drawing/2014/main" id="{B5AA9CCB-64CD-4533-A099-CD7C00EA44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95400" y="54770867"/>
          <a:ext cx="6808466" cy="376209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2"/>
  <sheetViews>
    <sheetView tabSelected="1" topLeftCell="A327" zoomScaleNormal="100" workbookViewId="0">
      <selection activeCell="A314" sqref="A314"/>
    </sheetView>
  </sheetViews>
  <sheetFormatPr defaultRowHeight="15" x14ac:dyDescent="0.25"/>
  <cols>
    <col min="1" max="1" width="38.85546875" customWidth="1"/>
    <col min="2" max="2" width="35" customWidth="1"/>
    <col min="3" max="3" width="20.7109375" customWidth="1"/>
    <col min="4" max="4" width="12.28515625" customWidth="1"/>
    <col min="5" max="5" width="15" customWidth="1"/>
    <col min="6" max="6" width="12.42578125" bestFit="1" customWidth="1"/>
    <col min="7" max="7" width="17.5703125" customWidth="1"/>
    <col min="8" max="8" width="14.7109375" customWidth="1"/>
    <col min="9" max="9" width="18.85546875" customWidth="1"/>
    <col min="10" max="10" width="15.7109375" customWidth="1"/>
  </cols>
  <sheetData>
    <row r="1" spans="1:7" ht="31.15" customHeight="1" x14ac:dyDescent="0.25">
      <c r="A1" s="49" t="s">
        <v>167</v>
      </c>
      <c r="B1" s="49"/>
      <c r="C1" s="49"/>
      <c r="D1" s="49"/>
      <c r="E1" s="49"/>
      <c r="F1" s="2"/>
      <c r="G1" s="2"/>
    </row>
    <row r="2" spans="1:7" x14ac:dyDescent="0.25">
      <c r="A2" s="35" t="s">
        <v>168</v>
      </c>
      <c r="B2" s="35"/>
      <c r="C2" s="35"/>
      <c r="D2" s="35"/>
      <c r="E2" s="35"/>
      <c r="F2" s="2"/>
      <c r="G2" s="2"/>
    </row>
    <row r="3" spans="1:7" x14ac:dyDescent="0.25">
      <c r="A3" s="3" t="s">
        <v>74</v>
      </c>
      <c r="B3" s="3">
        <v>1</v>
      </c>
      <c r="C3" s="2"/>
      <c r="D3" s="2"/>
      <c r="E3" s="2"/>
      <c r="F3" s="2"/>
      <c r="G3" s="2"/>
    </row>
    <row r="4" spans="1:7" x14ac:dyDescent="0.25">
      <c r="A4" s="3" t="s">
        <v>75</v>
      </c>
      <c r="B4" s="3">
        <v>1</v>
      </c>
      <c r="C4" s="2"/>
      <c r="D4" s="2"/>
      <c r="E4" s="2"/>
      <c r="F4" s="2"/>
      <c r="G4" s="2"/>
    </row>
    <row r="5" spans="1:7" x14ac:dyDescent="0.25">
      <c r="A5" s="3" t="s">
        <v>76</v>
      </c>
      <c r="B5" s="3">
        <v>1</v>
      </c>
      <c r="C5" s="2"/>
      <c r="D5" s="2"/>
      <c r="E5" s="2"/>
      <c r="F5" s="2"/>
      <c r="G5" s="2"/>
    </row>
    <row r="6" spans="1:7" x14ac:dyDescent="0.25">
      <c r="A6" s="3" t="s">
        <v>77</v>
      </c>
      <c r="B6" s="3">
        <v>1</v>
      </c>
      <c r="C6" s="2"/>
      <c r="D6" s="2"/>
      <c r="E6" s="2"/>
      <c r="F6" s="2"/>
      <c r="G6" s="2"/>
    </row>
    <row r="7" spans="1:7" x14ac:dyDescent="0.25">
      <c r="A7" s="3" t="s">
        <v>78</v>
      </c>
      <c r="B7" s="3">
        <v>2</v>
      </c>
      <c r="C7" s="2"/>
      <c r="D7" s="2"/>
      <c r="E7" s="2"/>
      <c r="F7" s="2"/>
      <c r="G7" s="2"/>
    </row>
    <row r="8" spans="1:7" x14ac:dyDescent="0.25">
      <c r="A8" s="3" t="s">
        <v>79</v>
      </c>
      <c r="B8" s="3">
        <v>1</v>
      </c>
      <c r="C8" s="2"/>
      <c r="D8" s="2"/>
      <c r="E8" s="2"/>
      <c r="F8" s="2"/>
      <c r="G8" s="2"/>
    </row>
    <row r="9" spans="1:7" x14ac:dyDescent="0.25">
      <c r="A9" s="3" t="s">
        <v>80</v>
      </c>
      <c r="B9" s="3">
        <v>1</v>
      </c>
      <c r="C9" s="2"/>
      <c r="D9" s="2"/>
      <c r="E9" s="2"/>
      <c r="F9" s="2"/>
      <c r="G9" s="2"/>
    </row>
    <row r="10" spans="1:7" x14ac:dyDescent="0.25">
      <c r="A10" s="3" t="s">
        <v>81</v>
      </c>
      <c r="B10" s="3">
        <v>1</v>
      </c>
      <c r="C10" s="2"/>
      <c r="D10" s="2"/>
      <c r="E10" s="2"/>
      <c r="F10" s="2"/>
      <c r="G10" s="2"/>
    </row>
    <row r="11" spans="1:7" x14ac:dyDescent="0.25">
      <c r="A11" s="31" t="s">
        <v>279</v>
      </c>
      <c r="B11" s="3">
        <v>1</v>
      </c>
      <c r="C11" s="2"/>
      <c r="D11" s="2"/>
      <c r="E11" s="2"/>
      <c r="F11" s="2"/>
      <c r="G11" s="2"/>
    </row>
    <row r="12" spans="1:7" ht="15" customHeight="1" x14ac:dyDescent="0.25">
      <c r="A12" s="2"/>
      <c r="B12" s="2"/>
      <c r="C12" s="2"/>
      <c r="D12" s="2"/>
      <c r="E12" s="2"/>
      <c r="F12" s="2"/>
      <c r="G12" s="2"/>
    </row>
    <row r="13" spans="1:7" ht="15.75" customHeight="1" x14ac:dyDescent="0.25">
      <c r="F13" s="2"/>
      <c r="G13" s="2"/>
    </row>
    <row r="14" spans="1:7" ht="27.75" customHeight="1" x14ac:dyDescent="0.25">
      <c r="A14" s="49" t="s">
        <v>169</v>
      </c>
      <c r="B14" s="50"/>
      <c r="C14" s="50"/>
      <c r="D14" s="50"/>
      <c r="E14" s="50"/>
      <c r="F14" s="2"/>
      <c r="G14" s="2"/>
    </row>
    <row r="15" spans="1:7" x14ac:dyDescent="0.25">
      <c r="A15" s="58" t="s">
        <v>0</v>
      </c>
      <c r="B15" s="58"/>
      <c r="C15" s="2"/>
      <c r="D15" s="2"/>
      <c r="E15" s="2"/>
      <c r="F15" s="2"/>
      <c r="G15" s="2"/>
    </row>
    <row r="16" spans="1:7" x14ac:dyDescent="0.25">
      <c r="A16" s="3" t="s">
        <v>33</v>
      </c>
      <c r="B16" s="4">
        <f>G29</f>
        <v>81274.348430000027</v>
      </c>
      <c r="C16" s="2"/>
      <c r="D16" s="2"/>
      <c r="E16" s="2"/>
      <c r="F16" s="2"/>
      <c r="G16" s="2"/>
    </row>
    <row r="17" spans="1:7" x14ac:dyDescent="0.25">
      <c r="A17" s="2"/>
      <c r="B17" s="2"/>
      <c r="C17" s="2"/>
      <c r="D17" s="2"/>
      <c r="E17" s="2"/>
      <c r="F17" s="2"/>
      <c r="G17" s="2"/>
    </row>
    <row r="18" spans="1:7" x14ac:dyDescent="0.25">
      <c r="A18" s="2"/>
      <c r="B18" s="2"/>
      <c r="C18" s="2"/>
      <c r="D18" s="2"/>
      <c r="E18" s="2"/>
      <c r="F18" s="2"/>
      <c r="G18" s="2"/>
    </row>
    <row r="19" spans="1:7" x14ac:dyDescent="0.25">
      <c r="A19" s="2"/>
      <c r="B19" s="2"/>
      <c r="C19" s="2"/>
      <c r="D19" s="2"/>
      <c r="E19" s="2"/>
      <c r="F19" s="2"/>
      <c r="G19" s="2"/>
    </row>
    <row r="21" spans="1:7" x14ac:dyDescent="0.25">
      <c r="A21" s="65" t="s">
        <v>170</v>
      </c>
      <c r="B21" s="65"/>
      <c r="C21" s="65"/>
      <c r="D21" s="65"/>
      <c r="E21" s="65"/>
      <c r="F21" s="65"/>
      <c r="G21" s="65"/>
    </row>
    <row r="22" spans="1:7" ht="48" customHeight="1" x14ac:dyDescent="0.25">
      <c r="A22" s="33" t="s">
        <v>1</v>
      </c>
      <c r="B22" s="32" t="s">
        <v>2</v>
      </c>
      <c r="C22" s="32" t="s">
        <v>3</v>
      </c>
      <c r="D22" s="32" t="s">
        <v>4</v>
      </c>
      <c r="E22" s="32" t="s">
        <v>5</v>
      </c>
      <c r="F22" s="32" t="s">
        <v>6</v>
      </c>
      <c r="G22" s="33" t="s">
        <v>7</v>
      </c>
    </row>
    <row r="23" spans="1:7" x14ac:dyDescent="0.25">
      <c r="A23" s="3" t="s">
        <v>12</v>
      </c>
      <c r="B23" s="3" t="s">
        <v>13</v>
      </c>
      <c r="C23" s="4">
        <v>6150</v>
      </c>
      <c r="D23" s="3">
        <v>8</v>
      </c>
      <c r="E23" s="3">
        <v>1.1000000000000001</v>
      </c>
      <c r="F23" s="3">
        <v>1.1000000000000001</v>
      </c>
      <c r="G23" s="4">
        <f t="shared" ref="G23:G28" si="0">C23*D23*E23*F23</f>
        <v>59532.000000000015</v>
      </c>
    </row>
    <row r="24" spans="1:7" x14ac:dyDescent="0.25">
      <c r="A24" s="3" t="s">
        <v>8</v>
      </c>
      <c r="B24" s="3" t="s">
        <v>16</v>
      </c>
      <c r="C24" s="4">
        <v>2880</v>
      </c>
      <c r="D24" s="3">
        <v>1</v>
      </c>
      <c r="E24" s="3">
        <v>1.1000000000000001</v>
      </c>
      <c r="F24" s="3">
        <v>1.1000000000000001</v>
      </c>
      <c r="G24" s="4">
        <f t="shared" si="0"/>
        <v>3484.8000000000006</v>
      </c>
    </row>
    <row r="25" spans="1:7" x14ac:dyDescent="0.25">
      <c r="A25" s="3" t="s">
        <v>9</v>
      </c>
      <c r="B25" s="3" t="s">
        <v>14</v>
      </c>
      <c r="C25" s="4">
        <v>1841.58</v>
      </c>
      <c r="D25" s="3">
        <v>2</v>
      </c>
      <c r="E25" s="3">
        <v>1.1000000000000001</v>
      </c>
      <c r="F25" s="3">
        <v>1.1000000000000001</v>
      </c>
      <c r="G25" s="4">
        <f t="shared" si="0"/>
        <v>4456.6236000000008</v>
      </c>
    </row>
    <row r="26" spans="1:7" x14ac:dyDescent="0.25">
      <c r="A26" s="3" t="s">
        <v>10</v>
      </c>
      <c r="B26" s="3" t="s">
        <v>280</v>
      </c>
      <c r="C26" s="4">
        <v>205</v>
      </c>
      <c r="D26" s="3">
        <v>2</v>
      </c>
      <c r="E26" s="3">
        <v>1.1000000000000001</v>
      </c>
      <c r="F26" s="3">
        <v>1.1000000000000001</v>
      </c>
      <c r="G26" s="4">
        <f t="shared" si="0"/>
        <v>496.10000000000008</v>
      </c>
    </row>
    <row r="27" spans="1:7" x14ac:dyDescent="0.25">
      <c r="A27" s="3" t="s">
        <v>11</v>
      </c>
      <c r="B27" s="3" t="s">
        <v>15</v>
      </c>
      <c r="C27" s="4">
        <v>2420</v>
      </c>
      <c r="D27" s="3">
        <v>4</v>
      </c>
      <c r="E27" s="3">
        <v>1.1000000000000001</v>
      </c>
      <c r="F27" s="3">
        <v>1.1000000000000001</v>
      </c>
      <c r="G27" s="4">
        <f t="shared" si="0"/>
        <v>11712.800000000001</v>
      </c>
    </row>
    <row r="28" spans="1:7" x14ac:dyDescent="0.25">
      <c r="A28" s="3" t="s">
        <v>34</v>
      </c>
      <c r="B28" s="3"/>
      <c r="C28" s="4">
        <f>13157.23*5/100</f>
        <v>657.86149999999998</v>
      </c>
      <c r="D28" s="3">
        <v>2</v>
      </c>
      <c r="E28" s="3">
        <v>1.1000000000000001</v>
      </c>
      <c r="F28" s="3">
        <v>1.1000000000000001</v>
      </c>
      <c r="G28" s="4">
        <f t="shared" si="0"/>
        <v>1592.0248300000001</v>
      </c>
    </row>
    <row r="29" spans="1:7" x14ac:dyDescent="0.25">
      <c r="A29" s="41" t="s">
        <v>25</v>
      </c>
      <c r="B29" s="43"/>
      <c r="C29" s="3"/>
      <c r="D29" s="3">
        <f>SUM(D23:D28)</f>
        <v>19</v>
      </c>
      <c r="E29" s="3"/>
      <c r="F29" s="3"/>
      <c r="G29" s="4">
        <f>SUM(G23:G28)</f>
        <v>81274.348430000027</v>
      </c>
    </row>
    <row r="30" spans="1:7" x14ac:dyDescent="0.25">
      <c r="A30" s="2"/>
      <c r="B30" s="2"/>
      <c r="C30" s="2"/>
      <c r="D30" s="2"/>
      <c r="E30" s="2"/>
      <c r="F30" s="2"/>
      <c r="G30" s="2"/>
    </row>
    <row r="31" spans="1:7" x14ac:dyDescent="0.25">
      <c r="A31" s="35" t="s">
        <v>171</v>
      </c>
      <c r="B31" s="35"/>
      <c r="C31" s="35"/>
      <c r="D31" s="35"/>
      <c r="E31" s="2"/>
      <c r="F31" s="2"/>
      <c r="G31" s="2"/>
    </row>
    <row r="32" spans="1:7" x14ac:dyDescent="0.25">
      <c r="A32" s="3" t="s">
        <v>35</v>
      </c>
      <c r="B32" s="4">
        <f>B33*B34</f>
        <v>226800</v>
      </c>
      <c r="C32" s="2"/>
      <c r="D32" s="2"/>
      <c r="E32" s="2"/>
      <c r="F32" s="2"/>
      <c r="G32" s="2"/>
    </row>
    <row r="33" spans="1:7" x14ac:dyDescent="0.25">
      <c r="A33" s="3" t="s">
        <v>36</v>
      </c>
      <c r="B33" s="4">
        <v>3150</v>
      </c>
      <c r="C33" s="2"/>
      <c r="D33" s="2"/>
      <c r="E33" s="2"/>
      <c r="F33" s="2"/>
      <c r="G33" s="2"/>
    </row>
    <row r="34" spans="1:7" x14ac:dyDescent="0.25">
      <c r="A34" s="3" t="s">
        <v>37</v>
      </c>
      <c r="B34" s="3">
        <f>60*1.2</f>
        <v>72</v>
      </c>
      <c r="C34" s="2"/>
      <c r="D34" s="2"/>
      <c r="E34" s="2"/>
      <c r="F34" s="2"/>
      <c r="G34" s="2"/>
    </row>
    <row r="35" spans="1:7" x14ac:dyDescent="0.25">
      <c r="A35" s="2"/>
      <c r="B35" s="2"/>
      <c r="C35" s="2"/>
      <c r="D35" s="2"/>
      <c r="E35" s="2"/>
      <c r="F35" s="2"/>
      <c r="G35" s="2"/>
    </row>
    <row r="36" spans="1:7" ht="28.9" customHeight="1" x14ac:dyDescent="0.25">
      <c r="A36" s="34" t="s">
        <v>281</v>
      </c>
      <c r="B36" s="35"/>
      <c r="C36" s="35"/>
      <c r="D36" s="35"/>
      <c r="E36" s="35"/>
      <c r="F36" s="35"/>
      <c r="G36" s="35"/>
    </row>
    <row r="37" spans="1:7" x14ac:dyDescent="0.25">
      <c r="A37" s="2"/>
      <c r="B37" s="2"/>
      <c r="C37" s="2"/>
      <c r="D37" s="2"/>
      <c r="E37" s="2"/>
      <c r="F37" s="2"/>
      <c r="G37" s="2"/>
    </row>
    <row r="38" spans="1:7" x14ac:dyDescent="0.25">
      <c r="A38" s="52" t="s">
        <v>17</v>
      </c>
      <c r="B38" s="53"/>
      <c r="C38" s="54"/>
      <c r="D38" s="2"/>
      <c r="E38" s="2"/>
      <c r="F38" s="2"/>
      <c r="G38" s="2"/>
    </row>
    <row r="39" spans="1:7" x14ac:dyDescent="0.25">
      <c r="A39" s="3"/>
      <c r="B39" s="3"/>
      <c r="C39" s="3"/>
      <c r="D39" s="2"/>
      <c r="E39" s="2"/>
      <c r="F39" s="2"/>
      <c r="G39" s="2"/>
    </row>
    <row r="40" spans="1:7" ht="71.45" customHeight="1" x14ac:dyDescent="0.25">
      <c r="A40" s="7" t="s">
        <v>18</v>
      </c>
      <c r="B40" s="8" t="s">
        <v>269</v>
      </c>
      <c r="C40" s="8" t="s">
        <v>19</v>
      </c>
      <c r="D40" s="2"/>
      <c r="E40" s="2"/>
      <c r="F40" s="2"/>
      <c r="G40" s="2"/>
    </row>
    <row r="41" spans="1:7" x14ac:dyDescent="0.25">
      <c r="A41" s="6">
        <v>1</v>
      </c>
      <c r="B41" s="6">
        <v>2</v>
      </c>
      <c r="C41" s="6">
        <v>3</v>
      </c>
      <c r="D41" s="2"/>
      <c r="E41" s="2"/>
      <c r="F41" s="2"/>
      <c r="G41" s="2"/>
    </row>
    <row r="42" spans="1:7" x14ac:dyDescent="0.25">
      <c r="A42" s="5" t="s">
        <v>20</v>
      </c>
      <c r="B42" s="9" t="s">
        <v>38</v>
      </c>
      <c r="C42" s="4">
        <f>B32</f>
        <v>226800</v>
      </c>
      <c r="D42" s="2"/>
      <c r="E42" s="2"/>
      <c r="F42" s="2"/>
      <c r="G42" s="2"/>
    </row>
    <row r="43" spans="1:7" x14ac:dyDescent="0.25">
      <c r="A43" s="6">
        <v>1</v>
      </c>
      <c r="B43" s="6">
        <v>2</v>
      </c>
      <c r="C43" s="6">
        <v>3</v>
      </c>
      <c r="D43" s="2"/>
      <c r="E43" s="2"/>
      <c r="F43" s="2"/>
      <c r="G43" s="2"/>
    </row>
    <row r="44" spans="1:7" x14ac:dyDescent="0.25">
      <c r="A44" s="3" t="s">
        <v>21</v>
      </c>
      <c r="B44" s="6">
        <v>100</v>
      </c>
      <c r="C44" s="4">
        <f>B16</f>
        <v>81274.348430000027</v>
      </c>
      <c r="D44" s="2"/>
      <c r="E44" s="2"/>
      <c r="F44" s="2"/>
      <c r="G44" s="2"/>
    </row>
    <row r="45" spans="1:7" x14ac:dyDescent="0.25">
      <c r="A45" s="5" t="s">
        <v>24</v>
      </c>
      <c r="B45" s="6">
        <v>3</v>
      </c>
      <c r="C45" s="4">
        <f>C44*B45/100</f>
        <v>2438.2304529000012</v>
      </c>
      <c r="D45" s="2"/>
      <c r="E45" s="2"/>
      <c r="F45" s="2"/>
      <c r="G45" s="2"/>
    </row>
    <row r="46" spans="1:7" x14ac:dyDescent="0.25">
      <c r="A46" s="3" t="s">
        <v>23</v>
      </c>
      <c r="B46" s="6">
        <v>4</v>
      </c>
      <c r="C46" s="4">
        <f>C44*B46/100</f>
        <v>3250.9739372000013</v>
      </c>
      <c r="D46" s="2"/>
      <c r="E46" s="2"/>
      <c r="F46" s="2"/>
      <c r="G46" s="2"/>
    </row>
    <row r="47" spans="1:7" x14ac:dyDescent="0.25">
      <c r="A47" s="41" t="s">
        <v>25</v>
      </c>
      <c r="B47" s="43"/>
      <c r="C47" s="4">
        <f>C42+C44+C45+C46</f>
        <v>313763.55282009998</v>
      </c>
      <c r="D47" s="2"/>
      <c r="E47" s="2"/>
      <c r="F47" s="2"/>
      <c r="G47" s="2"/>
    </row>
    <row r="48" spans="1:7" x14ac:dyDescent="0.25">
      <c r="A48" s="2"/>
      <c r="B48" s="2"/>
      <c r="C48" s="2"/>
      <c r="D48" s="2"/>
      <c r="E48" s="2"/>
      <c r="F48" s="2"/>
      <c r="G48" s="2"/>
    </row>
    <row r="49" spans="1:7" x14ac:dyDescent="0.25">
      <c r="A49" s="2"/>
      <c r="B49" s="2"/>
      <c r="C49" s="2"/>
      <c r="D49" s="2"/>
      <c r="E49" s="2"/>
      <c r="F49" s="2"/>
      <c r="G49" s="2"/>
    </row>
    <row r="50" spans="1:7" x14ac:dyDescent="0.25">
      <c r="A50" s="35" t="s">
        <v>172</v>
      </c>
      <c r="B50" s="35"/>
      <c r="C50" s="35"/>
      <c r="D50" s="35"/>
      <c r="E50" s="35"/>
      <c r="F50" s="2"/>
      <c r="G50" s="2"/>
    </row>
    <row r="51" spans="1:7" x14ac:dyDescent="0.25">
      <c r="A51" s="2"/>
      <c r="B51" s="2"/>
      <c r="C51" s="2"/>
      <c r="D51" s="2"/>
      <c r="E51" s="2"/>
      <c r="F51" s="2"/>
      <c r="G51" s="2"/>
    </row>
    <row r="52" spans="1:7" x14ac:dyDescent="0.25">
      <c r="A52" s="52" t="s">
        <v>26</v>
      </c>
      <c r="B52" s="53"/>
      <c r="C52" s="54"/>
      <c r="D52" s="2"/>
      <c r="E52" s="2"/>
      <c r="F52" s="2"/>
      <c r="G52" s="2"/>
    </row>
    <row r="53" spans="1:7" x14ac:dyDescent="0.25">
      <c r="A53" s="3"/>
      <c r="B53" s="3"/>
      <c r="C53" s="3"/>
      <c r="D53" s="2"/>
      <c r="E53" s="2"/>
      <c r="F53" s="2"/>
      <c r="G53" s="2"/>
    </row>
    <row r="54" spans="1:7" ht="32.450000000000003" customHeight="1" x14ac:dyDescent="0.25">
      <c r="A54" s="5" t="s">
        <v>27</v>
      </c>
      <c r="B54" s="5" t="s">
        <v>28</v>
      </c>
      <c r="C54" s="5" t="s">
        <v>29</v>
      </c>
      <c r="D54" s="2"/>
      <c r="E54" s="2"/>
      <c r="F54" s="2"/>
      <c r="G54" s="2"/>
    </row>
    <row r="55" spans="1:7" x14ac:dyDescent="0.25">
      <c r="A55" s="3" t="s">
        <v>30</v>
      </c>
      <c r="B55" s="4">
        <v>504</v>
      </c>
      <c r="C55" s="4">
        <f>B55*10</f>
        <v>5040</v>
      </c>
      <c r="D55" s="2"/>
      <c r="E55" s="2"/>
      <c r="F55" s="2"/>
      <c r="G55" s="2"/>
    </row>
    <row r="56" spans="1:7" x14ac:dyDescent="0.25">
      <c r="A56" s="3" t="s">
        <v>31</v>
      </c>
      <c r="B56" s="4">
        <v>164</v>
      </c>
      <c r="C56" s="4">
        <f>B56*10</f>
        <v>1640</v>
      </c>
      <c r="D56" s="2"/>
      <c r="E56" s="2"/>
      <c r="F56" s="2"/>
      <c r="G56" s="2"/>
    </row>
    <row r="57" spans="1:7" x14ac:dyDescent="0.25">
      <c r="A57" s="3" t="s">
        <v>32</v>
      </c>
      <c r="B57" s="4">
        <v>645</v>
      </c>
      <c r="C57" s="4">
        <v>645</v>
      </c>
      <c r="D57" s="2"/>
      <c r="E57" s="2"/>
      <c r="F57" s="2"/>
      <c r="G57" s="2"/>
    </row>
    <row r="58" spans="1:7" x14ac:dyDescent="0.25">
      <c r="A58" s="3" t="s">
        <v>39</v>
      </c>
      <c r="B58" s="4">
        <v>1350</v>
      </c>
      <c r="C58" s="4">
        <v>1350</v>
      </c>
      <c r="D58" s="2"/>
      <c r="E58" s="2"/>
      <c r="F58" s="2"/>
      <c r="G58" s="2"/>
    </row>
    <row r="59" spans="1:7" x14ac:dyDescent="0.25">
      <c r="A59" s="41" t="s">
        <v>25</v>
      </c>
      <c r="B59" s="43"/>
      <c r="C59" s="4">
        <f>SUM(C55:C58)</f>
        <v>8675</v>
      </c>
      <c r="D59" s="2"/>
      <c r="E59" s="2"/>
      <c r="F59" s="2"/>
      <c r="G59" s="2"/>
    </row>
    <row r="60" spans="1:7" x14ac:dyDescent="0.25">
      <c r="A60" s="2"/>
      <c r="B60" s="2"/>
      <c r="C60" s="2"/>
      <c r="D60" s="2"/>
      <c r="E60" s="2"/>
      <c r="F60" s="2"/>
      <c r="G60" s="2"/>
    </row>
    <row r="61" spans="1:7" x14ac:dyDescent="0.25">
      <c r="A61" s="66" t="s">
        <v>0</v>
      </c>
      <c r="B61" s="66"/>
      <c r="C61" s="66"/>
      <c r="D61" s="4">
        <f>C47+C59</f>
        <v>322438.55282009998</v>
      </c>
      <c r="E61" s="2"/>
      <c r="F61" s="2"/>
      <c r="G61" s="2"/>
    </row>
    <row r="62" spans="1:7" x14ac:dyDescent="0.25">
      <c r="A62" s="2"/>
      <c r="B62" s="2"/>
      <c r="C62" s="2"/>
      <c r="D62" s="2"/>
      <c r="E62" s="2"/>
      <c r="F62" s="2"/>
      <c r="G62" s="2"/>
    </row>
    <row r="63" spans="1:7" ht="14.45" customHeight="1" x14ac:dyDescent="0.25">
      <c r="A63" s="59" t="s">
        <v>173</v>
      </c>
      <c r="B63" s="60"/>
      <c r="C63" s="60"/>
      <c r="D63" s="60"/>
      <c r="E63" s="60"/>
      <c r="F63" s="61"/>
      <c r="G63" s="2"/>
    </row>
    <row r="64" spans="1:7" x14ac:dyDescent="0.25">
      <c r="A64" s="3"/>
      <c r="B64" s="3"/>
      <c r="C64" s="3"/>
      <c r="D64" s="3"/>
      <c r="E64" s="3"/>
      <c r="F64" s="3"/>
      <c r="G64" s="2"/>
    </row>
    <row r="65" spans="1:7" ht="60" x14ac:dyDescent="0.25">
      <c r="A65" s="3" t="s">
        <v>40</v>
      </c>
      <c r="B65" s="3" t="s">
        <v>41</v>
      </c>
      <c r="C65" s="3" t="s">
        <v>42</v>
      </c>
      <c r="D65" s="5" t="s">
        <v>272</v>
      </c>
      <c r="E65" s="5" t="s">
        <v>270</v>
      </c>
      <c r="F65" s="5" t="s">
        <v>271</v>
      </c>
      <c r="G65" s="2"/>
    </row>
    <row r="66" spans="1:7" x14ac:dyDescent="0.25">
      <c r="A66" s="3" t="s">
        <v>43</v>
      </c>
      <c r="B66" s="5" t="s">
        <v>45</v>
      </c>
      <c r="C66" s="3">
        <v>10000</v>
      </c>
      <c r="D66" s="3">
        <v>125</v>
      </c>
      <c r="E66" s="4">
        <f>C42</f>
        <v>226800</v>
      </c>
      <c r="F66" s="4">
        <f>E66/D66</f>
        <v>1814.4</v>
      </c>
      <c r="G66" s="2"/>
    </row>
    <row r="67" spans="1:7" x14ac:dyDescent="0.25">
      <c r="A67" s="3" t="s">
        <v>44</v>
      </c>
      <c r="B67" s="3" t="s">
        <v>21</v>
      </c>
      <c r="C67" s="3"/>
      <c r="D67" s="3"/>
      <c r="E67" s="4">
        <f>B16</f>
        <v>81274.348430000027</v>
      </c>
      <c r="F67" s="4">
        <f>SUM(F68:F73)</f>
        <v>19817.109686000003</v>
      </c>
      <c r="G67" s="2"/>
    </row>
    <row r="68" spans="1:7" x14ac:dyDescent="0.25">
      <c r="A68" s="3" t="s">
        <v>46</v>
      </c>
      <c r="B68" s="5" t="s">
        <v>12</v>
      </c>
      <c r="C68" s="3">
        <v>48009</v>
      </c>
      <c r="D68" s="3">
        <v>4</v>
      </c>
      <c r="E68" s="4">
        <f t="shared" ref="E68:E73" si="1">G23</f>
        <v>59532.000000000015</v>
      </c>
      <c r="F68" s="4">
        <f t="shared" ref="F68:F74" si="2">E68/D68</f>
        <v>14883.000000000004</v>
      </c>
      <c r="G68" s="2"/>
    </row>
    <row r="69" spans="1:7" x14ac:dyDescent="0.25">
      <c r="A69" s="3" t="s">
        <v>47</v>
      </c>
      <c r="B69" s="3" t="s">
        <v>8</v>
      </c>
      <c r="C69" s="3">
        <v>48010</v>
      </c>
      <c r="D69" s="3">
        <v>5</v>
      </c>
      <c r="E69" s="4">
        <f t="shared" si="1"/>
        <v>3484.8000000000006</v>
      </c>
      <c r="F69" s="4">
        <f t="shared" si="2"/>
        <v>696.96000000000015</v>
      </c>
      <c r="G69" s="2"/>
    </row>
    <row r="70" spans="1:7" x14ac:dyDescent="0.25">
      <c r="A70" s="3" t="s">
        <v>48</v>
      </c>
      <c r="B70" s="3" t="s">
        <v>9</v>
      </c>
      <c r="C70" s="3">
        <v>48003</v>
      </c>
      <c r="D70" s="3">
        <v>5</v>
      </c>
      <c r="E70" s="4">
        <f t="shared" si="1"/>
        <v>4456.6236000000008</v>
      </c>
      <c r="F70" s="4">
        <f t="shared" si="2"/>
        <v>891.32472000000018</v>
      </c>
      <c r="G70" s="10"/>
    </row>
    <row r="71" spans="1:7" x14ac:dyDescent="0.25">
      <c r="A71" s="3" t="s">
        <v>49</v>
      </c>
      <c r="B71" s="3" t="s">
        <v>10</v>
      </c>
      <c r="C71" s="3">
        <v>48003</v>
      </c>
      <c r="D71" s="3">
        <v>5</v>
      </c>
      <c r="E71" s="4">
        <f t="shared" si="1"/>
        <v>496.10000000000008</v>
      </c>
      <c r="F71" s="4">
        <f t="shared" si="2"/>
        <v>99.220000000000013</v>
      </c>
      <c r="G71" s="2"/>
    </row>
    <row r="72" spans="1:7" x14ac:dyDescent="0.25">
      <c r="A72" s="3" t="s">
        <v>50</v>
      </c>
      <c r="B72" s="3" t="s">
        <v>11</v>
      </c>
      <c r="C72" s="3">
        <v>48009</v>
      </c>
      <c r="D72" s="3">
        <v>4</v>
      </c>
      <c r="E72" s="4">
        <f t="shared" si="1"/>
        <v>11712.800000000001</v>
      </c>
      <c r="F72" s="4">
        <f t="shared" si="2"/>
        <v>2928.2000000000003</v>
      </c>
      <c r="G72" s="2"/>
    </row>
    <row r="73" spans="1:7" x14ac:dyDescent="0.25">
      <c r="A73" s="3" t="s">
        <v>51</v>
      </c>
      <c r="B73" s="3" t="s">
        <v>34</v>
      </c>
      <c r="C73" s="3">
        <v>48003</v>
      </c>
      <c r="D73" s="3">
        <v>5</v>
      </c>
      <c r="E73" s="4">
        <f t="shared" si="1"/>
        <v>1592.0248300000001</v>
      </c>
      <c r="F73" s="4">
        <f t="shared" si="2"/>
        <v>318.404966</v>
      </c>
      <c r="G73" s="2"/>
    </row>
    <row r="74" spans="1:7" x14ac:dyDescent="0.25">
      <c r="A74" s="3" t="s">
        <v>52</v>
      </c>
      <c r="B74" s="5" t="s">
        <v>22</v>
      </c>
      <c r="C74" s="3">
        <v>70000</v>
      </c>
      <c r="D74" s="3">
        <v>10</v>
      </c>
      <c r="E74" s="4">
        <f>C45</f>
        <v>2438.2304529000012</v>
      </c>
      <c r="F74" s="4">
        <f t="shared" si="2"/>
        <v>243.82304529000012</v>
      </c>
      <c r="G74" s="2"/>
    </row>
    <row r="75" spans="1:7" x14ac:dyDescent="0.25">
      <c r="A75" s="3" t="s">
        <v>53</v>
      </c>
      <c r="B75" s="5" t="s">
        <v>54</v>
      </c>
      <c r="C75" s="9" t="s">
        <v>38</v>
      </c>
      <c r="D75" s="3"/>
      <c r="E75" s="4">
        <f>C59</f>
        <v>8675</v>
      </c>
      <c r="F75" s="4">
        <f>SUM(F76:F79)</f>
        <v>1735</v>
      </c>
      <c r="G75" s="2"/>
    </row>
    <row r="76" spans="1:7" x14ac:dyDescent="0.25">
      <c r="A76" s="3" t="s">
        <v>55</v>
      </c>
      <c r="B76" s="5" t="s">
        <v>30</v>
      </c>
      <c r="C76" s="11"/>
      <c r="D76" s="11">
        <v>5</v>
      </c>
      <c r="E76" s="4">
        <f>C55</f>
        <v>5040</v>
      </c>
      <c r="F76" s="4">
        <f>E76/D76</f>
        <v>1008</v>
      </c>
      <c r="G76" s="2"/>
    </row>
    <row r="77" spans="1:7" x14ac:dyDescent="0.25">
      <c r="A77" s="3" t="s">
        <v>56</v>
      </c>
      <c r="B77" s="5" t="s">
        <v>31</v>
      </c>
      <c r="C77" s="11"/>
      <c r="D77" s="11">
        <v>5</v>
      </c>
      <c r="E77" s="4">
        <f>C56</f>
        <v>1640</v>
      </c>
      <c r="F77" s="4">
        <f>E77/D77</f>
        <v>328</v>
      </c>
      <c r="G77" s="2"/>
    </row>
    <row r="78" spans="1:7" x14ac:dyDescent="0.25">
      <c r="A78" s="3" t="s">
        <v>57</v>
      </c>
      <c r="B78" s="3" t="s">
        <v>32</v>
      </c>
      <c r="C78" s="11"/>
      <c r="D78" s="11">
        <v>5</v>
      </c>
      <c r="E78" s="4">
        <f>B57</f>
        <v>645</v>
      </c>
      <c r="F78" s="4">
        <f>E78/D78</f>
        <v>129</v>
      </c>
      <c r="G78" s="2"/>
    </row>
    <row r="79" spans="1:7" x14ac:dyDescent="0.25">
      <c r="A79" s="3" t="s">
        <v>58</v>
      </c>
      <c r="B79" s="3" t="s">
        <v>39</v>
      </c>
      <c r="C79" s="11"/>
      <c r="D79" s="11">
        <v>5</v>
      </c>
      <c r="E79" s="4">
        <f>B58</f>
        <v>1350</v>
      </c>
      <c r="F79" s="4">
        <f>E79/D79</f>
        <v>270</v>
      </c>
      <c r="G79" s="2"/>
    </row>
    <row r="80" spans="1:7" x14ac:dyDescent="0.25">
      <c r="A80" s="3" t="s">
        <v>59</v>
      </c>
      <c r="B80" s="3" t="s">
        <v>23</v>
      </c>
      <c r="C80" s="6" t="s">
        <v>38</v>
      </c>
      <c r="D80" s="3">
        <v>10</v>
      </c>
      <c r="E80" s="4">
        <f>C46</f>
        <v>3250.9739372000013</v>
      </c>
      <c r="F80" s="4">
        <f>E80/D80</f>
        <v>325.09739372000013</v>
      </c>
      <c r="G80" s="2"/>
    </row>
    <row r="81" spans="1:11" x14ac:dyDescent="0.25">
      <c r="A81" s="52"/>
      <c r="B81" s="53"/>
      <c r="C81" s="53"/>
      <c r="D81" s="54"/>
      <c r="E81" s="4">
        <f>E66+E67+E74+E75+E80</f>
        <v>322438.55282009998</v>
      </c>
      <c r="F81" s="4">
        <f>F66+F67+F74+F75+F80</f>
        <v>23935.430125010003</v>
      </c>
      <c r="G81" s="2"/>
    </row>
    <row r="82" spans="1:11" x14ac:dyDescent="0.25">
      <c r="A82" s="2"/>
      <c r="B82" s="2"/>
      <c r="C82" s="2"/>
      <c r="D82" s="2"/>
      <c r="E82" s="2"/>
      <c r="F82" s="2"/>
      <c r="G82" s="2"/>
    </row>
    <row r="83" spans="1:11" x14ac:dyDescent="0.25">
      <c r="A83" s="40" t="s">
        <v>174</v>
      </c>
      <c r="B83" s="40"/>
      <c r="C83" s="40"/>
      <c r="D83" s="40"/>
      <c r="E83" s="40"/>
    </row>
    <row r="84" spans="1:11" x14ac:dyDescent="0.25">
      <c r="A84" s="38" t="s">
        <v>175</v>
      </c>
      <c r="B84" s="38"/>
      <c r="C84" s="38"/>
      <c r="D84" s="38"/>
      <c r="E84" s="38"/>
    </row>
    <row r="86" spans="1:1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</row>
    <row r="87" spans="1:11" ht="105" x14ac:dyDescent="0.25">
      <c r="A87" s="3" t="s">
        <v>60</v>
      </c>
      <c r="B87" s="3" t="s">
        <v>61</v>
      </c>
      <c r="C87" s="5" t="s">
        <v>62</v>
      </c>
      <c r="D87" s="5" t="s">
        <v>63</v>
      </c>
      <c r="E87" s="5" t="s">
        <v>69</v>
      </c>
      <c r="F87" s="5" t="s">
        <v>64</v>
      </c>
      <c r="G87" s="5" t="s">
        <v>65</v>
      </c>
      <c r="H87" s="5" t="s">
        <v>66</v>
      </c>
      <c r="I87" s="5" t="s">
        <v>67</v>
      </c>
      <c r="J87" s="5" t="s">
        <v>68</v>
      </c>
      <c r="K87" s="5" t="s">
        <v>100</v>
      </c>
    </row>
    <row r="88" spans="1:11" x14ac:dyDescent="0.25">
      <c r="A88" s="6">
        <v>1</v>
      </c>
      <c r="B88" s="6">
        <v>2</v>
      </c>
      <c r="C88" s="6">
        <v>3</v>
      </c>
      <c r="D88" s="6">
        <v>4</v>
      </c>
      <c r="E88" s="6">
        <v>5</v>
      </c>
      <c r="F88" s="6">
        <v>6</v>
      </c>
      <c r="G88" s="6">
        <v>7</v>
      </c>
      <c r="H88" s="6">
        <v>8</v>
      </c>
      <c r="I88" s="6">
        <v>9</v>
      </c>
      <c r="J88" s="6">
        <v>10</v>
      </c>
      <c r="K88" s="6">
        <v>11</v>
      </c>
    </row>
    <row r="89" spans="1:11" ht="135" x14ac:dyDescent="0.25">
      <c r="A89" s="5" t="s">
        <v>70</v>
      </c>
      <c r="B89" s="5" t="s">
        <v>274</v>
      </c>
      <c r="C89" s="5" t="s">
        <v>273</v>
      </c>
      <c r="D89" s="5" t="s">
        <v>273</v>
      </c>
      <c r="E89" s="5" t="s">
        <v>275</v>
      </c>
      <c r="F89" s="5" t="s">
        <v>276</v>
      </c>
      <c r="G89" s="5" t="s">
        <v>277</v>
      </c>
      <c r="H89" s="5" t="s">
        <v>278</v>
      </c>
      <c r="I89" s="5" t="s">
        <v>71</v>
      </c>
      <c r="J89" s="5" t="s">
        <v>72</v>
      </c>
      <c r="K89" s="5" t="s">
        <v>102</v>
      </c>
    </row>
    <row r="90" spans="1:11" x14ac:dyDescent="0.25">
      <c r="A90" s="3" t="s">
        <v>73</v>
      </c>
      <c r="B90" s="3" t="s">
        <v>74</v>
      </c>
      <c r="C90" s="3">
        <v>30</v>
      </c>
      <c r="D90" s="3">
        <v>2</v>
      </c>
      <c r="E90" s="3">
        <f t="shared" ref="E90:E97" si="3">C90*8</f>
        <v>240</v>
      </c>
      <c r="F90" s="4">
        <v>2300</v>
      </c>
      <c r="G90" s="4">
        <f>H90-F90</f>
        <v>2123.0769230769229</v>
      </c>
      <c r="H90" s="4">
        <f>F90/0.52</f>
        <v>4423.0769230769229</v>
      </c>
      <c r="I90" s="4">
        <f>H90/176</f>
        <v>25.13111888111888</v>
      </c>
      <c r="J90" s="4">
        <f t="shared" ref="J90:J97" si="4">E90*D90*I90</f>
        <v>12062.937062937062</v>
      </c>
      <c r="K90" s="3">
        <f>J90*15/100</f>
        <v>1809.4405594405594</v>
      </c>
    </row>
    <row r="91" spans="1:11" x14ac:dyDescent="0.25">
      <c r="A91" s="3" t="s">
        <v>96</v>
      </c>
      <c r="B91" s="3" t="s">
        <v>75</v>
      </c>
      <c r="C91" s="3">
        <v>10</v>
      </c>
      <c r="D91" s="3">
        <v>1</v>
      </c>
      <c r="E91" s="3">
        <f t="shared" si="3"/>
        <v>80</v>
      </c>
      <c r="F91" s="4">
        <v>3920</v>
      </c>
      <c r="G91" s="4">
        <f t="shared" ref="G91:G97" si="5">H91-F91</f>
        <v>3618.4615384615381</v>
      </c>
      <c r="H91" s="4">
        <f t="shared" ref="H91:H97" si="6">F91/0.52</f>
        <v>7538.4615384615381</v>
      </c>
      <c r="I91" s="4">
        <f>H91/176</f>
        <v>42.832167832167833</v>
      </c>
      <c r="J91" s="4">
        <f t="shared" si="4"/>
        <v>3426.5734265734268</v>
      </c>
      <c r="K91" s="3">
        <f>J91*15/100</f>
        <v>513.98601398601397</v>
      </c>
    </row>
    <row r="92" spans="1:11" x14ac:dyDescent="0.25">
      <c r="A92" s="3" t="s">
        <v>96</v>
      </c>
      <c r="B92" s="3" t="s">
        <v>76</v>
      </c>
      <c r="C92" s="3">
        <v>20</v>
      </c>
      <c r="D92" s="3">
        <v>1</v>
      </c>
      <c r="E92" s="3">
        <f t="shared" si="3"/>
        <v>160</v>
      </c>
      <c r="F92" s="4">
        <v>3300</v>
      </c>
      <c r="G92" s="4">
        <f t="shared" si="5"/>
        <v>3046.1538461538457</v>
      </c>
      <c r="H92" s="4">
        <f t="shared" si="6"/>
        <v>6346.1538461538457</v>
      </c>
      <c r="I92" s="4">
        <f t="shared" ref="I92:I97" si="7">H92/176</f>
        <v>36.057692307692307</v>
      </c>
      <c r="J92" s="4">
        <f t="shared" si="4"/>
        <v>5769.2307692307695</v>
      </c>
      <c r="K92" s="3">
        <f t="shared" ref="K92:K97" si="8">J92*15/100</f>
        <v>865.38461538461547</v>
      </c>
    </row>
    <row r="93" spans="1:11" x14ac:dyDescent="0.25">
      <c r="A93" s="3" t="s">
        <v>96</v>
      </c>
      <c r="B93" s="3" t="s">
        <v>77</v>
      </c>
      <c r="C93" s="3">
        <v>15</v>
      </c>
      <c r="D93" s="3">
        <v>2</v>
      </c>
      <c r="E93" s="3">
        <f t="shared" si="3"/>
        <v>120</v>
      </c>
      <c r="F93" s="4">
        <v>2500</v>
      </c>
      <c r="G93" s="4">
        <f t="shared" si="5"/>
        <v>2307.6923076923076</v>
      </c>
      <c r="H93" s="4">
        <f t="shared" si="6"/>
        <v>4807.6923076923076</v>
      </c>
      <c r="I93" s="4">
        <f t="shared" si="7"/>
        <v>27.316433566433567</v>
      </c>
      <c r="J93" s="4">
        <f t="shared" si="4"/>
        <v>6555.9440559440563</v>
      </c>
      <c r="K93" s="3">
        <f t="shared" si="8"/>
        <v>983.39160839160843</v>
      </c>
    </row>
    <row r="94" spans="1:11" x14ac:dyDescent="0.25">
      <c r="A94" s="3" t="s">
        <v>97</v>
      </c>
      <c r="B94" s="3" t="s">
        <v>78</v>
      </c>
      <c r="C94" s="3">
        <v>12</v>
      </c>
      <c r="D94" s="3">
        <v>1</v>
      </c>
      <c r="E94" s="3">
        <f t="shared" si="3"/>
        <v>96</v>
      </c>
      <c r="F94" s="4">
        <v>2500</v>
      </c>
      <c r="G94" s="4">
        <f t="shared" si="5"/>
        <v>2307.6923076923076</v>
      </c>
      <c r="H94" s="4">
        <f t="shared" si="6"/>
        <v>4807.6923076923076</v>
      </c>
      <c r="I94" s="4">
        <f t="shared" si="7"/>
        <v>27.316433566433567</v>
      </c>
      <c r="J94" s="4">
        <f t="shared" si="4"/>
        <v>2622.3776223776222</v>
      </c>
      <c r="K94" s="3">
        <f t="shared" si="8"/>
        <v>393.3566433566433</v>
      </c>
    </row>
    <row r="95" spans="1:11" x14ac:dyDescent="0.25">
      <c r="A95" s="3" t="s">
        <v>99</v>
      </c>
      <c r="B95" s="3" t="s">
        <v>79</v>
      </c>
      <c r="C95" s="3">
        <v>10</v>
      </c>
      <c r="D95" s="3">
        <v>1</v>
      </c>
      <c r="E95" s="3">
        <f t="shared" si="3"/>
        <v>80</v>
      </c>
      <c r="F95" s="4">
        <v>2200</v>
      </c>
      <c r="G95" s="4">
        <f t="shared" si="5"/>
        <v>2030.7692307692305</v>
      </c>
      <c r="H95" s="4">
        <f t="shared" si="6"/>
        <v>4230.7692307692305</v>
      </c>
      <c r="I95" s="4">
        <f t="shared" si="7"/>
        <v>24.038461538461537</v>
      </c>
      <c r="J95" s="4">
        <f t="shared" si="4"/>
        <v>1923.0769230769229</v>
      </c>
      <c r="K95" s="3">
        <f t="shared" si="8"/>
        <v>288.46153846153845</v>
      </c>
    </row>
    <row r="96" spans="1:11" x14ac:dyDescent="0.25">
      <c r="A96" s="3" t="s">
        <v>98</v>
      </c>
      <c r="B96" s="3" t="s">
        <v>80</v>
      </c>
      <c r="C96" s="3">
        <v>6</v>
      </c>
      <c r="D96" s="3">
        <v>1</v>
      </c>
      <c r="E96" s="3">
        <f t="shared" si="3"/>
        <v>48</v>
      </c>
      <c r="F96" s="4">
        <v>1200</v>
      </c>
      <c r="G96" s="4">
        <f t="shared" si="5"/>
        <v>1107.6923076923076</v>
      </c>
      <c r="H96" s="4">
        <f t="shared" si="6"/>
        <v>2307.6923076923076</v>
      </c>
      <c r="I96" s="4">
        <f t="shared" si="7"/>
        <v>13.111888111888112</v>
      </c>
      <c r="J96" s="4">
        <f t="shared" si="4"/>
        <v>629.37062937062933</v>
      </c>
      <c r="K96" s="3">
        <f t="shared" si="8"/>
        <v>94.4055944055944</v>
      </c>
    </row>
    <row r="97" spans="1:11" x14ac:dyDescent="0.25">
      <c r="A97" s="3" t="s">
        <v>73</v>
      </c>
      <c r="B97" s="3" t="s">
        <v>81</v>
      </c>
      <c r="C97" s="3">
        <v>6</v>
      </c>
      <c r="D97" s="3">
        <v>1</v>
      </c>
      <c r="E97" s="3">
        <f t="shared" si="3"/>
        <v>48</v>
      </c>
      <c r="F97" s="4">
        <v>2300</v>
      </c>
      <c r="G97" s="4">
        <f t="shared" si="5"/>
        <v>2123.0769230769229</v>
      </c>
      <c r="H97" s="4">
        <f t="shared" si="6"/>
        <v>4423.0769230769229</v>
      </c>
      <c r="I97" s="4">
        <f t="shared" si="7"/>
        <v>25.13111888111888</v>
      </c>
      <c r="J97" s="4">
        <f t="shared" si="4"/>
        <v>1206.2937062937062</v>
      </c>
      <c r="K97" s="3">
        <f t="shared" si="8"/>
        <v>180.94405594405595</v>
      </c>
    </row>
    <row r="98" spans="1:11" x14ac:dyDescent="0.25">
      <c r="A98" s="17" t="s">
        <v>25</v>
      </c>
      <c r="B98" s="17"/>
      <c r="C98" s="17">
        <f t="shared" ref="C98:K98" si="9">SUM(C90:C97)</f>
        <v>109</v>
      </c>
      <c r="D98" s="17">
        <f t="shared" si="9"/>
        <v>10</v>
      </c>
      <c r="E98" s="17">
        <f t="shared" si="9"/>
        <v>872</v>
      </c>
      <c r="F98" s="18">
        <f t="shared" si="9"/>
        <v>20220</v>
      </c>
      <c r="G98" s="18">
        <f t="shared" si="9"/>
        <v>18664.615384615383</v>
      </c>
      <c r="H98" s="18">
        <f t="shared" si="9"/>
        <v>38884.615384615383</v>
      </c>
      <c r="I98" s="18">
        <f t="shared" si="9"/>
        <v>220.93531468531469</v>
      </c>
      <c r="J98" s="18">
        <f t="shared" si="9"/>
        <v>34195.804195804194</v>
      </c>
      <c r="K98" s="18">
        <f t="shared" si="9"/>
        <v>5129.3706293706291</v>
      </c>
    </row>
    <row r="100" spans="1:11" x14ac:dyDescent="0.25">
      <c r="A100" s="19" t="s">
        <v>101</v>
      </c>
      <c r="B100" s="4">
        <f>J98+K98</f>
        <v>39325.174825174821</v>
      </c>
    </row>
    <row r="102" spans="1:11" x14ac:dyDescent="0.25">
      <c r="A102" s="51" t="s">
        <v>176</v>
      </c>
      <c r="B102" s="51"/>
      <c r="C102" s="51"/>
      <c r="D102" s="51"/>
      <c r="E102" s="51"/>
    </row>
    <row r="103" spans="1:11" ht="60" x14ac:dyDescent="0.25">
      <c r="A103" s="5" t="s">
        <v>82</v>
      </c>
      <c r="B103" s="3" t="s">
        <v>83</v>
      </c>
      <c r="C103" s="5" t="s">
        <v>84</v>
      </c>
      <c r="D103" s="5" t="s">
        <v>85</v>
      </c>
      <c r="E103" s="3" t="s">
        <v>86</v>
      </c>
    </row>
    <row r="104" spans="1:11" x14ac:dyDescent="0.25">
      <c r="A104" s="3" t="s">
        <v>108</v>
      </c>
      <c r="B104" s="3" t="s">
        <v>113</v>
      </c>
      <c r="C104" s="3">
        <v>10</v>
      </c>
      <c r="D104" s="4">
        <v>18</v>
      </c>
      <c r="E104" s="4">
        <f>D104*C104</f>
        <v>180</v>
      </c>
    </row>
    <row r="105" spans="1:11" x14ac:dyDescent="0.25">
      <c r="A105" s="3" t="s">
        <v>109</v>
      </c>
      <c r="B105" s="3" t="s">
        <v>113</v>
      </c>
      <c r="C105" s="3">
        <v>10</v>
      </c>
      <c r="D105" s="4">
        <v>36</v>
      </c>
      <c r="E105" s="4">
        <f>D105*C105</f>
        <v>360</v>
      </c>
    </row>
    <row r="106" spans="1:11" x14ac:dyDescent="0.25">
      <c r="A106" s="3" t="s">
        <v>135</v>
      </c>
      <c r="B106" s="3" t="s">
        <v>113</v>
      </c>
      <c r="C106" s="3">
        <v>4</v>
      </c>
      <c r="D106" s="4">
        <v>30</v>
      </c>
      <c r="E106" s="4">
        <f>D106*C106</f>
        <v>120</v>
      </c>
    </row>
    <row r="107" spans="1:11" x14ac:dyDescent="0.25">
      <c r="A107" s="3" t="s">
        <v>133</v>
      </c>
      <c r="B107" s="3" t="s">
        <v>113</v>
      </c>
      <c r="C107" s="3">
        <v>10</v>
      </c>
      <c r="D107" s="4">
        <v>12</v>
      </c>
      <c r="E107" s="4">
        <f>D107*C107</f>
        <v>120</v>
      </c>
    </row>
    <row r="108" spans="1:11" x14ac:dyDescent="0.25">
      <c r="A108" s="3" t="s">
        <v>134</v>
      </c>
      <c r="B108" s="3" t="s">
        <v>113</v>
      </c>
      <c r="C108" s="3">
        <v>10</v>
      </c>
      <c r="D108" s="4">
        <v>55</v>
      </c>
      <c r="E108" s="4">
        <f>D108*C108</f>
        <v>550</v>
      </c>
    </row>
    <row r="109" spans="1:11" x14ac:dyDescent="0.25">
      <c r="A109" s="55" t="s">
        <v>119</v>
      </c>
      <c r="B109" s="56"/>
      <c r="C109" s="56"/>
      <c r="D109" s="57"/>
      <c r="E109" s="4">
        <f>(SUM(E104:E108))*1/100</f>
        <v>13.3</v>
      </c>
    </row>
    <row r="110" spans="1:11" ht="28.9" customHeight="1" x14ac:dyDescent="0.25">
      <c r="A110" s="44" t="s">
        <v>120</v>
      </c>
      <c r="B110" s="45"/>
      <c r="C110" s="45"/>
      <c r="D110" s="46"/>
      <c r="E110" s="4">
        <f>(SUM(E104:E108))*1.05/100</f>
        <v>13.965</v>
      </c>
    </row>
    <row r="111" spans="1:11" x14ac:dyDescent="0.25">
      <c r="A111" s="44" t="s">
        <v>87</v>
      </c>
      <c r="B111" s="45"/>
      <c r="C111" s="45"/>
      <c r="D111" s="46"/>
      <c r="E111" s="4">
        <f>(SUM(E104:E108))+E110-E109</f>
        <v>1330.665</v>
      </c>
    </row>
    <row r="113" spans="1:5" x14ac:dyDescent="0.25">
      <c r="A113" s="14"/>
    </row>
    <row r="118" spans="1:5" ht="60" x14ac:dyDescent="0.25">
      <c r="A118" s="5" t="s">
        <v>82</v>
      </c>
      <c r="B118" s="3" t="s">
        <v>83</v>
      </c>
      <c r="C118" s="5" t="s">
        <v>88</v>
      </c>
      <c r="D118" s="5" t="s">
        <v>89</v>
      </c>
      <c r="E118" s="5" t="s">
        <v>90</v>
      </c>
    </row>
    <row r="119" spans="1:5" x14ac:dyDescent="0.25">
      <c r="A119" s="5" t="s">
        <v>110</v>
      </c>
      <c r="B119" s="3"/>
      <c r="C119" s="5"/>
      <c r="D119" s="5"/>
      <c r="E119" s="20">
        <f>SUM(E120:E124)</f>
        <v>203.42000000000002</v>
      </c>
    </row>
    <row r="120" spans="1:5" x14ac:dyDescent="0.25">
      <c r="A120" s="5" t="s">
        <v>114</v>
      </c>
      <c r="B120" s="3" t="s">
        <v>113</v>
      </c>
      <c r="C120" s="5">
        <v>18</v>
      </c>
      <c r="D120" s="20">
        <v>0.69</v>
      </c>
      <c r="E120" s="20">
        <f t="shared" ref="E120:E126" si="10">D120*C120</f>
        <v>12.419999999999998</v>
      </c>
    </row>
    <row r="121" spans="1:5" x14ac:dyDescent="0.25">
      <c r="A121" s="5" t="s">
        <v>115</v>
      </c>
      <c r="B121" s="3" t="s">
        <v>113</v>
      </c>
      <c r="C121" s="5">
        <v>2</v>
      </c>
      <c r="D121" s="20">
        <v>7</v>
      </c>
      <c r="E121" s="20">
        <f t="shared" si="10"/>
        <v>14</v>
      </c>
    </row>
    <row r="122" spans="1:5" x14ac:dyDescent="0.25">
      <c r="A122" s="5" t="s">
        <v>116</v>
      </c>
      <c r="B122" s="3" t="s">
        <v>113</v>
      </c>
      <c r="C122" s="5">
        <v>2</v>
      </c>
      <c r="D122" s="20">
        <v>10</v>
      </c>
      <c r="E122" s="20">
        <f t="shared" si="10"/>
        <v>20</v>
      </c>
    </row>
    <row r="123" spans="1:5" x14ac:dyDescent="0.25">
      <c r="A123" s="5" t="s">
        <v>117</v>
      </c>
      <c r="B123" s="3" t="s">
        <v>113</v>
      </c>
      <c r="C123" s="5">
        <v>9</v>
      </c>
      <c r="D123" s="20">
        <v>17</v>
      </c>
      <c r="E123" s="20">
        <f t="shared" si="10"/>
        <v>153</v>
      </c>
    </row>
    <row r="124" spans="1:5" x14ac:dyDescent="0.25">
      <c r="A124" s="3" t="s">
        <v>118</v>
      </c>
      <c r="B124" s="3" t="s">
        <v>113</v>
      </c>
      <c r="C124" s="3">
        <v>1</v>
      </c>
      <c r="D124" s="4">
        <v>4</v>
      </c>
      <c r="E124" s="20">
        <f t="shared" si="10"/>
        <v>4</v>
      </c>
    </row>
    <row r="125" spans="1:5" x14ac:dyDescent="0.25">
      <c r="A125" s="3" t="s">
        <v>111</v>
      </c>
      <c r="B125" s="3" t="s">
        <v>113</v>
      </c>
      <c r="C125" s="3">
        <v>2</v>
      </c>
      <c r="D125" s="4">
        <v>15</v>
      </c>
      <c r="E125" s="20">
        <f t="shared" si="10"/>
        <v>30</v>
      </c>
    </row>
    <row r="126" spans="1:5" x14ac:dyDescent="0.25">
      <c r="A126" s="3" t="s">
        <v>112</v>
      </c>
      <c r="B126" s="3" t="s">
        <v>113</v>
      </c>
      <c r="C126" s="3">
        <v>4</v>
      </c>
      <c r="D126" s="4">
        <v>18</v>
      </c>
      <c r="E126" s="20">
        <f t="shared" si="10"/>
        <v>72</v>
      </c>
    </row>
    <row r="127" spans="1:5" ht="14.25" customHeight="1" x14ac:dyDescent="0.25">
      <c r="A127" s="56" t="s">
        <v>119</v>
      </c>
      <c r="B127" s="56"/>
      <c r="C127" s="56"/>
      <c r="D127" s="57"/>
      <c r="E127" s="20">
        <f>(SUM(E120:E126))*1/100</f>
        <v>3.0542000000000002</v>
      </c>
    </row>
    <row r="128" spans="1:5" ht="25.15" customHeight="1" x14ac:dyDescent="0.25">
      <c r="A128" s="45" t="s">
        <v>120</v>
      </c>
      <c r="B128" s="45"/>
      <c r="C128" s="45"/>
      <c r="D128" s="46"/>
      <c r="E128" s="4">
        <f>(SUM(E120:E126))*1.05/100</f>
        <v>3.2069100000000001</v>
      </c>
    </row>
    <row r="129" spans="1:7" x14ac:dyDescent="0.25">
      <c r="A129" s="55" t="s">
        <v>121</v>
      </c>
      <c r="B129" s="56"/>
      <c r="C129" s="56"/>
      <c r="D129" s="57"/>
      <c r="E129" s="4">
        <f>(SUM(E120:E126))+E128-E127</f>
        <v>305.57271000000003</v>
      </c>
    </row>
    <row r="131" spans="1:7" x14ac:dyDescent="0.25">
      <c r="A131" s="19" t="s">
        <v>136</v>
      </c>
      <c r="B131" s="4">
        <f>E111+E129</f>
        <v>1636.2377099999999</v>
      </c>
    </row>
    <row r="133" spans="1:7" x14ac:dyDescent="0.25">
      <c r="A133" s="62" t="s">
        <v>177</v>
      </c>
      <c r="B133" s="63"/>
      <c r="C133" s="63"/>
      <c r="D133" s="63"/>
      <c r="E133" s="63"/>
      <c r="F133" s="63"/>
      <c r="G133" s="64"/>
    </row>
    <row r="134" spans="1:7" x14ac:dyDescent="0.25">
      <c r="A134" s="3"/>
      <c r="B134" s="3"/>
      <c r="C134" s="3"/>
      <c r="D134" s="3"/>
      <c r="E134" s="3"/>
      <c r="F134" s="3"/>
      <c r="G134" s="3"/>
    </row>
    <row r="135" spans="1:7" ht="30" x14ac:dyDescent="0.25">
      <c r="A135" s="5" t="s">
        <v>107</v>
      </c>
      <c r="B135" s="3" t="s">
        <v>91</v>
      </c>
      <c r="C135" s="5" t="s">
        <v>92</v>
      </c>
      <c r="D135" s="3" t="s">
        <v>93</v>
      </c>
      <c r="E135" s="3" t="s">
        <v>94</v>
      </c>
      <c r="F135" s="5" t="s">
        <v>95</v>
      </c>
      <c r="G135" s="3" t="s">
        <v>103</v>
      </c>
    </row>
    <row r="136" spans="1:7" x14ac:dyDescent="0.25">
      <c r="A136" s="3" t="s">
        <v>12</v>
      </c>
      <c r="B136" s="3">
        <v>8</v>
      </c>
      <c r="C136" s="3">
        <v>0.45</v>
      </c>
      <c r="D136" s="3">
        <f t="shared" ref="D136:D141" si="11">C136*B136</f>
        <v>3.6</v>
      </c>
      <c r="E136" s="3">
        <v>0.8</v>
      </c>
      <c r="F136" s="3">
        <v>0.43912000000000001</v>
      </c>
      <c r="G136" s="3">
        <f>D136*E136*F136</f>
        <v>1.2646656000000003</v>
      </c>
    </row>
    <row r="137" spans="1:7" x14ac:dyDescent="0.25">
      <c r="A137" s="3" t="s">
        <v>8</v>
      </c>
      <c r="B137" s="3">
        <v>1</v>
      </c>
      <c r="C137" s="3">
        <v>0.60199999999999998</v>
      </c>
      <c r="D137" s="3">
        <f t="shared" si="11"/>
        <v>0.60199999999999998</v>
      </c>
      <c r="E137" s="3">
        <v>0.8</v>
      </c>
      <c r="F137" s="3">
        <v>0.43912000000000001</v>
      </c>
      <c r="G137" s="3">
        <f t="shared" ref="G137:G141" si="12">D137*E137*F137</f>
        <v>0.21148019200000001</v>
      </c>
    </row>
    <row r="138" spans="1:7" x14ac:dyDescent="0.25">
      <c r="A138" s="3" t="s">
        <v>9</v>
      </c>
      <c r="B138" s="3">
        <v>2</v>
      </c>
      <c r="C138" s="3">
        <v>1.2999999999999999E-2</v>
      </c>
      <c r="D138" s="3">
        <f t="shared" si="11"/>
        <v>2.5999999999999999E-2</v>
      </c>
      <c r="E138" s="3">
        <v>0.8</v>
      </c>
      <c r="F138" s="3">
        <v>0.43912000000000001</v>
      </c>
      <c r="G138" s="3">
        <f t="shared" si="12"/>
        <v>9.1336960000000002E-3</v>
      </c>
    </row>
    <row r="139" spans="1:7" x14ac:dyDescent="0.25">
      <c r="A139" s="3" t="s">
        <v>10</v>
      </c>
      <c r="B139" s="3">
        <v>2</v>
      </c>
      <c r="C139" s="3">
        <v>1.2E-2</v>
      </c>
      <c r="D139" s="3">
        <f t="shared" si="11"/>
        <v>2.4E-2</v>
      </c>
      <c r="E139" s="3">
        <v>0.8</v>
      </c>
      <c r="F139" s="3">
        <v>0.43912000000000001</v>
      </c>
      <c r="G139" s="3">
        <f t="shared" si="12"/>
        <v>8.4311040000000018E-3</v>
      </c>
    </row>
    <row r="140" spans="1:7" x14ac:dyDescent="0.25">
      <c r="A140" s="3" t="s">
        <v>11</v>
      </c>
      <c r="B140" s="3">
        <v>4</v>
      </c>
      <c r="C140" s="3">
        <v>0.06</v>
      </c>
      <c r="D140" s="3">
        <f t="shared" si="11"/>
        <v>0.24</v>
      </c>
      <c r="E140" s="3">
        <v>0.8</v>
      </c>
      <c r="F140" s="3">
        <v>0.43912000000000001</v>
      </c>
      <c r="G140" s="3">
        <f t="shared" si="12"/>
        <v>8.4311040000000004E-2</v>
      </c>
    </row>
    <row r="141" spans="1:7" x14ac:dyDescent="0.25">
      <c r="A141" s="3" t="s">
        <v>34</v>
      </c>
      <c r="B141" s="3">
        <v>2</v>
      </c>
      <c r="C141" s="3">
        <v>1.4999999999999999E-2</v>
      </c>
      <c r="D141" s="3">
        <f t="shared" si="11"/>
        <v>0.03</v>
      </c>
      <c r="E141" s="3">
        <v>0.8</v>
      </c>
      <c r="F141" s="3">
        <v>0.43912000000000001</v>
      </c>
      <c r="G141" s="3">
        <f t="shared" si="12"/>
        <v>1.053888E-2</v>
      </c>
    </row>
    <row r="142" spans="1:7" x14ac:dyDescent="0.25">
      <c r="A142" s="41" t="s">
        <v>68</v>
      </c>
      <c r="B142" s="42"/>
      <c r="C142" s="42"/>
      <c r="D142" s="42"/>
      <c r="E142" s="42"/>
      <c r="F142" s="43"/>
      <c r="G142" s="3">
        <f>SUM(G136:G141)</f>
        <v>1.5885605120000001</v>
      </c>
    </row>
    <row r="143" spans="1:7" x14ac:dyDescent="0.25">
      <c r="A143" s="41" t="s">
        <v>106</v>
      </c>
      <c r="B143" s="42"/>
      <c r="C143" s="42"/>
      <c r="D143" s="42"/>
      <c r="E143" s="42"/>
      <c r="F143" s="43"/>
      <c r="G143" s="3">
        <f>SUM(G136:G141)*B146</f>
        <v>756.40897339392006</v>
      </c>
    </row>
    <row r="144" spans="1:7" ht="34.15" customHeight="1" x14ac:dyDescent="0.25">
      <c r="A144" s="19" t="s">
        <v>178</v>
      </c>
      <c r="B144" s="12">
        <f>G143</f>
        <v>756.40897339392006</v>
      </c>
    </row>
    <row r="146" spans="1:5" x14ac:dyDescent="0.25">
      <c r="A146" s="11" t="s">
        <v>104</v>
      </c>
      <c r="B146" s="3">
        <f>B147*1*8*0.96</f>
        <v>476.15999999999997</v>
      </c>
    </row>
    <row r="147" spans="1:5" x14ac:dyDescent="0.25">
      <c r="A147" s="11" t="s">
        <v>105</v>
      </c>
      <c r="B147" s="3">
        <f>92-26-4</f>
        <v>62</v>
      </c>
    </row>
    <row r="149" spans="1:5" ht="13.15" customHeight="1" x14ac:dyDescent="0.25">
      <c r="A149" s="38" t="s">
        <v>179</v>
      </c>
      <c r="B149" s="38"/>
      <c r="C149" s="38"/>
      <c r="D149" s="38"/>
      <c r="E149" s="38"/>
    </row>
    <row r="151" spans="1:5" x14ac:dyDescent="0.25">
      <c r="A151" s="12">
        <f>F81+0.5*B100</f>
        <v>43598.017537597414</v>
      </c>
      <c r="B151" s="29" t="s">
        <v>122</v>
      </c>
    </row>
    <row r="153" spans="1:5" x14ac:dyDescent="0.25">
      <c r="A153" s="38" t="s">
        <v>180</v>
      </c>
      <c r="B153" s="38"/>
      <c r="C153" s="38"/>
      <c r="D153" s="38"/>
    </row>
    <row r="155" spans="1:5" x14ac:dyDescent="0.25">
      <c r="A155" s="12">
        <f>B100*20/100</f>
        <v>7865.0349650349644</v>
      </c>
      <c r="B155" s="21" t="s">
        <v>123</v>
      </c>
      <c r="C155" t="s">
        <v>126</v>
      </c>
    </row>
    <row r="157" spans="1:5" x14ac:dyDescent="0.25">
      <c r="A157" s="38" t="s">
        <v>181</v>
      </c>
      <c r="B157" s="38"/>
      <c r="C157" s="38"/>
      <c r="D157" s="38"/>
    </row>
    <row r="159" spans="1:5" x14ac:dyDescent="0.25">
      <c r="A159" s="21" t="s">
        <v>124</v>
      </c>
      <c r="B159" s="12">
        <f>(E111+E129+B100+G143+A151+A155)*0.3</f>
        <v>27954.262203360337</v>
      </c>
      <c r="C159" s="13"/>
    </row>
    <row r="161" spans="1:5" x14ac:dyDescent="0.25">
      <c r="A161" s="38" t="s">
        <v>182</v>
      </c>
      <c r="B161" s="38"/>
      <c r="C161" s="38"/>
      <c r="D161" s="38"/>
      <c r="E161" s="38"/>
    </row>
    <row r="163" spans="1:5" x14ac:dyDescent="0.25">
      <c r="A163" s="21" t="s">
        <v>125</v>
      </c>
      <c r="B163" s="12">
        <f>A155+B159</f>
        <v>35819.2971683953</v>
      </c>
    </row>
    <row r="165" spans="1:5" x14ac:dyDescent="0.25">
      <c r="A165" s="38" t="s">
        <v>183</v>
      </c>
      <c r="B165" s="38"/>
      <c r="C165" s="38"/>
      <c r="D165" s="38"/>
    </row>
    <row r="167" spans="1:5" x14ac:dyDescent="0.25">
      <c r="A167" s="21" t="s">
        <v>127</v>
      </c>
      <c r="B167" s="12">
        <f>B163*45/100*100/100</f>
        <v>16118.683725777886</v>
      </c>
    </row>
    <row r="169" spans="1:5" x14ac:dyDescent="0.25">
      <c r="A169" s="38" t="s">
        <v>184</v>
      </c>
      <c r="B169" s="38"/>
      <c r="C169" s="38"/>
      <c r="D169" s="38"/>
    </row>
    <row r="171" spans="1:5" x14ac:dyDescent="0.25">
      <c r="A171" s="21" t="s">
        <v>128</v>
      </c>
      <c r="B171" s="12">
        <f>B163+B167</f>
        <v>51937.98089417319</v>
      </c>
    </row>
    <row r="172" spans="1:5" x14ac:dyDescent="0.25">
      <c r="A172" s="1"/>
      <c r="B172" s="1"/>
    </row>
    <row r="173" spans="1:5" x14ac:dyDescent="0.25">
      <c r="A173" s="21" t="s">
        <v>129</v>
      </c>
      <c r="B173" s="12">
        <f>B171</f>
        <v>51937.98089417319</v>
      </c>
    </row>
    <row r="175" spans="1:5" x14ac:dyDescent="0.25">
      <c r="A175" s="38" t="s">
        <v>185</v>
      </c>
      <c r="B175" s="38"/>
      <c r="C175" s="38"/>
      <c r="D175" s="38"/>
    </row>
    <row r="177" spans="1:5" x14ac:dyDescent="0.25">
      <c r="A177" s="21" t="s">
        <v>130</v>
      </c>
      <c r="B177" s="12">
        <f>B173*20/100*100/100</f>
        <v>10387.596178834639</v>
      </c>
    </row>
    <row r="178" spans="1:5" x14ac:dyDescent="0.25">
      <c r="A178" s="1" t="s">
        <v>131</v>
      </c>
      <c r="B178" s="1"/>
    </row>
    <row r="180" spans="1:5" x14ac:dyDescent="0.25">
      <c r="A180" s="38" t="s">
        <v>186</v>
      </c>
      <c r="B180" s="38"/>
      <c r="C180" s="38"/>
      <c r="D180" s="38"/>
    </row>
    <row r="182" spans="1:5" x14ac:dyDescent="0.25">
      <c r="A182" s="21" t="s">
        <v>132</v>
      </c>
      <c r="B182" s="12">
        <f>B173+B177</f>
        <v>62325.577073007829</v>
      </c>
    </row>
    <row r="185" spans="1:5" x14ac:dyDescent="0.25">
      <c r="A185" s="40" t="s">
        <v>187</v>
      </c>
      <c r="B185" s="40"/>
      <c r="C185" s="40"/>
      <c r="D185" s="40"/>
      <c r="E185" s="40"/>
    </row>
    <row r="186" spans="1:5" x14ac:dyDescent="0.25">
      <c r="A186" s="21" t="s">
        <v>137</v>
      </c>
      <c r="B186" s="12">
        <f>B167*B187</f>
        <v>94892.25096627303</v>
      </c>
    </row>
    <row r="187" spans="1:5" x14ac:dyDescent="0.25">
      <c r="A187" s="1" t="s">
        <v>138</v>
      </c>
      <c r="B187" s="12">
        <f>365/62</f>
        <v>5.887096774193548</v>
      </c>
    </row>
    <row r="189" spans="1:5" x14ac:dyDescent="0.25">
      <c r="A189" t="s">
        <v>139</v>
      </c>
      <c r="B189" s="13">
        <f>B186*0.2</f>
        <v>18978.450193254608</v>
      </c>
    </row>
    <row r="190" spans="1:5" x14ac:dyDescent="0.25">
      <c r="A190" t="s">
        <v>141</v>
      </c>
      <c r="B190" s="15">
        <v>0.2</v>
      </c>
    </row>
    <row r="191" spans="1:5" x14ac:dyDescent="0.25">
      <c r="A191" s="22" t="s">
        <v>140</v>
      </c>
      <c r="B191" s="13">
        <f>B186-B189</f>
        <v>75913.800773018418</v>
      </c>
    </row>
    <row r="193" spans="1:8" x14ac:dyDescent="0.25">
      <c r="A193" s="40" t="s">
        <v>188</v>
      </c>
      <c r="B193" s="40"/>
      <c r="C193" s="40"/>
      <c r="D193" s="40"/>
    </row>
    <row r="195" spans="1:8" ht="31.15" customHeight="1" x14ac:dyDescent="0.25">
      <c r="A195" s="37" t="s">
        <v>189</v>
      </c>
      <c r="B195" s="38"/>
      <c r="C195" s="38"/>
      <c r="D195" s="38"/>
    </row>
    <row r="197" spans="1:8" x14ac:dyDescent="0.25">
      <c r="A197" t="s">
        <v>142</v>
      </c>
      <c r="B197" s="16">
        <v>0.11</v>
      </c>
    </row>
    <row r="198" spans="1:8" x14ac:dyDescent="0.25">
      <c r="D198" t="s">
        <v>201</v>
      </c>
      <c r="H198" s="15" t="s">
        <v>200</v>
      </c>
    </row>
    <row r="199" spans="1:8" x14ac:dyDescent="0.25">
      <c r="A199" t="s">
        <v>143</v>
      </c>
      <c r="B199" s="13">
        <f>1/POWER(1+0.11,0)</f>
        <v>1</v>
      </c>
      <c r="D199" t="s">
        <v>143</v>
      </c>
      <c r="E199" s="13">
        <f>1/POWER(1+0.095,0)</f>
        <v>1</v>
      </c>
      <c r="G199" t="s">
        <v>143</v>
      </c>
      <c r="H199" s="13">
        <f>1/POWER(1+0.2,0)</f>
        <v>1</v>
      </c>
    </row>
    <row r="200" spans="1:8" x14ac:dyDescent="0.25">
      <c r="A200" t="s">
        <v>144</v>
      </c>
      <c r="B200">
        <f>1/POWER(1+0.11,1)</f>
        <v>0.9009009009009008</v>
      </c>
      <c r="D200" t="s">
        <v>144</v>
      </c>
      <c r="E200">
        <f>1/POWER(1+0.14,1)</f>
        <v>0.8771929824561403</v>
      </c>
      <c r="G200" t="s">
        <v>144</v>
      </c>
      <c r="H200">
        <f>1/POWER(1+0.135,1)</f>
        <v>0.88105726872246692</v>
      </c>
    </row>
    <row r="201" spans="1:8" x14ac:dyDescent="0.25">
      <c r="A201" t="s">
        <v>145</v>
      </c>
      <c r="B201">
        <f>1/POWER(1+0.11,2)</f>
        <v>0.8116224332440547</v>
      </c>
      <c r="D201" t="s">
        <v>145</v>
      </c>
      <c r="E201">
        <f>1/POWER(1+0.14,2)</f>
        <v>0.76946752847029842</v>
      </c>
      <c r="G201" t="s">
        <v>145</v>
      </c>
      <c r="H201">
        <f>1/POWER(1+0.135,2)</f>
        <v>0.77626191076869333</v>
      </c>
    </row>
    <row r="202" spans="1:8" x14ac:dyDescent="0.25">
      <c r="A202" t="s">
        <v>146</v>
      </c>
      <c r="B202">
        <f>1/POWER(1+0.11,3)</f>
        <v>0.73119138130095018</v>
      </c>
      <c r="D202" t="s">
        <v>146</v>
      </c>
      <c r="E202">
        <f>1/POWER(1+0.14,3)</f>
        <v>0.67497151620201612</v>
      </c>
      <c r="G202" t="s">
        <v>146</v>
      </c>
      <c r="H202">
        <f>1/POWER(1+0.135,3)</f>
        <v>0.68393119891514842</v>
      </c>
    </row>
    <row r="203" spans="1:8" x14ac:dyDescent="0.25">
      <c r="A203" t="s">
        <v>147</v>
      </c>
      <c r="B203">
        <f>1/POWER(1+0.11,4)</f>
        <v>0.65873097414500015</v>
      </c>
      <c r="D203" t="s">
        <v>147</v>
      </c>
      <c r="E203">
        <f>1/POWER(1+0.14,4)</f>
        <v>0.59208027737018942</v>
      </c>
      <c r="G203" t="s">
        <v>147</v>
      </c>
      <c r="H203">
        <f>1/POWER(1+0.135,4)</f>
        <v>0.60258255411026285</v>
      </c>
    </row>
    <row r="204" spans="1:8" x14ac:dyDescent="0.25">
      <c r="A204" t="s">
        <v>195</v>
      </c>
      <c r="B204">
        <f>1/POWER(1+0.11,5)</f>
        <v>0.5934513280585586</v>
      </c>
      <c r="D204" t="s">
        <v>199</v>
      </c>
      <c r="E204">
        <f>1/POWER(1+0.14,5)</f>
        <v>0.51936866435981521</v>
      </c>
      <c r="G204" t="s">
        <v>199</v>
      </c>
      <c r="H204">
        <f>1/POWER(1+0.135,5)</f>
        <v>0.53090973930419638</v>
      </c>
    </row>
    <row r="205" spans="1:8" x14ac:dyDescent="0.25">
      <c r="A205" s="48" t="s">
        <v>190</v>
      </c>
      <c r="B205" s="48"/>
      <c r="C205" s="48"/>
      <c r="D205" s="48"/>
    </row>
    <row r="207" spans="1:8" x14ac:dyDescent="0.25">
      <c r="A207" t="s">
        <v>148</v>
      </c>
      <c r="B207">
        <v>0</v>
      </c>
      <c r="D207" t="s">
        <v>148</v>
      </c>
      <c r="E207">
        <v>0</v>
      </c>
      <c r="G207" t="s">
        <v>148</v>
      </c>
      <c r="H207">
        <v>0</v>
      </c>
    </row>
    <row r="208" spans="1:8" x14ac:dyDescent="0.25">
      <c r="A208" t="s">
        <v>149</v>
      </c>
      <c r="B208">
        <f>B200*(B191+F81)</f>
        <v>89954.262070295852</v>
      </c>
      <c r="D208" t="s">
        <v>149</v>
      </c>
      <c r="E208">
        <f>E200*(B191+F81)</f>
        <v>87587.044647393341</v>
      </c>
      <c r="G208" t="s">
        <v>149</v>
      </c>
      <c r="H208">
        <f>H200*(B191+F81)</f>
        <v>87972.890659055862</v>
      </c>
    </row>
    <row r="209" spans="1:8" x14ac:dyDescent="0.25">
      <c r="A209" t="s">
        <v>150</v>
      </c>
      <c r="B209">
        <f>B201*(B191+F81)</f>
        <v>81039.875739005263</v>
      </c>
      <c r="D209" t="s">
        <v>150</v>
      </c>
      <c r="E209">
        <f>E201*(B191+F81)</f>
        <v>76830.740918766081</v>
      </c>
      <c r="G209" t="s">
        <v>150</v>
      </c>
      <c r="H209">
        <f>H201*(B191+F81)</f>
        <v>77509.154765687985</v>
      </c>
    </row>
    <row r="210" spans="1:8" x14ac:dyDescent="0.25">
      <c r="A210" t="s">
        <v>151</v>
      </c>
      <c r="B210">
        <f>B202*(B191+F81)</f>
        <v>73008.897062166914</v>
      </c>
      <c r="D210" t="s">
        <v>151</v>
      </c>
      <c r="E210">
        <f>E202*(B191+F81)</f>
        <v>67395.386770847428</v>
      </c>
      <c r="G210" t="s">
        <v>151</v>
      </c>
      <c r="H210">
        <f>H202*(B191+F81)</f>
        <v>68290.00419884405</v>
      </c>
    </row>
    <row r="211" spans="1:8" x14ac:dyDescent="0.25">
      <c r="A211" t="s">
        <v>152</v>
      </c>
      <c r="B211">
        <f>B203*(B191+F81)</f>
        <v>65773.78113708731</v>
      </c>
      <c r="D211" t="s">
        <v>152</v>
      </c>
      <c r="E211">
        <f>E203*(B191+F81)</f>
        <v>59118.760325304749</v>
      </c>
      <c r="G211" t="s">
        <v>152</v>
      </c>
      <c r="H211">
        <f>H203*(B191+F81)</f>
        <v>60167.404580479335</v>
      </c>
    </row>
    <row r="212" spans="1:8" x14ac:dyDescent="0.25">
      <c r="A212" t="s">
        <v>196</v>
      </c>
      <c r="B212">
        <f>B204*(B191+F81)</f>
        <v>59255.658682060624</v>
      </c>
      <c r="D212" t="s">
        <v>196</v>
      </c>
      <c r="E212">
        <f>E204*(B191+F81)</f>
        <v>51858.561688863811</v>
      </c>
      <c r="G212" t="s">
        <v>196</v>
      </c>
      <c r="H212">
        <f>H204*(B191+F81)</f>
        <v>53010.929145796777</v>
      </c>
    </row>
    <row r="213" spans="1:8" x14ac:dyDescent="0.25">
      <c r="A213" s="47" t="s">
        <v>153</v>
      </c>
      <c r="B213" s="47"/>
      <c r="E213" t="s">
        <v>162</v>
      </c>
      <c r="F213">
        <f>(0-B215)+(E208-0)+(E209-0)+(E210-0)+(E211-0)+(E212-0)</f>
        <v>18715.703821075454</v>
      </c>
      <c r="G213" t="s">
        <v>161</v>
      </c>
      <c r="H213">
        <f>(0-B215)+(H208-0)+(H209-0)+(H210-0)+(H211-0)+(H212-0)</f>
        <v>22875.592819764068</v>
      </c>
    </row>
    <row r="215" spans="1:8" x14ac:dyDescent="0.25">
      <c r="A215" t="s">
        <v>154</v>
      </c>
      <c r="B215">
        <f>1*(D61+E111+E129)</f>
        <v>324074.79053009994</v>
      </c>
    </row>
    <row r="217" spans="1:8" x14ac:dyDescent="0.25">
      <c r="A217" t="s">
        <v>155</v>
      </c>
      <c r="B217">
        <f>B215-B208</f>
        <v>234120.52845980407</v>
      </c>
    </row>
    <row r="218" spans="1:8" x14ac:dyDescent="0.25">
      <c r="A218" t="s">
        <v>156</v>
      </c>
      <c r="B218">
        <f>B217-B209</f>
        <v>153080.6527207988</v>
      </c>
    </row>
    <row r="219" spans="1:8" x14ac:dyDescent="0.25">
      <c r="A219" t="s">
        <v>157</v>
      </c>
      <c r="B219">
        <f>B218-B210</f>
        <v>80071.755658631882</v>
      </c>
    </row>
    <row r="220" spans="1:8" x14ac:dyDescent="0.25">
      <c r="A220" t="s">
        <v>194</v>
      </c>
      <c r="B220">
        <f>B219-B211</f>
        <v>14297.974521544573</v>
      </c>
    </row>
    <row r="221" spans="1:8" x14ac:dyDescent="0.25">
      <c r="A221" t="s">
        <v>197</v>
      </c>
      <c r="B221">
        <f>B220-B212</f>
        <v>-44957.684160516052</v>
      </c>
    </row>
    <row r="222" spans="1:8" x14ac:dyDescent="0.25">
      <c r="A222" s="14" t="s">
        <v>198</v>
      </c>
      <c r="B222" s="14"/>
      <c r="C222" s="14"/>
      <c r="D222" s="14"/>
    </row>
    <row r="224" spans="1:8" x14ac:dyDescent="0.25">
      <c r="A224" s="21" t="s">
        <v>158</v>
      </c>
      <c r="B224" s="1">
        <f>4+(B220/B212)</f>
        <v>4.2412929809499058</v>
      </c>
    </row>
    <row r="226" spans="1:4" x14ac:dyDescent="0.25">
      <c r="A226" s="36" t="s">
        <v>191</v>
      </c>
      <c r="B226" s="36"/>
      <c r="C226" s="36"/>
      <c r="D226" s="36"/>
    </row>
    <row r="228" spans="1:4" x14ac:dyDescent="0.25">
      <c r="A228" s="21" t="s">
        <v>159</v>
      </c>
      <c r="B228" s="1">
        <f>(0-B215)+(B208-0)+(B209-0)+(B210-0)+(B211-0)+(B212-0)</f>
        <v>44957.684160516052</v>
      </c>
    </row>
    <row r="230" spans="1:4" x14ac:dyDescent="0.25">
      <c r="A230" s="36" t="s">
        <v>192</v>
      </c>
      <c r="B230" s="36"/>
      <c r="C230" s="36"/>
      <c r="D230" s="36"/>
    </row>
    <row r="232" spans="1:4" x14ac:dyDescent="0.25">
      <c r="A232" t="s">
        <v>202</v>
      </c>
    </row>
    <row r="233" spans="1:4" x14ac:dyDescent="0.25">
      <c r="A233" t="s">
        <v>203</v>
      </c>
    </row>
    <row r="235" spans="1:4" x14ac:dyDescent="0.25">
      <c r="A235" t="s">
        <v>160</v>
      </c>
      <c r="B235">
        <f>13.5+(H213/(H213-F213))*(14-13.5)</f>
        <v>16.24954365693117</v>
      </c>
    </row>
    <row r="237" spans="1:4" ht="46.15" customHeight="1" x14ac:dyDescent="0.25">
      <c r="A237" s="37" t="s">
        <v>204</v>
      </c>
      <c r="B237" s="38"/>
      <c r="C237">
        <f>B228/B215*100</f>
        <v>13.872626157368572</v>
      </c>
    </row>
    <row r="242" spans="1:4" x14ac:dyDescent="0.25">
      <c r="A242" s="38" t="s">
        <v>193</v>
      </c>
      <c r="B242" s="38"/>
      <c r="C242" s="38"/>
      <c r="D242" s="38"/>
    </row>
    <row r="244" spans="1:4" x14ac:dyDescent="0.25">
      <c r="A244" t="s">
        <v>163</v>
      </c>
      <c r="B244" s="13">
        <f>A151+A155</f>
        <v>51463.052502632381</v>
      </c>
    </row>
    <row r="245" spans="1:4" x14ac:dyDescent="0.25">
      <c r="A245" t="s">
        <v>164</v>
      </c>
      <c r="B245" s="13">
        <f>B131+J98+G142</f>
        <v>35833.630466316194</v>
      </c>
    </row>
    <row r="246" spans="1:4" x14ac:dyDescent="0.25">
      <c r="A246" t="s">
        <v>165</v>
      </c>
      <c r="B246" s="13">
        <f>B182</f>
        <v>62325.577073007829</v>
      </c>
    </row>
    <row r="247" spans="1:4" x14ac:dyDescent="0.25">
      <c r="A247" t="s">
        <v>166</v>
      </c>
      <c r="B247">
        <f>B244/(B246-B245)</f>
        <v>1.9425923382177308</v>
      </c>
    </row>
    <row r="248" spans="1:4" x14ac:dyDescent="0.25">
      <c r="A248" t="s">
        <v>205</v>
      </c>
      <c r="B248">
        <f>B247*B246</f>
        <v>121073.18849702367</v>
      </c>
    </row>
    <row r="272" spans="1:5" x14ac:dyDescent="0.25">
      <c r="A272" s="39" t="s">
        <v>206</v>
      </c>
      <c r="B272" s="40"/>
      <c r="C272" s="40"/>
      <c r="D272" s="40"/>
      <c r="E272" s="40"/>
    </row>
    <row r="274" spans="1:10" x14ac:dyDescent="0.25">
      <c r="A274" s="35" t="s">
        <v>207</v>
      </c>
      <c r="B274" s="35"/>
      <c r="C274" s="35"/>
      <c r="D274" s="35"/>
      <c r="E274" s="35"/>
    </row>
    <row r="276" spans="1:10" ht="135" x14ac:dyDescent="0.25">
      <c r="A276" s="3" t="s">
        <v>41</v>
      </c>
      <c r="B276" s="3" t="s">
        <v>208</v>
      </c>
      <c r="C276" s="5" t="s">
        <v>209</v>
      </c>
      <c r="D276" s="5" t="s">
        <v>210</v>
      </c>
      <c r="E276" s="5" t="s">
        <v>216</v>
      </c>
      <c r="F276" s="5" t="s">
        <v>211</v>
      </c>
      <c r="G276" s="5" t="s">
        <v>217</v>
      </c>
      <c r="H276" s="5" t="s">
        <v>212</v>
      </c>
      <c r="I276" s="5" t="s">
        <v>218</v>
      </c>
      <c r="J276" s="5" t="s">
        <v>213</v>
      </c>
    </row>
    <row r="277" spans="1:10" x14ac:dyDescent="0.25">
      <c r="A277" s="6" t="s">
        <v>214</v>
      </c>
      <c r="B277" s="6" t="s">
        <v>215</v>
      </c>
      <c r="C277" s="6">
        <v>1</v>
      </c>
      <c r="D277" s="6">
        <v>2</v>
      </c>
      <c r="E277" s="6">
        <v>3</v>
      </c>
      <c r="F277" s="6">
        <v>4</v>
      </c>
      <c r="G277" s="6">
        <v>5</v>
      </c>
      <c r="H277" s="6">
        <v>6</v>
      </c>
      <c r="I277" s="6">
        <v>7</v>
      </c>
      <c r="J277" s="6">
        <v>8</v>
      </c>
    </row>
    <row r="278" spans="1:10" x14ac:dyDescent="0.25">
      <c r="A278" s="3" t="s">
        <v>219</v>
      </c>
      <c r="B278" s="6">
        <v>100</v>
      </c>
      <c r="C278" s="6" t="s">
        <v>166</v>
      </c>
      <c r="D278" s="6" t="s">
        <v>166</v>
      </c>
      <c r="E278" s="6" t="s">
        <v>166</v>
      </c>
      <c r="F278" s="6" t="s">
        <v>166</v>
      </c>
      <c r="G278" s="6" t="s">
        <v>166</v>
      </c>
      <c r="H278" s="6" t="s">
        <v>166</v>
      </c>
      <c r="I278" s="3">
        <f>I279+I292+I295+I298</f>
        <v>13783.178028571429</v>
      </c>
      <c r="J278" s="3">
        <f>J279+J292+J295+J298</f>
        <v>74830.34</v>
      </c>
    </row>
    <row r="279" spans="1:10" x14ac:dyDescent="0.25">
      <c r="A279" s="30" t="s">
        <v>220</v>
      </c>
      <c r="B279" s="6">
        <v>101</v>
      </c>
      <c r="C279" s="6" t="s">
        <v>166</v>
      </c>
      <c r="D279" s="6" t="s">
        <v>166</v>
      </c>
      <c r="E279" s="6" t="s">
        <v>166</v>
      </c>
      <c r="F279" s="6" t="s">
        <v>166</v>
      </c>
      <c r="G279" s="6" t="s">
        <v>166</v>
      </c>
      <c r="H279" s="6" t="s">
        <v>166</v>
      </c>
      <c r="I279" s="3">
        <f>I280+I287+I289</f>
        <v>1910.8520000000001</v>
      </c>
      <c r="J279" s="3">
        <f>J280+J287+J289</f>
        <v>13604.26</v>
      </c>
    </row>
    <row r="280" spans="1:10" ht="45" x14ac:dyDescent="0.25">
      <c r="A280" s="5" t="s">
        <v>221</v>
      </c>
      <c r="B280" s="6">
        <v>102</v>
      </c>
      <c r="C280" s="6" t="s">
        <v>166</v>
      </c>
      <c r="D280" s="6" t="s">
        <v>166</v>
      </c>
      <c r="E280" s="6" t="s">
        <v>166</v>
      </c>
      <c r="F280" s="6" t="s">
        <v>166</v>
      </c>
      <c r="G280" s="6" t="s">
        <v>166</v>
      </c>
      <c r="H280" s="6" t="s">
        <v>166</v>
      </c>
      <c r="I280" s="3">
        <f>SUM(I281:I286)</f>
        <v>1756.3</v>
      </c>
      <c r="J280" s="3">
        <f>SUM(J281:J286)</f>
        <v>12831.5</v>
      </c>
    </row>
    <row r="281" spans="1:10" x14ac:dyDescent="0.25">
      <c r="A281" s="3" t="s">
        <v>12</v>
      </c>
      <c r="B281" s="6"/>
      <c r="C281" s="3">
        <v>5</v>
      </c>
      <c r="D281" s="3">
        <v>1800</v>
      </c>
      <c r="E281" s="3">
        <v>200</v>
      </c>
      <c r="F281" s="3">
        <f>(D281+E281)/C281</f>
        <v>400</v>
      </c>
      <c r="G281" s="3">
        <v>50</v>
      </c>
      <c r="H281" s="26">
        <v>1</v>
      </c>
      <c r="I281" s="3">
        <f>(F281+G281)*H281</f>
        <v>450</v>
      </c>
      <c r="J281" s="3">
        <f>I281*C281</f>
        <v>2250</v>
      </c>
    </row>
    <row r="282" spans="1:10" x14ac:dyDescent="0.25">
      <c r="A282" s="3" t="s">
        <v>11</v>
      </c>
      <c r="B282" s="6"/>
      <c r="C282" s="3">
        <v>5</v>
      </c>
      <c r="D282" s="3">
        <v>2100</v>
      </c>
      <c r="E282" s="3">
        <v>150</v>
      </c>
      <c r="F282" s="3">
        <f>(E282+D282)/C282</f>
        <v>450</v>
      </c>
      <c r="G282" s="3">
        <v>25</v>
      </c>
      <c r="H282" s="26">
        <v>1</v>
      </c>
      <c r="I282" s="3">
        <f t="shared" ref="I282:I283" si="13">(F282+G282)*H282</f>
        <v>475</v>
      </c>
      <c r="J282" s="3">
        <f t="shared" ref="J282:J283" si="14">I282*C282</f>
        <v>2375</v>
      </c>
    </row>
    <row r="283" spans="1:10" x14ac:dyDescent="0.25">
      <c r="A283" s="3" t="s">
        <v>222</v>
      </c>
      <c r="B283" s="6"/>
      <c r="C283" s="3">
        <v>10</v>
      </c>
      <c r="D283" s="3">
        <v>5000</v>
      </c>
      <c r="E283" s="3">
        <v>800</v>
      </c>
      <c r="F283" s="3">
        <f>(E283+D283)/C283</f>
        <v>580</v>
      </c>
      <c r="G283" s="3">
        <v>230</v>
      </c>
      <c r="H283" s="26">
        <v>1</v>
      </c>
      <c r="I283" s="3">
        <f t="shared" si="13"/>
        <v>810</v>
      </c>
      <c r="J283" s="3">
        <f t="shared" si="14"/>
        <v>8100</v>
      </c>
    </row>
    <row r="284" spans="1:10" x14ac:dyDescent="0.25">
      <c r="A284" s="23" t="s">
        <v>223</v>
      </c>
      <c r="B284" s="6"/>
      <c r="C284" s="3"/>
      <c r="D284" s="3"/>
      <c r="E284" s="3"/>
      <c r="F284" s="3"/>
      <c r="G284" s="3"/>
      <c r="H284" s="3"/>
      <c r="I284" s="3"/>
      <c r="J284" s="3"/>
    </row>
    <row r="285" spans="1:10" x14ac:dyDescent="0.25">
      <c r="A285" s="3" t="s">
        <v>224</v>
      </c>
      <c r="B285" s="6"/>
      <c r="C285" s="3">
        <v>5</v>
      </c>
      <c r="D285" s="3">
        <v>350</v>
      </c>
      <c r="E285" s="3">
        <v>42</v>
      </c>
      <c r="F285" s="3">
        <f>(E285+D285)/C285</f>
        <v>78.400000000000006</v>
      </c>
      <c r="G285" s="3">
        <v>0</v>
      </c>
      <c r="H285" s="26">
        <v>0.15</v>
      </c>
      <c r="I285" s="3">
        <f>(F285+G285)*H285</f>
        <v>11.76</v>
      </c>
      <c r="J285" s="3">
        <f>I285*C285</f>
        <v>58.8</v>
      </c>
    </row>
    <row r="286" spans="1:10" ht="30" x14ac:dyDescent="0.25">
      <c r="A286" s="5" t="s">
        <v>225</v>
      </c>
      <c r="B286" s="6"/>
      <c r="C286" s="3">
        <v>5</v>
      </c>
      <c r="D286" s="3">
        <v>270</v>
      </c>
      <c r="E286" s="3">
        <v>48</v>
      </c>
      <c r="F286" s="3">
        <f>(E286+D286)/C286</f>
        <v>63.6</v>
      </c>
      <c r="G286" s="3">
        <v>0</v>
      </c>
      <c r="H286" s="26">
        <v>0.15</v>
      </c>
      <c r="I286" s="3">
        <f>(F286+G286)*H286</f>
        <v>9.5399999999999991</v>
      </c>
      <c r="J286" s="3">
        <f>I286*C286</f>
        <v>47.699999999999996</v>
      </c>
    </row>
    <row r="287" spans="1:10" x14ac:dyDescent="0.25">
      <c r="A287" s="3" t="s">
        <v>226</v>
      </c>
      <c r="B287" s="6">
        <v>103</v>
      </c>
      <c r="C287" s="6" t="s">
        <v>166</v>
      </c>
      <c r="D287" s="6" t="s">
        <v>166</v>
      </c>
      <c r="E287" s="6" t="s">
        <v>166</v>
      </c>
      <c r="F287" s="6" t="s">
        <v>166</v>
      </c>
      <c r="G287" s="6" t="s">
        <v>166</v>
      </c>
      <c r="H287" s="6" t="s">
        <v>166</v>
      </c>
      <c r="I287" s="3">
        <f>I288</f>
        <v>136.90200000000002</v>
      </c>
      <c r="J287" s="3">
        <f>J288</f>
        <v>684.5100000000001</v>
      </c>
    </row>
    <row r="288" spans="1:10" ht="30" x14ac:dyDescent="0.25">
      <c r="A288" s="5" t="s">
        <v>227</v>
      </c>
      <c r="B288" s="6"/>
      <c r="C288" s="3">
        <v>5</v>
      </c>
      <c r="D288" s="3">
        <v>6000</v>
      </c>
      <c r="E288" s="3">
        <v>235.1</v>
      </c>
      <c r="F288" s="3">
        <f>(E288+D288)/C288</f>
        <v>1247.02</v>
      </c>
      <c r="G288" s="3">
        <v>122</v>
      </c>
      <c r="H288" s="26">
        <v>0.1</v>
      </c>
      <c r="I288" s="3">
        <f>(G288+F288)*H288</f>
        <v>136.90200000000002</v>
      </c>
      <c r="J288" s="3">
        <f>I288*C288</f>
        <v>684.5100000000001</v>
      </c>
    </row>
    <row r="289" spans="1:10" x14ac:dyDescent="0.25">
      <c r="A289" s="3" t="s">
        <v>228</v>
      </c>
      <c r="B289" s="6">
        <v>104</v>
      </c>
      <c r="C289" s="6" t="s">
        <v>166</v>
      </c>
      <c r="D289" s="6" t="s">
        <v>166</v>
      </c>
      <c r="E289" s="6" t="s">
        <v>166</v>
      </c>
      <c r="F289" s="6" t="s">
        <v>166</v>
      </c>
      <c r="G289" s="6" t="s">
        <v>166</v>
      </c>
      <c r="H289" s="6" t="s">
        <v>166</v>
      </c>
      <c r="I289" s="3">
        <f>SUM(I290:I291)</f>
        <v>17.650000000000002</v>
      </c>
      <c r="J289" s="3">
        <f>J290+J291</f>
        <v>88.25</v>
      </c>
    </row>
    <row r="290" spans="1:10" x14ac:dyDescent="0.25">
      <c r="A290" s="5" t="s">
        <v>229</v>
      </c>
      <c r="B290" s="6"/>
      <c r="C290" s="3">
        <v>5</v>
      </c>
      <c r="D290" s="3">
        <v>280</v>
      </c>
      <c r="E290" s="3">
        <v>35</v>
      </c>
      <c r="F290" s="3">
        <f>(E290+D290)/C290</f>
        <v>63</v>
      </c>
      <c r="G290" s="3">
        <v>11</v>
      </c>
      <c r="H290" s="26">
        <v>0.2</v>
      </c>
      <c r="I290" s="3">
        <f>(G290+F290)*H290</f>
        <v>14.8</v>
      </c>
      <c r="J290" s="3">
        <f>I290*C290</f>
        <v>74</v>
      </c>
    </row>
    <row r="291" spans="1:10" x14ac:dyDescent="0.25">
      <c r="A291" s="3" t="s">
        <v>230</v>
      </c>
      <c r="B291" s="6"/>
      <c r="C291" s="3">
        <v>5</v>
      </c>
      <c r="D291" s="3">
        <v>80</v>
      </c>
      <c r="E291" s="3">
        <v>20</v>
      </c>
      <c r="F291" s="3">
        <f>(E291+D291)/C291</f>
        <v>20</v>
      </c>
      <c r="G291" s="3">
        <v>8.5</v>
      </c>
      <c r="H291" s="26">
        <v>0.1</v>
      </c>
      <c r="I291" s="3">
        <f>(G291+F291)*H291</f>
        <v>2.85</v>
      </c>
      <c r="J291" s="3">
        <f>I291*C291</f>
        <v>14.25</v>
      </c>
    </row>
    <row r="292" spans="1:10" ht="46.15" customHeight="1" x14ac:dyDescent="0.25">
      <c r="A292" s="24" t="s">
        <v>244</v>
      </c>
      <c r="B292" s="6">
        <v>201</v>
      </c>
      <c r="C292" s="6" t="s">
        <v>166</v>
      </c>
      <c r="D292" s="6" t="s">
        <v>166</v>
      </c>
      <c r="E292" s="6" t="s">
        <v>166</v>
      </c>
      <c r="F292" s="6" t="s">
        <v>166</v>
      </c>
      <c r="G292" s="6" t="s">
        <v>166</v>
      </c>
      <c r="H292" s="6" t="s">
        <v>166</v>
      </c>
      <c r="I292" s="3">
        <f>I293</f>
        <v>23.5</v>
      </c>
      <c r="J292" s="3">
        <f>J293</f>
        <v>164.5</v>
      </c>
    </row>
    <row r="293" spans="1:10" ht="45" x14ac:dyDescent="0.25">
      <c r="A293" s="5" t="s">
        <v>231</v>
      </c>
      <c r="B293" s="6">
        <v>202</v>
      </c>
      <c r="C293" s="6" t="s">
        <v>166</v>
      </c>
      <c r="D293" s="6" t="s">
        <v>166</v>
      </c>
      <c r="E293" s="6" t="s">
        <v>166</v>
      </c>
      <c r="F293" s="6" t="s">
        <v>166</v>
      </c>
      <c r="G293" s="6" t="s">
        <v>166</v>
      </c>
      <c r="H293" s="6" t="s">
        <v>166</v>
      </c>
      <c r="I293" s="3">
        <f>I294</f>
        <v>23.5</v>
      </c>
      <c r="J293" s="3">
        <f>J294</f>
        <v>164.5</v>
      </c>
    </row>
    <row r="294" spans="1:10" x14ac:dyDescent="0.25">
      <c r="A294" s="5" t="s">
        <v>245</v>
      </c>
      <c r="B294" s="6"/>
      <c r="C294" s="3">
        <v>7</v>
      </c>
      <c r="D294" s="3">
        <v>900</v>
      </c>
      <c r="E294" s="3">
        <v>150</v>
      </c>
      <c r="F294" s="3">
        <f>(E294+D294)/C294</f>
        <v>150</v>
      </c>
      <c r="G294" s="3">
        <v>85</v>
      </c>
      <c r="H294" s="26">
        <v>0.1</v>
      </c>
      <c r="I294" s="3">
        <f>(G294+F294)*H294</f>
        <v>23.5</v>
      </c>
      <c r="J294" s="3">
        <f>I294*C294</f>
        <v>164.5</v>
      </c>
    </row>
    <row r="295" spans="1:10" x14ac:dyDescent="0.25">
      <c r="A295" s="24" t="s">
        <v>232</v>
      </c>
      <c r="B295" s="6">
        <v>301</v>
      </c>
      <c r="C295" s="6" t="s">
        <v>166</v>
      </c>
      <c r="D295" s="6" t="s">
        <v>166</v>
      </c>
      <c r="E295" s="6" t="s">
        <v>166</v>
      </c>
      <c r="F295" s="6" t="s">
        <v>166</v>
      </c>
      <c r="G295" s="6" t="s">
        <v>166</v>
      </c>
      <c r="H295" s="6" t="s">
        <v>166</v>
      </c>
      <c r="I295" s="3">
        <f>SUM(I296:I297)</f>
        <v>11207.3226</v>
      </c>
      <c r="J295" s="3">
        <f>J296+J297</f>
        <v>56036.612999999998</v>
      </c>
    </row>
    <row r="296" spans="1:10" x14ac:dyDescent="0.25">
      <c r="A296" s="5" t="s">
        <v>233</v>
      </c>
      <c r="B296" s="6"/>
      <c r="C296" s="3">
        <v>5</v>
      </c>
      <c r="D296" s="25">
        <v>110800</v>
      </c>
      <c r="E296" s="3">
        <v>4230.01</v>
      </c>
      <c r="F296" s="3">
        <f>(E296+D296)/C296</f>
        <v>23006.002</v>
      </c>
      <c r="G296" s="3">
        <v>4210.7</v>
      </c>
      <c r="H296" s="26">
        <v>0.3</v>
      </c>
      <c r="I296" s="3">
        <f>(G296+F296)*H296</f>
        <v>8165.0105999999996</v>
      </c>
      <c r="J296" s="3">
        <f>I296*C296</f>
        <v>40825.053</v>
      </c>
    </row>
    <row r="297" spans="1:10" x14ac:dyDescent="0.25">
      <c r="A297" s="5" t="s">
        <v>234</v>
      </c>
      <c r="B297" s="6"/>
      <c r="C297" s="3">
        <v>5</v>
      </c>
      <c r="D297" s="3">
        <v>37672</v>
      </c>
      <c r="E297" s="3">
        <v>1428.2</v>
      </c>
      <c r="F297" s="3">
        <f>(E297+D297)/C297</f>
        <v>7820.0399999999991</v>
      </c>
      <c r="G297" s="3">
        <v>2321</v>
      </c>
      <c r="H297" s="26">
        <v>0.3</v>
      </c>
      <c r="I297" s="3">
        <f>(G297+F297)*H297</f>
        <v>3042.3119999999994</v>
      </c>
      <c r="J297" s="3">
        <f>I297*C297</f>
        <v>15211.559999999998</v>
      </c>
    </row>
    <row r="298" spans="1:10" x14ac:dyDescent="0.25">
      <c r="A298" s="24" t="s">
        <v>235</v>
      </c>
      <c r="B298" s="6">
        <v>401</v>
      </c>
      <c r="C298" s="6" t="s">
        <v>166</v>
      </c>
      <c r="D298" s="6" t="s">
        <v>166</v>
      </c>
      <c r="E298" s="6" t="s">
        <v>166</v>
      </c>
      <c r="F298" s="6" t="s">
        <v>166</v>
      </c>
      <c r="G298" s="6" t="s">
        <v>166</v>
      </c>
      <c r="H298" s="6" t="s">
        <v>166</v>
      </c>
      <c r="I298" s="3">
        <f>I299+I301+I303+I305</f>
        <v>641.50342857142869</v>
      </c>
      <c r="J298" s="3">
        <f>J299+J301+J303+J305</f>
        <v>5024.9670000000006</v>
      </c>
    </row>
    <row r="299" spans="1:10" ht="30" x14ac:dyDescent="0.25">
      <c r="A299" s="5" t="s">
        <v>236</v>
      </c>
      <c r="B299" s="6">
        <v>402</v>
      </c>
      <c r="C299" s="6" t="s">
        <v>166</v>
      </c>
      <c r="D299" s="6" t="s">
        <v>166</v>
      </c>
      <c r="E299" s="6" t="s">
        <v>166</v>
      </c>
      <c r="F299" s="6" t="s">
        <v>166</v>
      </c>
      <c r="G299" s="6" t="s">
        <v>166</v>
      </c>
      <c r="H299" s="6" t="s">
        <v>166</v>
      </c>
      <c r="I299" s="3">
        <f>I300</f>
        <v>11.8215</v>
      </c>
      <c r="J299" s="3">
        <f>J300</f>
        <v>118.215</v>
      </c>
    </row>
    <row r="300" spans="1:10" x14ac:dyDescent="0.25">
      <c r="A300" s="5" t="s">
        <v>237</v>
      </c>
      <c r="B300" s="6"/>
      <c r="C300" s="3">
        <v>10</v>
      </c>
      <c r="D300" s="3">
        <v>2200</v>
      </c>
      <c r="E300" s="3">
        <v>310.5</v>
      </c>
      <c r="F300" s="3">
        <f>(E300+D300)/C300</f>
        <v>251.05</v>
      </c>
      <c r="G300" s="3">
        <v>143</v>
      </c>
      <c r="H300" s="26">
        <v>0.03</v>
      </c>
      <c r="I300" s="3">
        <f>(G300+F300)*H300</f>
        <v>11.8215</v>
      </c>
      <c r="J300" s="3">
        <f>I300*C300</f>
        <v>118.215</v>
      </c>
    </row>
    <row r="301" spans="1:10" ht="30" x14ac:dyDescent="0.25">
      <c r="A301" s="5" t="s">
        <v>238</v>
      </c>
      <c r="B301" s="6">
        <v>403</v>
      </c>
      <c r="C301" s="6" t="s">
        <v>166</v>
      </c>
      <c r="D301" s="6" t="s">
        <v>166</v>
      </c>
      <c r="E301" s="6" t="s">
        <v>166</v>
      </c>
      <c r="F301" s="6" t="s">
        <v>166</v>
      </c>
      <c r="G301" s="6" t="s">
        <v>166</v>
      </c>
      <c r="H301" s="6" t="s">
        <v>166</v>
      </c>
      <c r="I301" s="3">
        <f>I302</f>
        <v>280.2</v>
      </c>
      <c r="J301" s="3">
        <f>J302</f>
        <v>2802</v>
      </c>
    </row>
    <row r="302" spans="1:10" x14ac:dyDescent="0.25">
      <c r="A302" s="5" t="s">
        <v>239</v>
      </c>
      <c r="B302" s="6"/>
      <c r="C302" s="3">
        <v>10</v>
      </c>
      <c r="D302" s="3">
        <v>88000</v>
      </c>
      <c r="E302" s="3">
        <v>2200</v>
      </c>
      <c r="F302" s="3">
        <f>(E302+D302)/C302</f>
        <v>9020</v>
      </c>
      <c r="G302" s="3">
        <v>320</v>
      </c>
      <c r="H302" s="26">
        <v>0.03</v>
      </c>
      <c r="I302" s="3">
        <f>(G302+F302)*H302</f>
        <v>280.2</v>
      </c>
      <c r="J302" s="3">
        <f>I302*C302</f>
        <v>2802</v>
      </c>
    </row>
    <row r="303" spans="1:10" ht="30" x14ac:dyDescent="0.25">
      <c r="A303" s="5" t="s">
        <v>240</v>
      </c>
      <c r="B303" s="6">
        <v>404</v>
      </c>
      <c r="C303" s="3" t="s">
        <v>166</v>
      </c>
      <c r="D303" s="3" t="s">
        <v>166</v>
      </c>
      <c r="E303" s="3" t="s">
        <v>166</v>
      </c>
      <c r="F303" s="3" t="s">
        <v>166</v>
      </c>
      <c r="G303" s="3" t="s">
        <v>166</v>
      </c>
      <c r="H303" s="3" t="s">
        <v>166</v>
      </c>
      <c r="I303" s="3">
        <f>I304</f>
        <v>7.8604285714285718</v>
      </c>
      <c r="J303" s="3">
        <f>J304</f>
        <v>55.023000000000003</v>
      </c>
    </row>
    <row r="304" spans="1:10" x14ac:dyDescent="0.25">
      <c r="A304" s="5" t="s">
        <v>241</v>
      </c>
      <c r="B304" s="6"/>
      <c r="C304" s="3">
        <v>7</v>
      </c>
      <c r="D304" s="3">
        <v>1200</v>
      </c>
      <c r="E304" s="3">
        <v>130.1</v>
      </c>
      <c r="F304" s="3">
        <f>(E304+D304)/C304</f>
        <v>190.01428571428571</v>
      </c>
      <c r="G304" s="3">
        <v>72</v>
      </c>
      <c r="H304" s="26">
        <v>0.03</v>
      </c>
      <c r="I304" s="3">
        <f>(G304+F304)*H304</f>
        <v>7.8604285714285718</v>
      </c>
      <c r="J304" s="3">
        <f>I304*C304</f>
        <v>55.023000000000003</v>
      </c>
    </row>
    <row r="305" spans="1:10" ht="30" x14ac:dyDescent="0.25">
      <c r="A305" s="5" t="s">
        <v>242</v>
      </c>
      <c r="B305" s="6">
        <v>405</v>
      </c>
      <c r="C305" s="6" t="s">
        <v>166</v>
      </c>
      <c r="D305" s="6" t="s">
        <v>166</v>
      </c>
      <c r="E305" s="6" t="s">
        <v>166</v>
      </c>
      <c r="F305" s="6" t="s">
        <v>166</v>
      </c>
      <c r="G305" s="6" t="s">
        <v>166</v>
      </c>
      <c r="H305" s="6" t="s">
        <v>166</v>
      </c>
      <c r="I305" s="3">
        <f>I306</f>
        <v>341.62150000000003</v>
      </c>
      <c r="J305" s="3">
        <f>J306</f>
        <v>2049.7290000000003</v>
      </c>
    </row>
    <row r="306" spans="1:10" x14ac:dyDescent="0.25">
      <c r="A306" s="5" t="s">
        <v>243</v>
      </c>
      <c r="B306" s="6"/>
      <c r="C306" s="3">
        <v>6</v>
      </c>
      <c r="D306" s="3">
        <v>40000</v>
      </c>
      <c r="E306" s="3">
        <v>9064.2999999999993</v>
      </c>
      <c r="F306" s="3">
        <f>(E306+D306)/C306</f>
        <v>8177.3833333333341</v>
      </c>
      <c r="G306" s="3">
        <v>3210</v>
      </c>
      <c r="H306" s="26">
        <v>0.03</v>
      </c>
      <c r="I306" s="3">
        <f>(G306+F306)*H306</f>
        <v>341.62150000000003</v>
      </c>
      <c r="J306" s="3">
        <f>I306*C306</f>
        <v>2049.7290000000003</v>
      </c>
    </row>
    <row r="309" spans="1:10" ht="28.15" customHeight="1" x14ac:dyDescent="0.25">
      <c r="A309" s="5" t="s">
        <v>217</v>
      </c>
      <c r="B309" s="3">
        <f>G281+G282+G283+G288+G290+G291+G294+G296+G297+G300+G302+G304+G306</f>
        <v>10808.2</v>
      </c>
      <c r="C309" s="2"/>
      <c r="D309" s="2"/>
      <c r="E309" s="2"/>
    </row>
    <row r="310" spans="1:10" x14ac:dyDescent="0.25">
      <c r="A310" s="3" t="s">
        <v>246</v>
      </c>
      <c r="B310" s="3">
        <f>J278</f>
        <v>74830.34</v>
      </c>
      <c r="C310" s="2"/>
      <c r="D310" s="2"/>
      <c r="E310" s="2"/>
    </row>
    <row r="311" spans="1:10" x14ac:dyDescent="0.25">
      <c r="A311" s="2"/>
      <c r="B311" s="2"/>
      <c r="C311" s="2"/>
      <c r="D311" s="2"/>
      <c r="E311" s="2"/>
    </row>
    <row r="312" spans="1:10" x14ac:dyDescent="0.25">
      <c r="A312" s="34" t="s">
        <v>247</v>
      </c>
      <c r="B312" s="35"/>
      <c r="C312" s="35"/>
      <c r="D312" s="35"/>
      <c r="E312" s="35"/>
    </row>
    <row r="313" spans="1:10" x14ac:dyDescent="0.25">
      <c r="A313" s="2"/>
      <c r="B313" s="2"/>
      <c r="C313" s="2"/>
      <c r="D313" s="2"/>
      <c r="E313" s="2"/>
    </row>
    <row r="314" spans="1:10" x14ac:dyDescent="0.25">
      <c r="A314" s="5"/>
      <c r="B314" s="3" t="s">
        <v>248</v>
      </c>
      <c r="C314" s="3">
        <f>C315*(C316-C317)*C318*C319*(1+0.12/100)*(1+C321/100)</f>
        <v>24509.376</v>
      </c>
      <c r="D314" s="2"/>
      <c r="E314" s="2"/>
    </row>
    <row r="315" spans="1:10" x14ac:dyDescent="0.25">
      <c r="A315" s="3"/>
      <c r="B315" s="3" t="s">
        <v>249</v>
      </c>
      <c r="C315" s="3">
        <v>1.7</v>
      </c>
      <c r="D315" s="2"/>
      <c r="E315" s="2"/>
    </row>
    <row r="316" spans="1:10" x14ac:dyDescent="0.25">
      <c r="A316" s="3"/>
      <c r="B316" s="3" t="s">
        <v>250</v>
      </c>
      <c r="C316" s="3">
        <v>248</v>
      </c>
      <c r="D316" s="2"/>
      <c r="E316" s="2"/>
    </row>
    <row r="317" spans="1:10" x14ac:dyDescent="0.25">
      <c r="A317" s="3"/>
      <c r="B317" s="3" t="s">
        <v>251</v>
      </c>
      <c r="C317" s="3">
        <v>176</v>
      </c>
      <c r="D317" s="2"/>
      <c r="E317" s="2"/>
    </row>
    <row r="318" spans="1:10" x14ac:dyDescent="0.25">
      <c r="A318" s="3"/>
      <c r="B318" s="3" t="s">
        <v>252</v>
      </c>
      <c r="C318" s="3">
        <f>3000/168</f>
        <v>17.857142857142858</v>
      </c>
      <c r="D318" s="2"/>
      <c r="E318" s="2"/>
    </row>
    <row r="319" spans="1:10" x14ac:dyDescent="0.25">
      <c r="A319" s="3"/>
      <c r="B319" s="3" t="s">
        <v>253</v>
      </c>
      <c r="C319" s="3">
        <v>1</v>
      </c>
      <c r="D319" s="2"/>
      <c r="E319" s="2"/>
    </row>
    <row r="320" spans="1:10" x14ac:dyDescent="0.25">
      <c r="A320" s="3"/>
      <c r="B320" s="3" t="s">
        <v>254</v>
      </c>
      <c r="C320" s="26">
        <v>0.12</v>
      </c>
      <c r="D320" s="2"/>
      <c r="E320" s="2"/>
    </row>
    <row r="321" spans="1:5" x14ac:dyDescent="0.25">
      <c r="A321" s="3"/>
      <c r="B321" s="3" t="s">
        <v>255</v>
      </c>
      <c r="C321" s="3">
        <f>3000*34/100</f>
        <v>1020</v>
      </c>
      <c r="D321" s="2"/>
      <c r="E321" s="2"/>
    </row>
    <row r="322" spans="1:5" x14ac:dyDescent="0.25">
      <c r="A322" s="3"/>
      <c r="B322" s="3" t="s">
        <v>256</v>
      </c>
      <c r="C322" s="3">
        <v>3000</v>
      </c>
      <c r="D322" s="2"/>
      <c r="E322" s="2"/>
    </row>
    <row r="323" spans="1:5" x14ac:dyDescent="0.25">
      <c r="A323" s="2"/>
      <c r="B323" s="2"/>
      <c r="C323" s="2"/>
      <c r="D323" s="2"/>
      <c r="E323" s="2"/>
    </row>
    <row r="324" spans="1:5" x14ac:dyDescent="0.25">
      <c r="A324" s="3" t="s">
        <v>265</v>
      </c>
      <c r="B324" s="3">
        <f>(C314-B326)*(1-0.2/100)</f>
        <v>13673.773648</v>
      </c>
      <c r="C324" s="2"/>
      <c r="D324" s="2"/>
      <c r="E324" s="2"/>
    </row>
    <row r="325" spans="1:5" x14ac:dyDescent="0.25">
      <c r="A325" s="3" t="s">
        <v>257</v>
      </c>
      <c r="B325" s="26">
        <v>0.2</v>
      </c>
      <c r="C325" s="2"/>
      <c r="D325" s="2"/>
      <c r="E325" s="2"/>
    </row>
    <row r="326" spans="1:5" x14ac:dyDescent="0.25">
      <c r="A326" s="3" t="s">
        <v>266</v>
      </c>
      <c r="B326" s="3">
        <f>B309</f>
        <v>10808.2</v>
      </c>
      <c r="C326" s="2"/>
      <c r="D326" s="2"/>
      <c r="E326" s="2"/>
    </row>
    <row r="327" spans="1:5" x14ac:dyDescent="0.25">
      <c r="A327" s="2"/>
      <c r="B327" s="2"/>
      <c r="C327" s="2"/>
      <c r="D327" s="2"/>
      <c r="E327" s="2"/>
    </row>
    <row r="328" spans="1:5" x14ac:dyDescent="0.25">
      <c r="A328" s="34" t="s">
        <v>258</v>
      </c>
      <c r="B328" s="35"/>
      <c r="C328" s="35"/>
      <c r="D328" s="35"/>
      <c r="E328" s="35"/>
    </row>
    <row r="329" spans="1:5" x14ac:dyDescent="0.25">
      <c r="A329" s="2"/>
      <c r="B329" s="2"/>
      <c r="C329" s="2"/>
      <c r="D329" s="2"/>
      <c r="E329" s="2"/>
    </row>
    <row r="330" spans="1:5" x14ac:dyDescent="0.25">
      <c r="A330" s="3" t="s">
        <v>259</v>
      </c>
      <c r="B330" s="27">
        <v>0.11</v>
      </c>
      <c r="C330" s="2"/>
      <c r="D330" s="2"/>
      <c r="E330" s="2"/>
    </row>
    <row r="331" spans="1:5" x14ac:dyDescent="0.25">
      <c r="A331" s="3"/>
      <c r="B331" s="3"/>
      <c r="C331" s="2"/>
      <c r="D331" s="2"/>
      <c r="E331" s="2"/>
    </row>
    <row r="332" spans="1:5" x14ac:dyDescent="0.25">
      <c r="A332" s="3" t="s">
        <v>260</v>
      </c>
      <c r="B332" s="4">
        <f>1/POWER(1+0.11,0)</f>
        <v>1</v>
      </c>
      <c r="C332" s="2"/>
      <c r="D332" s="2"/>
      <c r="E332" s="2"/>
    </row>
    <row r="333" spans="1:5" x14ac:dyDescent="0.25">
      <c r="A333" s="3" t="s">
        <v>144</v>
      </c>
      <c r="B333" s="3">
        <f>1/POWER(1+0.11,1)</f>
        <v>0.9009009009009008</v>
      </c>
      <c r="C333" s="2"/>
      <c r="D333" s="2"/>
      <c r="E333" s="2"/>
    </row>
    <row r="334" spans="1:5" x14ac:dyDescent="0.25">
      <c r="A334" s="3" t="s">
        <v>145</v>
      </c>
      <c r="B334" s="3">
        <f>1/POWER(1+0.11,2)</f>
        <v>0.8116224332440547</v>
      </c>
      <c r="C334" s="2"/>
      <c r="D334" s="2"/>
      <c r="E334" s="2"/>
    </row>
    <row r="335" spans="1:5" x14ac:dyDescent="0.25">
      <c r="A335" s="3" t="s">
        <v>146</v>
      </c>
      <c r="B335" s="3">
        <f>1/POWER(1+0.11,3)</f>
        <v>0.73119138130095018</v>
      </c>
      <c r="C335" s="2"/>
      <c r="D335" s="2"/>
      <c r="E335" s="2"/>
    </row>
    <row r="336" spans="1:5" x14ac:dyDescent="0.25">
      <c r="A336" s="3"/>
      <c r="B336" s="3"/>
      <c r="C336" s="2"/>
      <c r="D336" s="2"/>
      <c r="E336" s="2"/>
    </row>
    <row r="337" spans="1:5" x14ac:dyDescent="0.25">
      <c r="A337" s="3" t="s">
        <v>261</v>
      </c>
      <c r="B337" s="3">
        <f>B324</f>
        <v>13673.773648</v>
      </c>
      <c r="C337" s="2"/>
      <c r="D337" s="2"/>
      <c r="E337" s="2"/>
    </row>
    <row r="338" spans="1:5" x14ac:dyDescent="0.25">
      <c r="A338" s="3" t="s">
        <v>262</v>
      </c>
      <c r="B338" s="25">
        <f>D281+D282+D283+D285+D286+D288+D290+D291+D294+D296+D297+D300+D302+D304+D306</f>
        <v>296652</v>
      </c>
      <c r="C338" s="2"/>
      <c r="D338" s="2"/>
      <c r="E338" s="2"/>
    </row>
    <row r="339" spans="1:5" x14ac:dyDescent="0.25">
      <c r="A339" s="3"/>
      <c r="B339" s="3"/>
      <c r="C339" s="2"/>
      <c r="D339" s="2"/>
      <c r="E339" s="2"/>
    </row>
    <row r="340" spans="1:5" x14ac:dyDescent="0.25">
      <c r="A340" s="3" t="s">
        <v>148</v>
      </c>
      <c r="B340" s="3">
        <v>0</v>
      </c>
      <c r="C340" s="2"/>
      <c r="D340" s="2"/>
      <c r="E340" s="2"/>
    </row>
    <row r="341" spans="1:5" x14ac:dyDescent="0.25">
      <c r="A341" s="3" t="s">
        <v>149</v>
      </c>
      <c r="B341" s="3">
        <f>B333*(B337+B338)</f>
        <v>279572.76905225217</v>
      </c>
      <c r="C341" s="2"/>
      <c r="D341" s="2"/>
      <c r="E341" s="2"/>
    </row>
    <row r="342" spans="1:5" x14ac:dyDescent="0.25">
      <c r="A342" s="3" t="s">
        <v>150</v>
      </c>
      <c r="B342" s="3">
        <f>B334*(B337+B338)</f>
        <v>251867.35950653348</v>
      </c>
      <c r="C342" s="2"/>
      <c r="D342" s="2"/>
      <c r="E342" s="2"/>
    </row>
    <row r="343" spans="1:5" x14ac:dyDescent="0.25">
      <c r="A343" s="3" t="s">
        <v>151</v>
      </c>
      <c r="B343" s="3">
        <f>B335*(B337+B338)</f>
        <v>226907.53108696709</v>
      </c>
      <c r="C343" s="2"/>
      <c r="D343" s="2"/>
      <c r="E343" s="2"/>
    </row>
    <row r="344" spans="1:5" x14ac:dyDescent="0.25">
      <c r="A344" s="3"/>
      <c r="B344" s="3"/>
      <c r="C344" s="2"/>
      <c r="D344" s="2"/>
      <c r="E344" s="2"/>
    </row>
    <row r="345" spans="1:5" x14ac:dyDescent="0.25">
      <c r="A345" s="3" t="s">
        <v>154</v>
      </c>
      <c r="B345" s="3">
        <f>B332*B310</f>
        <v>74830.34</v>
      </c>
      <c r="C345" s="2"/>
      <c r="D345" s="2"/>
      <c r="E345" s="2"/>
    </row>
    <row r="346" spans="1:5" x14ac:dyDescent="0.25">
      <c r="A346" s="3"/>
      <c r="B346" s="3"/>
      <c r="C346" s="2"/>
      <c r="D346" s="2"/>
      <c r="E346" s="2"/>
    </row>
    <row r="347" spans="1:5" x14ac:dyDescent="0.25">
      <c r="A347" s="3" t="s">
        <v>155</v>
      </c>
      <c r="B347" s="3">
        <f>B345-B341</f>
        <v>-204742.42905225218</v>
      </c>
      <c r="C347" s="2"/>
      <c r="D347" s="2"/>
      <c r="E347" s="2"/>
    </row>
    <row r="348" spans="1:5" x14ac:dyDescent="0.25">
      <c r="A348" s="3" t="s">
        <v>263</v>
      </c>
      <c r="B348" s="3"/>
      <c r="C348" s="2"/>
      <c r="D348" s="2"/>
      <c r="E348" s="2"/>
    </row>
    <row r="349" spans="1:5" ht="45" x14ac:dyDescent="0.25">
      <c r="A349" s="5" t="s">
        <v>264</v>
      </c>
      <c r="B349" s="3"/>
      <c r="C349" s="2"/>
      <c r="D349" s="2"/>
      <c r="E349" s="2"/>
    </row>
    <row r="351" spans="1:5" x14ac:dyDescent="0.25">
      <c r="A351" s="3" t="s">
        <v>267</v>
      </c>
      <c r="B351" s="1">
        <f>(0-B345)+(B341-0)+(B342-0)+(B343-0)</f>
        <v>683517.31964575278</v>
      </c>
    </row>
    <row r="352" spans="1:5" x14ac:dyDescent="0.25">
      <c r="A352" s="3" t="s">
        <v>268</v>
      </c>
      <c r="B352" s="28">
        <f>B351/B345*100%</f>
        <v>9.1342271015440097</v>
      </c>
    </row>
  </sheetData>
  <mergeCells count="49">
    <mergeCell ref="A2:E2"/>
    <mergeCell ref="A15:B15"/>
    <mergeCell ref="A63:F63"/>
    <mergeCell ref="A84:E84"/>
    <mergeCell ref="A133:G133"/>
    <mergeCell ref="A21:G21"/>
    <mergeCell ref="A29:B29"/>
    <mergeCell ref="A127:D127"/>
    <mergeCell ref="A61:C61"/>
    <mergeCell ref="A1:E1"/>
    <mergeCell ref="A14:E14"/>
    <mergeCell ref="A185:E185"/>
    <mergeCell ref="A102:E102"/>
    <mergeCell ref="A36:G36"/>
    <mergeCell ref="A38:C38"/>
    <mergeCell ref="A47:B47"/>
    <mergeCell ref="A50:E50"/>
    <mergeCell ref="A52:C52"/>
    <mergeCell ref="A59:B59"/>
    <mergeCell ref="A81:D81"/>
    <mergeCell ref="A83:E83"/>
    <mergeCell ref="A109:D109"/>
    <mergeCell ref="A128:D128"/>
    <mergeCell ref="A129:D129"/>
    <mergeCell ref="A31:D31"/>
    <mergeCell ref="A213:B213"/>
    <mergeCell ref="A161:E161"/>
    <mergeCell ref="A165:D165"/>
    <mergeCell ref="A169:D169"/>
    <mergeCell ref="A175:D175"/>
    <mergeCell ref="A180:D180"/>
    <mergeCell ref="A193:D193"/>
    <mergeCell ref="A195:D195"/>
    <mergeCell ref="A205:D205"/>
    <mergeCell ref="A157:D157"/>
    <mergeCell ref="A142:F142"/>
    <mergeCell ref="A143:F143"/>
    <mergeCell ref="A110:D110"/>
    <mergeCell ref="A111:D111"/>
    <mergeCell ref="A149:E149"/>
    <mergeCell ref="A153:D153"/>
    <mergeCell ref="A328:E328"/>
    <mergeCell ref="A226:D226"/>
    <mergeCell ref="A230:D230"/>
    <mergeCell ref="A237:B237"/>
    <mergeCell ref="A242:D242"/>
    <mergeCell ref="A312:E312"/>
    <mergeCell ref="A272:E272"/>
    <mergeCell ref="A274:E274"/>
  </mergeCells>
  <pageMargins left="0.7" right="0.7" top="0.75" bottom="0.75" header="0.3" footer="0.3"/>
  <pageSetup paperSize="9" orientation="portrait" verticalDpi="0" r:id="rId1"/>
  <ignoredErrors>
    <ignoredError sqref="F67 F75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HP</cp:lastModifiedBy>
  <dcterms:created xsi:type="dcterms:W3CDTF">2015-06-05T18:19:34Z</dcterms:created>
  <dcterms:modified xsi:type="dcterms:W3CDTF">2023-09-06T12:02:07Z</dcterms:modified>
</cp:coreProperties>
</file>