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искретная математика" sheetId="1" r:id="rId4"/>
    <sheet state="visible" name="Статистика и R" sheetId="2" r:id="rId5"/>
    <sheet state="visible" name="Python" sheetId="3" r:id="rId6"/>
    <sheet state="visible" name="Linux" sheetId="4" r:id="rId7"/>
    <sheet state="visible" name="Практикум" sheetId="5" r:id="rId8"/>
    <sheet state="visible" name="Итог" sheetId="6" r:id="rId9"/>
    <sheet state="visible" name="Рейтинг" sheetId="7" r:id="rId10"/>
  </sheets>
  <definedNames/>
  <calcPr/>
</workbook>
</file>

<file path=xl/sharedStrings.xml><?xml version="1.0" encoding="utf-8"?>
<sst xmlns="http://schemas.openxmlformats.org/spreadsheetml/2006/main" count="773" uniqueCount="212">
  <si>
    <t>ФИО</t>
  </si>
  <si>
    <t>Stepik ID</t>
  </si>
  <si>
    <t>%</t>
  </si>
  <si>
    <t>Оценка</t>
  </si>
  <si>
    <t>ДЗ #1</t>
  </si>
  <si>
    <t>ДЗ #2</t>
  </si>
  <si>
    <t>ДЗ #3</t>
  </si>
  <si>
    <t>ДЗ #4</t>
  </si>
  <si>
    <t>ДЗ #5</t>
  </si>
  <si>
    <t>ДЗ #6</t>
  </si>
  <si>
    <t>ДЗ #7</t>
  </si>
  <si>
    <t>ДЗ #8</t>
  </si>
  <si>
    <t>ДЗ #9</t>
  </si>
  <si>
    <t>ДЗ #10</t>
  </si>
  <si>
    <t>Буренкова Юлия Павловна</t>
  </si>
  <si>
    <t>Востокова Екатерина Васильевна</t>
  </si>
  <si>
    <t>Вычик Павел Владимирович</t>
  </si>
  <si>
    <t>Горбонос Александра Алексеевна</t>
  </si>
  <si>
    <t>Григорьева Елена Игоревна</t>
  </si>
  <si>
    <t>Емельяненко Вера Владимировна</t>
  </si>
  <si>
    <t>Жожиков Леонид Русланович</t>
  </si>
  <si>
    <t>Ильющенко Дмитрий Владимирович</t>
  </si>
  <si>
    <t>Казиахмедова Самира Арсеновна</t>
  </si>
  <si>
    <t>Капитонова Анна Алексеевна</t>
  </si>
  <si>
    <t>Кикалова Татьяна Петровна</t>
  </si>
  <si>
    <t>Кириленко Кирилл Михайлович</t>
  </si>
  <si>
    <t>Колодяжная Александра Владимировна</t>
  </si>
  <si>
    <t>Колпакова Оксана Анатольевна</t>
  </si>
  <si>
    <t>Королева Анна Сергеевна</t>
  </si>
  <si>
    <t>Кравчук Екатерина Вячеславовна</t>
  </si>
  <si>
    <t>Куприянов Семён Вадимович</t>
  </si>
  <si>
    <t>Ладыгина Валерия Игоревна</t>
  </si>
  <si>
    <t xml:space="preserve">Муромцев Антон Викторович </t>
  </si>
  <si>
    <t xml:space="preserve">Подгало Дмитрий Дмитриевич </t>
  </si>
  <si>
    <t>Русанова Анастасия Николаевна</t>
  </si>
  <si>
    <t>Семенов Иван Павлович</t>
  </si>
  <si>
    <t>Слизень Михаил Валерьевич</t>
  </si>
  <si>
    <t>Тоидзе Анна Тенгизовна</t>
  </si>
  <si>
    <t>Токарева Анастасия Викторовна</t>
  </si>
  <si>
    <t>Федоров Дмитрий Александрович</t>
  </si>
  <si>
    <t>Фофанов Михаил Викторович</t>
  </si>
  <si>
    <t>Шпилевая Мария Алексеевна</t>
  </si>
  <si>
    <t>Максимальные баллы</t>
  </si>
  <si>
    <t>Статистика оценок</t>
  </si>
  <si>
    <t>Летучка "Основы программирования в R"</t>
  </si>
  <si>
    <t>Степик "Программирование на R"</t>
  </si>
  <si>
    <t>Степик "Теория вероятностей"</t>
  </si>
  <si>
    <t>Степик "Теория вероятностей". Дополнительная задача (15 баллов)</t>
  </si>
  <si>
    <t>Сторонние библиотеки в R. Stepik</t>
  </si>
  <si>
    <t>Практика на лекции (ggplot2 и dplyr) (23 балла)</t>
  </si>
  <si>
    <t>Летучка "Библиотеки в R (обязательная часть)"</t>
  </si>
  <si>
    <t>Летучка "Библиотеки в R (дополнительная часть)" (4 балла)</t>
  </si>
  <si>
    <t>Введение в статистику. Stepik</t>
  </si>
  <si>
    <t>Степик "Тестирование гипотез"</t>
  </si>
  <si>
    <t>Летучка "Тестивание гипотез"</t>
  </si>
  <si>
    <t>Летучка Т-тест и корреляция</t>
  </si>
  <si>
    <t>Непараметрическая статистика</t>
  </si>
  <si>
    <t>Практика на лекции (т-тест)</t>
  </si>
  <si>
    <t>Летучка "Простые линейные модели"</t>
  </si>
  <si>
    <t>Степик "Введение в простые линейные модели</t>
  </si>
  <si>
    <t>Линейные модели. Часть 1.</t>
  </si>
  <si>
    <t>Проект №1 (олимийцы)</t>
  </si>
  <si>
    <t>Степик "Однофакторный дисперсионный анализ"</t>
  </si>
  <si>
    <t>Практика на лекции "Дисперсионный анализ"</t>
  </si>
  <si>
    <t>"Предсказание цены на дома в Париже на Kaggle"</t>
  </si>
  <si>
    <t>Летучка "Дисперсионный анализ"</t>
  </si>
  <si>
    <t>Летучка "Визуализация многомерных данных"</t>
  </si>
  <si>
    <t>Степик "Многофакторный дисперсионный анализ и PCA"</t>
  </si>
  <si>
    <t>Летучка "Летучка "Two-way ANOVA""</t>
  </si>
  <si>
    <t>Домашнее задание PCA</t>
  </si>
  <si>
    <t>Доп. задание</t>
  </si>
  <si>
    <t>Город</t>
  </si>
  <si>
    <t>Telegram</t>
  </si>
  <si>
    <t>Аккаунт Github</t>
  </si>
  <si>
    <t>Аккаунт в гугл-классах</t>
  </si>
  <si>
    <t>Сумма баллов</t>
  </si>
  <si>
    <t>Итоговая оценка</t>
  </si>
  <si>
    <t>% от баллов</t>
  </si>
  <si>
    <t>19.09.2021 23:59</t>
  </si>
  <si>
    <t>27.09.2021 12:00</t>
  </si>
  <si>
    <t>02.10.2021 23:59</t>
  </si>
  <si>
    <t>04.10.2021 12:00</t>
  </si>
  <si>
    <t>29.09.2021 23:59</t>
  </si>
  <si>
    <t>18.10.2021 23:59</t>
  </si>
  <si>
    <t>02.11.2021 23:59</t>
  </si>
  <si>
    <t>16.10.2021 23:59</t>
  </si>
  <si>
    <t>26.10.2021 23:59</t>
  </si>
  <si>
    <t>07.11.2021 23:59</t>
  </si>
  <si>
    <t>23:59 28.10.2021</t>
  </si>
  <si>
    <t xml:space="preserve">23:59 09.11.2021 </t>
  </si>
  <si>
    <t xml:space="preserve">23:59 08.11.2021 </t>
  </si>
  <si>
    <t xml:space="preserve">23:59 07.11.2021 </t>
  </si>
  <si>
    <t xml:space="preserve">23:59 28.11.2021 </t>
  </si>
  <si>
    <t>23:59 24.11.2021</t>
  </si>
  <si>
    <t xml:space="preserve">23:59 01.12.2021 </t>
  </si>
  <si>
    <t xml:space="preserve">23:59 23.11.2021 </t>
  </si>
  <si>
    <t>23:59 04.12.2021</t>
  </si>
  <si>
    <t xml:space="preserve">23:59 05.12.2021 </t>
  </si>
  <si>
    <t>Минск</t>
  </si>
  <si>
    <t>@kova_liya</t>
  </si>
  <si>
    <t>Нижний Новгород/Москва</t>
  </si>
  <si>
    <t>@katyavostokova</t>
  </si>
  <si>
    <t>@HicSalta</t>
  </si>
  <si>
    <t>https://github.com/p-vychik</t>
  </si>
  <si>
    <t>Pavel Vychik</t>
  </si>
  <si>
    <t>Москва</t>
  </si>
  <si>
    <t>@AlexGorbonos</t>
  </si>
  <si>
    <t>Новосибирск</t>
  </si>
  <si>
    <t>@lengrigo</t>
  </si>
  <si>
    <t>https://github.com/lengrigo</t>
  </si>
  <si>
    <t>Elena Grigoreva</t>
  </si>
  <si>
    <t>Ростов-на-Дону</t>
  </si>
  <si>
    <t>@vera_emelianenko</t>
  </si>
  <si>
    <t>Якутск</t>
  </si>
  <si>
    <t>@LyonyaZhozhikov</t>
  </si>
  <si>
    <t>Калининград</t>
  </si>
  <si>
    <t>@Ilushen12</t>
  </si>
  <si>
    <t>https://github.com/DIliushchenko</t>
  </si>
  <si>
    <t>Dmitrii Iliushchenko</t>
  </si>
  <si>
    <t>Долгопрудный</t>
  </si>
  <si>
    <t>@samirkures</t>
  </si>
  <si>
    <t>@annakapitonova</t>
  </si>
  <si>
    <t>anna-kapitonova</t>
  </si>
  <si>
    <t>Анна Капитонова</t>
  </si>
  <si>
    <t>Барселона</t>
  </si>
  <si>
    <t>@t_kikalova</t>
  </si>
  <si>
    <t>Tatiana-kik</t>
  </si>
  <si>
    <t>Tatiana Kikalova</t>
  </si>
  <si>
    <t>Томск</t>
  </si>
  <si>
    <t>@kirill_kirilenko</t>
  </si>
  <si>
    <t>https://github.com/keyreallkeyrealenko</t>
  </si>
  <si>
    <t>Кирилл Кириленко</t>
  </si>
  <si>
    <t>Гёттинген\Новосибирск</t>
  </si>
  <si>
    <t>@alvlako</t>
  </si>
  <si>
    <t>Alexandra Kolodyazhnaya</t>
  </si>
  <si>
    <t>https://github.com/OxanaKolpakova</t>
  </si>
  <si>
    <t>Oxana Kolpakova</t>
  </si>
  <si>
    <t>@koroanna</t>
  </si>
  <si>
    <t>https://github.com/Ann-Krlv</t>
  </si>
  <si>
    <t>Анна Королёва</t>
  </si>
  <si>
    <t>@kate_the_snail</t>
  </si>
  <si>
    <t>Челябинск</t>
  </si>
  <si>
    <t>@kupriyanov_sv_1996</t>
  </si>
  <si>
    <t>immbiochem</t>
  </si>
  <si>
    <t>Семен Куприянов</t>
  </si>
  <si>
    <t>Гронинген</t>
  </si>
  <si>
    <t>@Lerika_Valerika</t>
  </si>
  <si>
    <t>@Tugidon</t>
  </si>
  <si>
    <t>https://github.com/AntonMuromtsev</t>
  </si>
  <si>
    <t>Антон Муромцев</t>
  </si>
  <si>
    <t>Смоленск</t>
  </si>
  <si>
    <t>@podgalo</t>
  </si>
  <si>
    <t>DmitriiPodgalo</t>
  </si>
  <si>
    <t>Dmitrii Podgalo</t>
  </si>
  <si>
    <t>@nastyarusanova</t>
  </si>
  <si>
    <t>https://github.com/rusanovaA</t>
  </si>
  <si>
    <t>Anastasiia Rusanova</t>
  </si>
  <si>
    <t>@ipsemenov</t>
  </si>
  <si>
    <t>Иван Семенов</t>
  </si>
  <si>
    <t>@saturated_fat</t>
  </si>
  <si>
    <t>MShtol</t>
  </si>
  <si>
    <t>Михаил Слизень</t>
  </si>
  <si>
    <t>Бохум</t>
  </si>
  <si>
    <t>@anna_toidze</t>
  </si>
  <si>
    <t>https://github.com/AnnaToi01</t>
  </si>
  <si>
    <t>Anna Toidze</t>
  </si>
  <si>
    <t>@staceyso</t>
  </si>
  <si>
    <t>Подольск</t>
  </si>
  <si>
    <t>@fugho</t>
  </si>
  <si>
    <t>@Silmaril27</t>
  </si>
  <si>
    <t>https://github.com/MVFofanov</t>
  </si>
  <si>
    <t>Тюмень</t>
  </si>
  <si>
    <t>@Filipendula_Ulmaria</t>
  </si>
  <si>
    <t>https://github.com/MariaShpilevaya</t>
  </si>
  <si>
    <t>Шарлотта</t>
  </si>
  <si>
    <t>Сумма</t>
  </si>
  <si>
    <t>git I</t>
  </si>
  <si>
    <t>git II</t>
  </si>
  <si>
    <t>ДЗ #1 (fatsta complementator)</t>
  </si>
  <si>
    <t>git необзательное задание</t>
  </si>
  <si>
    <t>ДЗ #2 (conflict + units converter + actions)</t>
  </si>
  <si>
    <t>Коллекции (stepik)</t>
  </si>
  <si>
    <t>Функции (stepik)</t>
  </si>
  <si>
    <t>ДЗ fastq-filtrator</t>
  </si>
  <si>
    <t>ДЗ модули и вирт. окружения</t>
  </si>
  <si>
    <t>ДЗ numpy</t>
  </si>
  <si>
    <t>Групповой проект FastQC</t>
  </si>
  <si>
    <t>Регулярные выражения</t>
  </si>
  <si>
    <t>Функциональное программирование</t>
  </si>
  <si>
    <t>Рандом</t>
  </si>
  <si>
    <t>Рандом доп</t>
  </si>
  <si>
    <t>sys os</t>
  </si>
  <si>
    <t>alvlako</t>
  </si>
  <si>
    <t>Link: https://ruhr-uni-bochum.zoom.us/j/94061614722?pwd=R0xYaFVScFE3YTlNaGVYQ3VwRmdiZz09</t>
  </si>
  <si>
    <t>Фулгрим Фениксиец</t>
  </si>
  <si>
    <t>Баллы</t>
  </si>
  <si>
    <t>Resistance</t>
  </si>
  <si>
    <t>Flu</t>
  </si>
  <si>
    <r>
      <rPr>
        <rFont val="Arial"/>
        <i/>
        <color theme="1"/>
      </rPr>
      <t xml:space="preserve">E.coli </t>
    </r>
    <r>
      <rPr>
        <rFont val="Arial"/>
        <i/>
        <color theme="1"/>
      </rPr>
      <t>outbreak</t>
    </r>
  </si>
  <si>
    <t>Tardigrades</t>
  </si>
  <si>
    <t>Итог</t>
  </si>
  <si>
    <t>Зачет/незачет</t>
  </si>
  <si>
    <t>Python</t>
  </si>
  <si>
    <t>Статистика и R</t>
  </si>
  <si>
    <t>Дискретная математика</t>
  </si>
  <si>
    <t>Практикум</t>
  </si>
  <si>
    <t>Linux</t>
  </si>
  <si>
    <t>баллы</t>
  </si>
  <si>
    <t>оценка</t>
  </si>
  <si>
    <t>зачет</t>
  </si>
  <si>
    <t>ИТОГ</t>
  </si>
  <si>
    <t>Итог,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</si>
</sst>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0.0"/>
      <color theme="1"/>
      <name val="Arial"/>
    </font>
    <font>
      <b/>
    </font>
    <font>
      <u/>
      <color rgb="FF1155CC"/>
    </font>
    <font>
      <u/>
      <color rgb="FF0000FF"/>
    </font>
    <font>
      <u/>
      <color rgb="FF000000"/>
      <name val="Roboto"/>
    </font>
    <font>
      <u/>
      <sz val="11.0"/>
      <color rgb="FF24292F"/>
      <name val="-apple-system"/>
    </font>
    <font>
      <color rgb="FF333333"/>
      <name val="Arial"/>
    </font>
    <font>
      <color rgb="FF000000"/>
      <name val="Arial"/>
    </font>
    <font>
      <u/>
      <color rgb="FF0000FF"/>
    </font>
    <font>
      <i/>
      <color theme="1"/>
      <name val="Arial"/>
    </font>
    <font>
      <b/>
      <name val="Arial"/>
    </font>
    <font>
      <name val="Arial"/>
    </font>
    <font>
      <sz val="10.0"/>
      <name val="Arial"/>
    </font>
    <font>
      <u/>
      <color rgb="FF0000FF"/>
    </font>
    <font>
      <b/>
      <sz val="10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2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3" numFmtId="0" xfId="0" applyBorder="1" applyFont="1"/>
    <xf borderId="3" fillId="0" fontId="2" numFmtId="0" xfId="0" applyAlignment="1" applyBorder="1" applyFont="1">
      <alignment horizontal="center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1" fillId="0" fontId="2" numFmtId="10" xfId="0" applyAlignment="1" applyBorder="1" applyFont="1" applyNumberFormat="1">
      <alignment horizontal="right" vertical="bottom"/>
    </xf>
    <xf borderId="1" fillId="0" fontId="1" numFmtId="10" xfId="0" applyAlignment="1" applyBorder="1" applyFont="1" applyNumberFormat="1">
      <alignment horizontal="center" vertical="bottom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0" fillId="2" fontId="2" numFmtId="0" xfId="0" applyAlignment="1" applyFill="1" applyFont="1">
      <alignment vertical="bottom"/>
    </xf>
    <xf borderId="0" fillId="2" fontId="2" numFmtId="0" xfId="0" applyAlignment="1" applyFont="1">
      <alignment horizontal="right" vertical="bottom"/>
    </xf>
    <xf borderId="0" fillId="2" fontId="4" numFmtId="0" xfId="0" applyAlignment="1" applyFont="1">
      <alignment horizontal="left" readingOrder="0"/>
    </xf>
    <xf borderId="0" fillId="2" fontId="2" numFmtId="0" xfId="0" applyAlignment="1" applyFont="1">
      <alignment shrinkToFit="0" vertical="bottom" wrapText="0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right" vertical="bottom"/>
    </xf>
    <xf borderId="5" fillId="0" fontId="2" numFmtId="10" xfId="0" applyAlignment="1" applyBorder="1" applyFont="1" applyNumberFormat="1">
      <alignment horizontal="right" vertical="bottom"/>
    </xf>
    <xf borderId="6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readingOrder="0" vertical="bottom"/>
    </xf>
    <xf borderId="7" fillId="0" fontId="2" numFmtId="0" xfId="0" applyAlignment="1" applyBorder="1" applyFont="1">
      <alignment horizontal="right" vertical="bottom"/>
    </xf>
    <xf borderId="8" fillId="0" fontId="2" numFmtId="10" xfId="0" applyAlignment="1" applyBorder="1" applyFont="1" applyNumberFormat="1">
      <alignment horizontal="right" vertical="bottom"/>
    </xf>
    <xf borderId="8" fillId="0" fontId="2" numFmtId="10" xfId="0" applyAlignment="1" applyBorder="1" applyFont="1" applyNumberFormat="1">
      <alignment horizontal="center" vertical="bottom"/>
    </xf>
    <xf borderId="9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1" xfId="0" applyAlignment="1" applyFont="1" applyNumberFormat="1">
      <alignment horizontal="center" readingOrder="0" vertical="bottom"/>
    </xf>
    <xf borderId="0" fillId="0" fontId="2" numFmtId="1" xfId="0" applyAlignment="1" applyFont="1" applyNumberFormat="1">
      <alignment horizontal="center" readingOrder="0"/>
    </xf>
    <xf borderId="0" fillId="0" fontId="2" numFmtId="1" xfId="0" applyAlignment="1" applyFont="1" applyNumberFormat="1">
      <alignment horizontal="center" vertical="bottom"/>
    </xf>
    <xf borderId="0" fillId="0" fontId="5" numFmtId="0" xfId="0" applyAlignment="1" applyFont="1">
      <alignment readingOrder="0" shrinkToFit="0" vertical="bottom" wrapText="0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/>
    </xf>
    <xf borderId="0" fillId="4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5" fontId="0" numFmtId="0" xfId="0" applyAlignment="1" applyFill="1" applyFont="1">
      <alignment horizontal="left" readingOrder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4" fontId="2" numFmtId="0" xfId="0" applyFont="1"/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8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left" readingOrder="0"/>
    </xf>
    <xf borderId="0" fillId="5" fontId="9" numFmtId="0" xfId="0" applyAlignment="1" applyFont="1">
      <alignment readingOrder="0"/>
    </xf>
    <xf borderId="0" fillId="0" fontId="0" numFmtId="0" xfId="0" applyAlignment="1" applyFont="1">
      <alignment horizontal="left" readingOrder="0"/>
    </xf>
    <xf borderId="0" fillId="5" fontId="10" numFmtId="0" xfId="0" applyAlignment="1" applyFont="1">
      <alignment horizontal="left" readingOrder="0"/>
    </xf>
    <xf borderId="0" fillId="5" fontId="11" numFmtId="0" xfId="0" applyAlignment="1" applyFont="1">
      <alignment horizontal="left" readingOrder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2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right" vertical="bottom"/>
    </xf>
    <xf borderId="0" fillId="6" fontId="4" numFmtId="0" xfId="0" applyAlignment="1" applyFont="1">
      <alignment horizontal="left" readingOrder="0"/>
    </xf>
    <xf borderId="0" fillId="6" fontId="12" numFmtId="0" xfId="0" applyAlignment="1" applyFont="1">
      <alignment readingOrder="0" shrinkToFit="0" vertical="bottom" wrapText="0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readingOrder="0"/>
    </xf>
    <xf borderId="0" fillId="6" fontId="2" numFmtId="0" xfId="0" applyFont="1"/>
    <xf borderId="0" fillId="0" fontId="13" numFmtId="0" xfId="0" applyAlignment="1" applyFont="1">
      <alignment vertical="bottom"/>
    </xf>
    <xf borderId="0" fillId="0" fontId="2" numFmtId="0" xfId="0" applyAlignment="1" applyFont="1">
      <alignment readingOrder="0"/>
    </xf>
    <xf borderId="9" fillId="7" fontId="1" numFmtId="0" xfId="0" applyAlignment="1" applyBorder="1" applyFill="1" applyFont="1">
      <alignment horizontal="center" readingOrder="0" shrinkToFit="0" vertical="bottom" wrapText="0"/>
    </xf>
    <xf borderId="10" fillId="7" fontId="1" numFmtId="0" xfId="0" applyAlignment="1" applyBorder="1" applyFont="1">
      <alignment horizontal="center" vertical="bottom"/>
    </xf>
    <xf borderId="8" fillId="0" fontId="3" numFmtId="0" xfId="0" applyBorder="1" applyFont="1"/>
    <xf borderId="11" fillId="8" fontId="1" numFmtId="0" xfId="0" applyAlignment="1" applyBorder="1" applyFill="1" applyFont="1">
      <alignment horizontal="center" readingOrder="0"/>
    </xf>
    <xf borderId="9" fillId="7" fontId="1" numFmtId="0" xfId="0" applyAlignment="1" applyBorder="1" applyFont="1">
      <alignment horizontal="center" readingOrder="0" vertical="bottom"/>
    </xf>
    <xf borderId="9" fillId="7" fontId="14" numFmtId="0" xfId="0" applyAlignment="1" applyBorder="1" applyFont="1">
      <alignment horizontal="center" readingOrder="0" vertical="bottom"/>
    </xf>
    <xf borderId="0" fillId="0" fontId="2" numFmtId="10" xfId="0" applyFont="1" applyNumberFormat="1"/>
    <xf borderId="0" fillId="0" fontId="2" numFmtId="10" xfId="0" applyAlignment="1" applyFont="1" applyNumberFormat="1">
      <alignment horizontal="right"/>
    </xf>
    <xf borderId="0" fillId="0" fontId="3" numFmtId="0" xfId="0" applyAlignment="1" applyFont="1">
      <alignment horizontal="right" readingOrder="0"/>
    </xf>
    <xf borderId="0" fillId="2" fontId="15" numFmtId="0" xfId="0" applyAlignment="1" applyFont="1">
      <alignment vertical="bottom"/>
    </xf>
    <xf borderId="0" fillId="2" fontId="15" numFmtId="0" xfId="0" applyAlignment="1" applyFont="1">
      <alignment horizontal="right" vertical="bottom"/>
    </xf>
    <xf borderId="0" fillId="2" fontId="0" numFmtId="0" xfId="0" applyAlignment="1" applyFont="1">
      <alignment horizontal="left" readingOrder="0"/>
    </xf>
    <xf borderId="0" fillId="2" fontId="3" numFmtId="0" xfId="0" applyAlignment="1" applyFont="1">
      <alignment shrinkToFit="0" vertical="bottom" wrapText="0"/>
    </xf>
    <xf borderId="0" fillId="2" fontId="2" numFmtId="10" xfId="0" applyFont="1" applyNumberFormat="1"/>
    <xf borderId="0" fillId="2" fontId="2" numFmtId="10" xfId="0" applyAlignment="1" applyFont="1" applyNumberFormat="1">
      <alignment horizontal="right"/>
    </xf>
    <xf borderId="0" fillId="2" fontId="3" numFmtId="0" xfId="0" applyFont="1"/>
    <xf borderId="0" fillId="2" fontId="3" numFmtId="0" xfId="0" applyAlignment="1" applyFont="1">
      <alignment horizontal="right"/>
    </xf>
    <xf borderId="0" fillId="2" fontId="2" numFmtId="0" xfId="0" applyAlignment="1" applyFont="1">
      <alignment horizontal="right"/>
    </xf>
    <xf borderId="0" fillId="2" fontId="16" numFmtId="0" xfId="0" applyAlignment="1" applyFont="1">
      <alignment horizontal="left" readingOrder="0"/>
    </xf>
    <xf borderId="0" fillId="2" fontId="17" numFmtId="0" xfId="0" applyAlignment="1" applyFont="1">
      <alignment readingOrder="0" shrinkToFit="0" vertical="bottom" wrapText="0"/>
    </xf>
    <xf borderId="9" fillId="8" fontId="18" numFmtId="0" xfId="0" applyAlignment="1" applyBorder="1" applyFont="1">
      <alignment horizontal="center" readingOrder="0" shrinkToFit="0" vertical="bottom" wrapText="0"/>
    </xf>
    <xf borderId="9" fillId="8" fontId="18" numFmtId="0" xfId="0" applyAlignment="1" applyBorder="1" applyFont="1">
      <alignment readingOrder="0"/>
    </xf>
  </cellXfs>
  <cellStyles count="1">
    <cellStyle xfId="0" name="Normal" builtinId="0"/>
  </cellStyles>
  <dxfs count="9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-vychik" TargetMode="External"/><Relationship Id="rId2" Type="http://schemas.openxmlformats.org/officeDocument/2006/relationships/hyperlink" Target="https://github.com/lengrigo" TargetMode="External"/><Relationship Id="rId3" Type="http://schemas.openxmlformats.org/officeDocument/2006/relationships/hyperlink" Target="https://github.com/DIliushchenko" TargetMode="External"/><Relationship Id="rId4" Type="http://schemas.openxmlformats.org/officeDocument/2006/relationships/hyperlink" Target="https://github.com/keyreallkeyrealenko" TargetMode="External"/><Relationship Id="rId11" Type="http://schemas.openxmlformats.org/officeDocument/2006/relationships/hyperlink" Target="https://github.com/MariaShpilevaya" TargetMode="External"/><Relationship Id="rId10" Type="http://schemas.openxmlformats.org/officeDocument/2006/relationships/hyperlink" Target="https://github.com/MVFofanov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github.com/AnnaToi01" TargetMode="External"/><Relationship Id="rId5" Type="http://schemas.openxmlformats.org/officeDocument/2006/relationships/hyperlink" Target="https://github.com/OxanaKolpakova" TargetMode="External"/><Relationship Id="rId6" Type="http://schemas.openxmlformats.org/officeDocument/2006/relationships/hyperlink" Target="https://github.com/Ann-Krlv" TargetMode="External"/><Relationship Id="rId7" Type="http://schemas.openxmlformats.org/officeDocument/2006/relationships/hyperlink" Target="https://github.com/AntonMuromtsev" TargetMode="External"/><Relationship Id="rId8" Type="http://schemas.openxmlformats.org/officeDocument/2006/relationships/hyperlink" Target="https://github.com/rusanova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-vychik" TargetMode="External"/><Relationship Id="rId2" Type="http://schemas.openxmlformats.org/officeDocument/2006/relationships/hyperlink" Target="https://github.com/lengrigo" TargetMode="External"/><Relationship Id="rId3" Type="http://schemas.openxmlformats.org/officeDocument/2006/relationships/hyperlink" Target="https://github.com/DIliushchenko" TargetMode="External"/><Relationship Id="rId4" Type="http://schemas.openxmlformats.org/officeDocument/2006/relationships/hyperlink" Target="https://github.com/keyreallkeyrealenko" TargetMode="External"/><Relationship Id="rId11" Type="http://schemas.openxmlformats.org/officeDocument/2006/relationships/hyperlink" Target="https://github.com/MariaShpilevaya" TargetMode="External"/><Relationship Id="rId10" Type="http://schemas.openxmlformats.org/officeDocument/2006/relationships/hyperlink" Target="https://github.com/MVFofanov" TargetMode="External"/><Relationship Id="rId12" Type="http://schemas.openxmlformats.org/officeDocument/2006/relationships/drawing" Target="../drawings/drawing3.xml"/><Relationship Id="rId9" Type="http://schemas.openxmlformats.org/officeDocument/2006/relationships/hyperlink" Target="https://github.com/AnnaToi01" TargetMode="External"/><Relationship Id="rId5" Type="http://schemas.openxmlformats.org/officeDocument/2006/relationships/hyperlink" Target="https://github.com/OxanaKolpakova" TargetMode="External"/><Relationship Id="rId6" Type="http://schemas.openxmlformats.org/officeDocument/2006/relationships/hyperlink" Target="https://github.com/Ann-Krlv" TargetMode="External"/><Relationship Id="rId7" Type="http://schemas.openxmlformats.org/officeDocument/2006/relationships/hyperlink" Target="https://github.com/AntonMuromtsev" TargetMode="External"/><Relationship Id="rId8" Type="http://schemas.openxmlformats.org/officeDocument/2006/relationships/hyperlink" Target="https://github.com/rusanova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-vychik" TargetMode="External"/><Relationship Id="rId2" Type="http://schemas.openxmlformats.org/officeDocument/2006/relationships/hyperlink" Target="https://github.com/lengrigo" TargetMode="External"/><Relationship Id="rId3" Type="http://schemas.openxmlformats.org/officeDocument/2006/relationships/hyperlink" Target="https://github.com/DIliushchenko" TargetMode="External"/><Relationship Id="rId4" Type="http://schemas.openxmlformats.org/officeDocument/2006/relationships/hyperlink" Target="https://github.com/keyreallkeyrealenko" TargetMode="External"/><Relationship Id="rId11" Type="http://schemas.openxmlformats.org/officeDocument/2006/relationships/hyperlink" Target="https://github.com/MariaShpilevaya" TargetMode="External"/><Relationship Id="rId10" Type="http://schemas.openxmlformats.org/officeDocument/2006/relationships/hyperlink" Target="https://github.com/MVFofanov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s://github.com/AnnaToi01" TargetMode="External"/><Relationship Id="rId5" Type="http://schemas.openxmlformats.org/officeDocument/2006/relationships/hyperlink" Target="https://github.com/OxanaKolpakova" TargetMode="External"/><Relationship Id="rId6" Type="http://schemas.openxmlformats.org/officeDocument/2006/relationships/hyperlink" Target="https://github.com/Ann-Krlv" TargetMode="External"/><Relationship Id="rId7" Type="http://schemas.openxmlformats.org/officeDocument/2006/relationships/hyperlink" Target="https://github.com/AntonMuromtsev" TargetMode="External"/><Relationship Id="rId8" Type="http://schemas.openxmlformats.org/officeDocument/2006/relationships/hyperlink" Target="https://github.com/rusanova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-vychik" TargetMode="External"/><Relationship Id="rId2" Type="http://schemas.openxmlformats.org/officeDocument/2006/relationships/hyperlink" Target="https://github.com/lengrigo" TargetMode="External"/><Relationship Id="rId3" Type="http://schemas.openxmlformats.org/officeDocument/2006/relationships/hyperlink" Target="https://github.com/DIliushchenko" TargetMode="External"/><Relationship Id="rId4" Type="http://schemas.openxmlformats.org/officeDocument/2006/relationships/hyperlink" Target="https://github.com/keyreallkeyrealenko" TargetMode="External"/><Relationship Id="rId11" Type="http://schemas.openxmlformats.org/officeDocument/2006/relationships/hyperlink" Target="https://github.com/MariaShpilevaya" TargetMode="External"/><Relationship Id="rId10" Type="http://schemas.openxmlformats.org/officeDocument/2006/relationships/hyperlink" Target="https://github.com/MVFofanov" TargetMode="External"/><Relationship Id="rId12" Type="http://schemas.openxmlformats.org/officeDocument/2006/relationships/drawing" Target="../drawings/drawing5.xml"/><Relationship Id="rId9" Type="http://schemas.openxmlformats.org/officeDocument/2006/relationships/hyperlink" Target="https://github.com/AnnaToi01" TargetMode="External"/><Relationship Id="rId5" Type="http://schemas.openxmlformats.org/officeDocument/2006/relationships/hyperlink" Target="https://github.com/OxanaKolpakova" TargetMode="External"/><Relationship Id="rId6" Type="http://schemas.openxmlformats.org/officeDocument/2006/relationships/hyperlink" Target="https://github.com/Ann-Krlv" TargetMode="External"/><Relationship Id="rId7" Type="http://schemas.openxmlformats.org/officeDocument/2006/relationships/hyperlink" Target="https://github.com/AntonMuromtsev" TargetMode="External"/><Relationship Id="rId8" Type="http://schemas.openxmlformats.org/officeDocument/2006/relationships/hyperlink" Target="https://github.com/rusanovaA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-vychik" TargetMode="External"/><Relationship Id="rId2" Type="http://schemas.openxmlformats.org/officeDocument/2006/relationships/hyperlink" Target="https://github.com/lengrigo" TargetMode="External"/><Relationship Id="rId3" Type="http://schemas.openxmlformats.org/officeDocument/2006/relationships/hyperlink" Target="https://github.com/DIliushchenko" TargetMode="External"/><Relationship Id="rId4" Type="http://schemas.openxmlformats.org/officeDocument/2006/relationships/hyperlink" Target="https://github.com/keyreallkeyrealenko" TargetMode="External"/><Relationship Id="rId11" Type="http://schemas.openxmlformats.org/officeDocument/2006/relationships/hyperlink" Target="https://github.com/MariaShpilevaya" TargetMode="External"/><Relationship Id="rId10" Type="http://schemas.openxmlformats.org/officeDocument/2006/relationships/hyperlink" Target="https://github.com/MVFofanov" TargetMode="External"/><Relationship Id="rId12" Type="http://schemas.openxmlformats.org/officeDocument/2006/relationships/drawing" Target="../drawings/drawing6.xml"/><Relationship Id="rId9" Type="http://schemas.openxmlformats.org/officeDocument/2006/relationships/hyperlink" Target="https://github.com/AnnaToi01" TargetMode="External"/><Relationship Id="rId5" Type="http://schemas.openxmlformats.org/officeDocument/2006/relationships/hyperlink" Target="https://github.com/OxanaKolpakova" TargetMode="External"/><Relationship Id="rId6" Type="http://schemas.openxmlformats.org/officeDocument/2006/relationships/hyperlink" Target="https://github.com/Ann-Krlv" TargetMode="External"/><Relationship Id="rId7" Type="http://schemas.openxmlformats.org/officeDocument/2006/relationships/hyperlink" Target="https://github.com/AntonMuromtsev" TargetMode="External"/><Relationship Id="rId8" Type="http://schemas.openxmlformats.org/officeDocument/2006/relationships/hyperlink" Target="https://github.com/rusanovaA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75"/>
  <cols>
    <col customWidth="1" min="1" max="1" width="36.86"/>
    <col customWidth="1" min="2" max="3" width="11.57"/>
    <col customWidth="1" min="4" max="4" width="9.29"/>
    <col customWidth="1" min="5" max="8" width="7.29"/>
    <col customWidth="1" min="9" max="42" width="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M1" s="6"/>
      <c r="N1" s="5" t="s">
        <v>9</v>
      </c>
      <c r="S1" s="6"/>
      <c r="T1" s="5" t="s">
        <v>10</v>
      </c>
      <c r="X1" s="6"/>
      <c r="Y1" s="7" t="s">
        <v>11</v>
      </c>
      <c r="AC1" s="6"/>
      <c r="AD1" s="5" t="s">
        <v>12</v>
      </c>
      <c r="AK1" s="6"/>
      <c r="AL1" s="7" t="s">
        <v>13</v>
      </c>
      <c r="AP1" s="6"/>
    </row>
    <row r="2">
      <c r="A2" s="8" t="s">
        <v>14</v>
      </c>
      <c r="B2" s="9">
        <v>6.0726852E7</v>
      </c>
      <c r="C2" s="10">
        <f t="shared" ref="C2:C26" si="1">SUM(E2:AP2) / $B$30</f>
        <v>0.9912280702</v>
      </c>
      <c r="D2" s="11" t="str">
        <f t="shared" ref="D2:D26" si="2">IF(C2 &gt;= 0.9, "5", IF(C2 &gt;= 0.75, "4", IF(C2 &gt;= 0.6, "3", "2")))</f>
        <v>5</v>
      </c>
      <c r="E2" s="12">
        <v>6.0</v>
      </c>
      <c r="F2" s="12">
        <v>5.0</v>
      </c>
      <c r="G2" s="12">
        <v>5.5</v>
      </c>
      <c r="H2" s="12">
        <v>6.0</v>
      </c>
      <c r="I2" s="13">
        <v>1.0</v>
      </c>
      <c r="J2" s="13">
        <v>1.0</v>
      </c>
      <c r="K2" s="13">
        <v>1.0</v>
      </c>
      <c r="L2" s="13">
        <v>1.0</v>
      </c>
      <c r="M2" s="14">
        <v>1.0</v>
      </c>
      <c r="N2" s="13">
        <v>1.0</v>
      </c>
      <c r="O2" s="13">
        <v>1.0</v>
      </c>
      <c r="P2" s="13">
        <v>1.0</v>
      </c>
      <c r="Q2" s="13">
        <v>1.0</v>
      </c>
      <c r="R2" s="13">
        <v>1.0</v>
      </c>
      <c r="S2" s="14">
        <v>1.0</v>
      </c>
      <c r="T2" s="13">
        <v>1.0</v>
      </c>
      <c r="U2" s="13">
        <v>1.0</v>
      </c>
      <c r="V2" s="13">
        <v>1.0</v>
      </c>
      <c r="W2" s="13">
        <v>1.0</v>
      </c>
      <c r="X2" s="14">
        <v>1.0</v>
      </c>
      <c r="Y2" s="13">
        <v>1.0</v>
      </c>
      <c r="Z2" s="13">
        <v>1.0</v>
      </c>
      <c r="AA2" s="13">
        <v>1.0</v>
      </c>
      <c r="AB2" s="13">
        <v>1.0</v>
      </c>
      <c r="AC2" s="14">
        <v>1.0</v>
      </c>
      <c r="AD2" s="13">
        <v>1.0</v>
      </c>
      <c r="AE2" s="13">
        <v>1.0</v>
      </c>
      <c r="AF2" s="13">
        <v>1.0</v>
      </c>
      <c r="AG2" s="13">
        <v>1.0</v>
      </c>
      <c r="AH2" s="13">
        <v>1.0</v>
      </c>
      <c r="AI2" s="13">
        <v>1.0</v>
      </c>
      <c r="AJ2" s="13">
        <v>1.0</v>
      </c>
      <c r="AK2" s="14">
        <v>1.0</v>
      </c>
      <c r="AL2" s="13">
        <v>1.0</v>
      </c>
      <c r="AM2" s="13">
        <v>1.0</v>
      </c>
      <c r="AN2" s="13">
        <v>1.0</v>
      </c>
      <c r="AO2" s="13">
        <v>1.0</v>
      </c>
      <c r="AP2" s="14">
        <v>1.0</v>
      </c>
    </row>
    <row r="3">
      <c r="A3" s="8" t="s">
        <v>15</v>
      </c>
      <c r="B3" s="9">
        <v>3.0641265E7</v>
      </c>
      <c r="C3" s="10">
        <f t="shared" si="1"/>
        <v>0.6403508772</v>
      </c>
      <c r="D3" s="11" t="str">
        <f t="shared" si="2"/>
        <v>3</v>
      </c>
      <c r="E3" s="12">
        <v>5.0</v>
      </c>
      <c r="F3" s="12">
        <v>5.0</v>
      </c>
      <c r="G3" s="12">
        <v>4.5</v>
      </c>
      <c r="H3" s="12">
        <v>2.0</v>
      </c>
      <c r="I3" s="13">
        <v>1.0</v>
      </c>
      <c r="J3" s="13">
        <v>1.0</v>
      </c>
      <c r="K3" s="13">
        <v>1.0</v>
      </c>
      <c r="L3" s="13">
        <v>1.0</v>
      </c>
      <c r="M3" s="14">
        <v>0.0</v>
      </c>
      <c r="N3" s="13">
        <v>1.0</v>
      </c>
      <c r="O3" s="13">
        <v>1.0</v>
      </c>
      <c r="P3" s="13">
        <v>1.0</v>
      </c>
      <c r="Q3" s="13">
        <v>1.0</v>
      </c>
      <c r="R3" s="13">
        <v>1.0</v>
      </c>
      <c r="S3" s="14">
        <v>0.0</v>
      </c>
      <c r="T3" s="13">
        <v>1.0</v>
      </c>
      <c r="U3" s="13">
        <v>1.0</v>
      </c>
      <c r="V3" s="13">
        <v>0.0</v>
      </c>
      <c r="W3" s="13">
        <v>0.0</v>
      </c>
      <c r="X3" s="14">
        <v>1.0</v>
      </c>
      <c r="Y3" s="13">
        <v>1.0</v>
      </c>
      <c r="Z3" s="13">
        <v>0.0</v>
      </c>
      <c r="AA3" s="13">
        <v>0.0</v>
      </c>
      <c r="AB3" s="13">
        <v>0.0</v>
      </c>
      <c r="AC3" s="14">
        <v>0.0</v>
      </c>
      <c r="AD3" s="13">
        <v>1.0</v>
      </c>
      <c r="AE3" s="13">
        <v>1.0</v>
      </c>
      <c r="AF3" s="13">
        <v>1.0</v>
      </c>
      <c r="AG3" s="13">
        <v>1.0</v>
      </c>
      <c r="AH3" s="13">
        <v>1.0</v>
      </c>
      <c r="AI3" s="13">
        <v>1.0</v>
      </c>
      <c r="AJ3" s="13">
        <v>0.0</v>
      </c>
      <c r="AK3" s="14">
        <v>0.0</v>
      </c>
      <c r="AL3" s="13">
        <v>1.0</v>
      </c>
      <c r="AM3" s="13">
        <v>0.0</v>
      </c>
      <c r="AN3" s="13">
        <v>0.0</v>
      </c>
      <c r="AO3" s="13">
        <v>0.0</v>
      </c>
      <c r="AP3" s="14">
        <v>0.0</v>
      </c>
    </row>
    <row r="4">
      <c r="A4" s="8" t="s">
        <v>16</v>
      </c>
      <c r="B4" s="9">
        <v>9.087841E7</v>
      </c>
      <c r="C4" s="10">
        <f t="shared" si="1"/>
        <v>0.8333333333</v>
      </c>
      <c r="D4" s="11" t="str">
        <f t="shared" si="2"/>
        <v>4</v>
      </c>
      <c r="E4" s="12">
        <v>6.0</v>
      </c>
      <c r="F4" s="12">
        <v>4.5</v>
      </c>
      <c r="G4" s="12">
        <v>5.0</v>
      </c>
      <c r="H4" s="12">
        <v>4.0</v>
      </c>
      <c r="I4" s="13">
        <v>1.0</v>
      </c>
      <c r="J4" s="13">
        <v>1.0</v>
      </c>
      <c r="K4" s="13">
        <v>0.0</v>
      </c>
      <c r="L4" s="13">
        <v>0.0</v>
      </c>
      <c r="M4" s="14">
        <v>0.0</v>
      </c>
      <c r="N4" s="13">
        <v>1.0</v>
      </c>
      <c r="O4" s="13">
        <v>1.0</v>
      </c>
      <c r="P4" s="13">
        <v>1.0</v>
      </c>
      <c r="Q4" s="13">
        <v>1.0</v>
      </c>
      <c r="R4" s="13">
        <v>1.0</v>
      </c>
      <c r="S4" s="14">
        <v>1.0</v>
      </c>
      <c r="T4" s="13">
        <v>1.0</v>
      </c>
      <c r="U4" s="13">
        <v>1.0</v>
      </c>
      <c r="V4" s="13">
        <v>1.0</v>
      </c>
      <c r="W4" s="13">
        <v>0.0</v>
      </c>
      <c r="X4" s="14">
        <v>1.0</v>
      </c>
      <c r="Y4" s="13">
        <v>1.0</v>
      </c>
      <c r="Z4" s="13">
        <v>1.0</v>
      </c>
      <c r="AA4" s="13">
        <v>1.0</v>
      </c>
      <c r="AB4" s="13">
        <v>1.0</v>
      </c>
      <c r="AC4" s="14">
        <v>0.0</v>
      </c>
      <c r="AD4" s="13">
        <v>1.0</v>
      </c>
      <c r="AE4" s="13">
        <v>1.0</v>
      </c>
      <c r="AF4" s="13">
        <v>1.0</v>
      </c>
      <c r="AG4" s="13">
        <v>1.0</v>
      </c>
      <c r="AH4" s="13">
        <v>1.0</v>
      </c>
      <c r="AI4" s="13">
        <v>1.0</v>
      </c>
      <c r="AJ4" s="13">
        <v>1.0</v>
      </c>
      <c r="AK4" s="14">
        <v>0.0</v>
      </c>
      <c r="AL4" s="13">
        <v>1.0</v>
      </c>
      <c r="AM4" s="13">
        <v>1.0</v>
      </c>
      <c r="AN4" s="13">
        <v>1.0</v>
      </c>
      <c r="AO4" s="13">
        <v>1.0</v>
      </c>
      <c r="AP4" s="15">
        <v>1.0</v>
      </c>
    </row>
    <row r="5">
      <c r="A5" s="8" t="s">
        <v>17</v>
      </c>
      <c r="B5" s="9">
        <v>2.72636E7</v>
      </c>
      <c r="C5" s="10">
        <f t="shared" si="1"/>
        <v>0.9122807018</v>
      </c>
      <c r="D5" s="11" t="str">
        <f t="shared" si="2"/>
        <v>5</v>
      </c>
      <c r="E5" s="12">
        <v>6.0</v>
      </c>
      <c r="F5" s="12">
        <v>4.0</v>
      </c>
      <c r="G5" s="12">
        <v>6.0</v>
      </c>
      <c r="H5" s="12">
        <v>4.0</v>
      </c>
      <c r="I5" s="13">
        <v>1.0</v>
      </c>
      <c r="J5" s="13">
        <v>1.0</v>
      </c>
      <c r="K5" s="13">
        <v>1.0</v>
      </c>
      <c r="L5" s="13">
        <v>1.0</v>
      </c>
      <c r="M5" s="14">
        <v>1.0</v>
      </c>
      <c r="N5" s="13">
        <v>1.0</v>
      </c>
      <c r="O5" s="13">
        <v>1.0</v>
      </c>
      <c r="P5" s="13">
        <v>1.0</v>
      </c>
      <c r="Q5" s="13">
        <v>1.0</v>
      </c>
      <c r="R5" s="13">
        <v>1.0</v>
      </c>
      <c r="S5" s="14">
        <v>1.0</v>
      </c>
      <c r="T5" s="13">
        <v>1.0</v>
      </c>
      <c r="U5" s="13">
        <v>1.0</v>
      </c>
      <c r="V5" s="13">
        <v>1.0</v>
      </c>
      <c r="W5" s="13">
        <v>1.0</v>
      </c>
      <c r="X5" s="14">
        <v>1.0</v>
      </c>
      <c r="Y5" s="13">
        <v>1.0</v>
      </c>
      <c r="Z5" s="13">
        <v>1.0</v>
      </c>
      <c r="AA5" s="13">
        <v>1.0</v>
      </c>
      <c r="AB5" s="13">
        <v>1.0</v>
      </c>
      <c r="AC5" s="14">
        <v>1.0</v>
      </c>
      <c r="AD5" s="13">
        <v>1.0</v>
      </c>
      <c r="AE5" s="13">
        <v>1.0</v>
      </c>
      <c r="AF5" s="13">
        <v>1.0</v>
      </c>
      <c r="AG5" s="13">
        <v>1.0</v>
      </c>
      <c r="AH5" s="13">
        <v>1.0</v>
      </c>
      <c r="AI5" s="13">
        <v>0.0</v>
      </c>
      <c r="AJ5" s="13">
        <v>0.0</v>
      </c>
      <c r="AK5" s="14">
        <v>1.0</v>
      </c>
      <c r="AL5" s="13">
        <v>1.0</v>
      </c>
      <c r="AM5" s="13">
        <v>1.0</v>
      </c>
      <c r="AN5" s="13">
        <v>1.0</v>
      </c>
      <c r="AO5" s="13">
        <v>1.0</v>
      </c>
      <c r="AP5" s="14">
        <v>1.0</v>
      </c>
    </row>
    <row r="6">
      <c r="A6" s="8" t="s">
        <v>18</v>
      </c>
      <c r="B6" s="9">
        <v>1.8411532E7</v>
      </c>
      <c r="C6" s="10">
        <f t="shared" si="1"/>
        <v>0.6842105263</v>
      </c>
      <c r="D6" s="11" t="str">
        <f t="shared" si="2"/>
        <v>3</v>
      </c>
      <c r="E6" s="12">
        <v>5.0</v>
      </c>
      <c r="F6" s="12">
        <v>5.0</v>
      </c>
      <c r="G6" s="12">
        <v>5.0</v>
      </c>
      <c r="H6" s="12">
        <v>2.0</v>
      </c>
      <c r="I6" s="13">
        <v>1.0</v>
      </c>
      <c r="J6" s="13">
        <v>1.0</v>
      </c>
      <c r="K6" s="13">
        <v>1.0</v>
      </c>
      <c r="L6" s="13">
        <v>1.0</v>
      </c>
      <c r="M6" s="14">
        <v>0.0</v>
      </c>
      <c r="N6" s="13">
        <v>1.0</v>
      </c>
      <c r="O6" s="13">
        <v>1.0</v>
      </c>
      <c r="P6" s="13">
        <v>1.0</v>
      </c>
      <c r="Q6" s="13">
        <v>1.0</v>
      </c>
      <c r="R6" s="13">
        <v>1.0</v>
      </c>
      <c r="S6" s="14">
        <v>0.0</v>
      </c>
      <c r="T6" s="13">
        <v>1.0</v>
      </c>
      <c r="U6" s="13">
        <v>1.0</v>
      </c>
      <c r="V6" s="13">
        <v>0.0</v>
      </c>
      <c r="W6" s="13">
        <v>0.0</v>
      </c>
      <c r="X6" s="14">
        <v>1.0</v>
      </c>
      <c r="Y6" s="13">
        <v>1.0</v>
      </c>
      <c r="Z6" s="13">
        <v>1.0</v>
      </c>
      <c r="AA6" s="13">
        <v>0.0</v>
      </c>
      <c r="AB6" s="13">
        <v>0.0</v>
      </c>
      <c r="AC6" s="14">
        <v>0.0</v>
      </c>
      <c r="AD6" s="13">
        <v>1.0</v>
      </c>
      <c r="AE6" s="13">
        <v>1.0</v>
      </c>
      <c r="AF6" s="13">
        <v>1.0</v>
      </c>
      <c r="AG6" s="13">
        <v>1.0</v>
      </c>
      <c r="AH6" s="13">
        <v>1.0</v>
      </c>
      <c r="AI6" s="13">
        <v>0.0</v>
      </c>
      <c r="AJ6" s="13">
        <v>0.0</v>
      </c>
      <c r="AK6" s="14">
        <v>0.0</v>
      </c>
      <c r="AL6" s="13">
        <v>1.0</v>
      </c>
      <c r="AM6" s="13">
        <v>1.0</v>
      </c>
      <c r="AN6" s="13">
        <v>1.0</v>
      </c>
      <c r="AO6" s="13">
        <v>0.0</v>
      </c>
      <c r="AP6" s="14">
        <v>0.0</v>
      </c>
    </row>
    <row r="7">
      <c r="A7" s="8" t="s">
        <v>19</v>
      </c>
      <c r="B7" s="9">
        <v>3.6594162E7</v>
      </c>
      <c r="C7" s="10">
        <f t="shared" si="1"/>
        <v>0.7543859649</v>
      </c>
      <c r="D7" s="11" t="str">
        <f t="shared" si="2"/>
        <v>4</v>
      </c>
      <c r="E7" s="12">
        <v>6.0</v>
      </c>
      <c r="F7" s="12">
        <v>5.0</v>
      </c>
      <c r="G7" s="12">
        <v>5.5</v>
      </c>
      <c r="H7" s="12">
        <v>1.0</v>
      </c>
      <c r="I7" s="13">
        <v>1.0</v>
      </c>
      <c r="J7" s="13">
        <v>1.0</v>
      </c>
      <c r="K7" s="13">
        <v>1.0</v>
      </c>
      <c r="L7" s="13">
        <v>1.0</v>
      </c>
      <c r="M7" s="14">
        <v>1.0</v>
      </c>
      <c r="N7" s="13">
        <v>1.0</v>
      </c>
      <c r="O7" s="13">
        <v>1.0</v>
      </c>
      <c r="P7" s="13">
        <v>1.0</v>
      </c>
      <c r="Q7" s="13">
        <v>1.0</v>
      </c>
      <c r="R7" s="13">
        <v>1.0</v>
      </c>
      <c r="S7" s="14">
        <v>1.0</v>
      </c>
      <c r="T7" s="13">
        <v>1.0</v>
      </c>
      <c r="U7" s="13">
        <v>1.0</v>
      </c>
      <c r="V7" s="13">
        <v>1.0</v>
      </c>
      <c r="W7" s="13">
        <v>0.0</v>
      </c>
      <c r="X7" s="14">
        <v>1.0</v>
      </c>
      <c r="Y7" s="13">
        <v>1.0</v>
      </c>
      <c r="Z7" s="13">
        <v>1.0</v>
      </c>
      <c r="AA7" s="13">
        <v>0.0</v>
      </c>
      <c r="AB7" s="13">
        <v>0.0</v>
      </c>
      <c r="AC7" s="14">
        <v>0.0</v>
      </c>
      <c r="AD7" s="13">
        <v>1.0</v>
      </c>
      <c r="AE7" s="13">
        <v>1.0</v>
      </c>
      <c r="AF7" s="13">
        <v>1.0</v>
      </c>
      <c r="AG7" s="5">
        <v>0.5</v>
      </c>
      <c r="AH7" s="13">
        <v>0.0</v>
      </c>
      <c r="AI7" s="13">
        <v>0.0</v>
      </c>
      <c r="AJ7" s="13">
        <v>0.0</v>
      </c>
      <c r="AK7" s="14">
        <v>0.0</v>
      </c>
      <c r="AL7" s="13">
        <v>1.0</v>
      </c>
      <c r="AM7" s="13">
        <v>1.0</v>
      </c>
      <c r="AN7" s="13">
        <v>1.0</v>
      </c>
      <c r="AO7" s="13">
        <v>1.0</v>
      </c>
      <c r="AP7" s="14">
        <v>1.0</v>
      </c>
    </row>
    <row r="8">
      <c r="A8" s="8" t="s">
        <v>20</v>
      </c>
      <c r="B8" s="9">
        <v>6.8775352E7</v>
      </c>
      <c r="C8" s="10">
        <f t="shared" si="1"/>
        <v>0.9473684211</v>
      </c>
      <c r="D8" s="11" t="str">
        <f t="shared" si="2"/>
        <v>5</v>
      </c>
      <c r="E8" s="12">
        <v>6.0</v>
      </c>
      <c r="F8" s="12">
        <v>5.0</v>
      </c>
      <c r="G8" s="12">
        <v>5.5</v>
      </c>
      <c r="H8" s="12">
        <v>3.5</v>
      </c>
      <c r="I8" s="13">
        <v>1.0</v>
      </c>
      <c r="J8" s="13">
        <v>1.0</v>
      </c>
      <c r="K8" s="13">
        <v>1.0</v>
      </c>
      <c r="L8" s="13">
        <v>1.0</v>
      </c>
      <c r="M8" s="14">
        <v>1.0</v>
      </c>
      <c r="N8" s="5">
        <v>1.0</v>
      </c>
      <c r="O8" s="5">
        <v>1.0</v>
      </c>
      <c r="P8" s="5">
        <v>1.0</v>
      </c>
      <c r="Q8" s="5">
        <v>1.0</v>
      </c>
      <c r="R8" s="5">
        <v>1.0</v>
      </c>
      <c r="S8" s="15">
        <v>1.0</v>
      </c>
      <c r="T8" s="13">
        <v>1.0</v>
      </c>
      <c r="U8" s="13">
        <v>1.0</v>
      </c>
      <c r="V8" s="13">
        <v>1.0</v>
      </c>
      <c r="W8" s="13">
        <v>1.0</v>
      </c>
      <c r="X8" s="14">
        <v>1.0</v>
      </c>
      <c r="Y8" s="13">
        <v>1.0</v>
      </c>
      <c r="Z8" s="13">
        <v>1.0</v>
      </c>
      <c r="AA8" s="13">
        <v>1.0</v>
      </c>
      <c r="AB8" s="13">
        <v>1.0</v>
      </c>
      <c r="AC8" s="14">
        <v>1.0</v>
      </c>
      <c r="AD8" s="13">
        <v>1.0</v>
      </c>
      <c r="AE8" s="13">
        <v>1.0</v>
      </c>
      <c r="AF8" s="13">
        <v>1.0</v>
      </c>
      <c r="AG8" s="13">
        <v>1.0</v>
      </c>
      <c r="AH8" s="13">
        <v>1.0</v>
      </c>
      <c r="AI8" s="13">
        <v>1.0</v>
      </c>
      <c r="AJ8" s="13">
        <v>1.0</v>
      </c>
      <c r="AK8" s="14">
        <v>1.0</v>
      </c>
      <c r="AL8" s="13">
        <v>1.0</v>
      </c>
      <c r="AM8" s="13">
        <v>1.0</v>
      </c>
      <c r="AN8" s="13">
        <v>1.0</v>
      </c>
      <c r="AO8" s="13">
        <v>1.0</v>
      </c>
      <c r="AP8" s="14">
        <v>1.0</v>
      </c>
    </row>
    <row r="9">
      <c r="A9" s="8" t="s">
        <v>21</v>
      </c>
      <c r="B9" s="9">
        <v>4.1797465E7</v>
      </c>
      <c r="C9" s="10">
        <f t="shared" si="1"/>
        <v>0.6052631579</v>
      </c>
      <c r="D9" s="11" t="str">
        <f t="shared" si="2"/>
        <v>3</v>
      </c>
      <c r="E9" s="12">
        <v>3.0</v>
      </c>
      <c r="F9" s="12">
        <v>5.0</v>
      </c>
      <c r="G9" s="12">
        <v>2.5</v>
      </c>
      <c r="H9" s="12">
        <v>0.0</v>
      </c>
      <c r="I9" s="13">
        <v>1.0</v>
      </c>
      <c r="J9" s="13">
        <v>1.0</v>
      </c>
      <c r="K9" s="13">
        <v>1.0</v>
      </c>
      <c r="L9" s="13">
        <v>1.0</v>
      </c>
      <c r="M9" s="14">
        <v>1.0</v>
      </c>
      <c r="N9" s="13">
        <v>1.0</v>
      </c>
      <c r="O9" s="13">
        <v>1.0</v>
      </c>
      <c r="P9" s="13">
        <v>1.0</v>
      </c>
      <c r="Q9" s="13">
        <v>1.0</v>
      </c>
      <c r="R9" s="13">
        <v>1.0</v>
      </c>
      <c r="S9" s="14">
        <v>1.0</v>
      </c>
      <c r="T9" s="13">
        <v>1.0</v>
      </c>
      <c r="U9" s="13">
        <v>1.0</v>
      </c>
      <c r="V9" s="13">
        <v>1.0</v>
      </c>
      <c r="W9" s="13">
        <v>0.0</v>
      </c>
      <c r="X9" s="14">
        <v>1.0</v>
      </c>
      <c r="Y9" s="13">
        <v>1.0</v>
      </c>
      <c r="Z9" s="13">
        <v>1.0</v>
      </c>
      <c r="AA9" s="13">
        <v>0.0</v>
      </c>
      <c r="AB9" s="13">
        <v>0.0</v>
      </c>
      <c r="AC9" s="14">
        <v>0.0</v>
      </c>
      <c r="AD9" s="13">
        <v>1.0</v>
      </c>
      <c r="AE9" s="13">
        <v>1.0</v>
      </c>
      <c r="AF9" s="13">
        <v>1.0</v>
      </c>
      <c r="AG9" s="13">
        <v>1.0</v>
      </c>
      <c r="AH9" s="13">
        <v>0.0</v>
      </c>
      <c r="AI9" s="13">
        <v>0.0</v>
      </c>
      <c r="AJ9" s="13">
        <v>0.0</v>
      </c>
      <c r="AK9" s="14">
        <v>0.0</v>
      </c>
      <c r="AL9" s="13">
        <v>1.0</v>
      </c>
      <c r="AM9" s="13">
        <v>1.0</v>
      </c>
      <c r="AN9" s="13">
        <v>1.0</v>
      </c>
      <c r="AO9" s="13">
        <v>0.0</v>
      </c>
      <c r="AP9" s="14">
        <v>0.0</v>
      </c>
    </row>
    <row r="10">
      <c r="A10" s="8" t="s">
        <v>22</v>
      </c>
      <c r="B10" s="9">
        <v>1.55306958E8</v>
      </c>
      <c r="C10" s="10">
        <f t="shared" si="1"/>
        <v>0.6052631579</v>
      </c>
      <c r="D10" s="11" t="str">
        <f t="shared" si="2"/>
        <v>3</v>
      </c>
      <c r="E10" s="12">
        <v>2.0</v>
      </c>
      <c r="F10" s="12">
        <v>3.5</v>
      </c>
      <c r="G10" s="12">
        <v>2.0</v>
      </c>
      <c r="H10" s="12">
        <v>1.0</v>
      </c>
      <c r="I10" s="13">
        <v>1.0</v>
      </c>
      <c r="J10" s="13">
        <v>1.0</v>
      </c>
      <c r="K10" s="13">
        <v>0.0</v>
      </c>
      <c r="L10" s="13">
        <v>1.0</v>
      </c>
      <c r="M10" s="14">
        <v>0.0</v>
      </c>
      <c r="N10" s="13">
        <v>1.0</v>
      </c>
      <c r="O10" s="13">
        <v>1.0</v>
      </c>
      <c r="P10" s="13">
        <v>1.0</v>
      </c>
      <c r="Q10" s="13">
        <v>1.0</v>
      </c>
      <c r="R10" s="13">
        <v>1.0</v>
      </c>
      <c r="S10" s="14">
        <v>0.0</v>
      </c>
      <c r="T10" s="13">
        <v>1.0</v>
      </c>
      <c r="U10" s="13">
        <v>1.0</v>
      </c>
      <c r="V10" s="13">
        <v>1.0</v>
      </c>
      <c r="W10" s="13">
        <v>0.0</v>
      </c>
      <c r="X10" s="14">
        <v>1.0</v>
      </c>
      <c r="Y10" s="13">
        <v>1.0</v>
      </c>
      <c r="Z10" s="13">
        <v>1.0</v>
      </c>
      <c r="AA10" s="13">
        <v>0.0</v>
      </c>
      <c r="AB10" s="13">
        <v>0.0</v>
      </c>
      <c r="AC10" s="14">
        <v>1.0</v>
      </c>
      <c r="AD10" s="13">
        <v>1.0</v>
      </c>
      <c r="AE10" s="13">
        <v>1.0</v>
      </c>
      <c r="AF10" s="13">
        <v>1.0</v>
      </c>
      <c r="AG10" s="13">
        <v>1.0</v>
      </c>
      <c r="AH10" s="13">
        <v>1.0</v>
      </c>
      <c r="AI10" s="13">
        <v>1.0</v>
      </c>
      <c r="AJ10" s="13">
        <v>1.0</v>
      </c>
      <c r="AK10" s="14">
        <v>0.0</v>
      </c>
      <c r="AL10" s="13">
        <v>1.0</v>
      </c>
      <c r="AM10" s="13">
        <v>1.0</v>
      </c>
      <c r="AN10" s="5">
        <v>1.0</v>
      </c>
      <c r="AO10" s="5">
        <v>1.0</v>
      </c>
      <c r="AP10" s="14">
        <v>0.0</v>
      </c>
    </row>
    <row r="11">
      <c r="A11" s="8" t="s">
        <v>23</v>
      </c>
      <c r="B11" s="9">
        <v>1943508.0</v>
      </c>
      <c r="C11" s="10">
        <f t="shared" si="1"/>
        <v>0.8157894737</v>
      </c>
      <c r="D11" s="11" t="str">
        <f t="shared" si="2"/>
        <v>4</v>
      </c>
      <c r="E11" s="12">
        <v>5.0</v>
      </c>
      <c r="F11" s="12">
        <v>5.0</v>
      </c>
      <c r="G11" s="12">
        <v>5.0</v>
      </c>
      <c r="H11" s="12">
        <v>2.5</v>
      </c>
      <c r="I11" s="13">
        <v>1.0</v>
      </c>
      <c r="J11" s="13">
        <v>1.0</v>
      </c>
      <c r="K11" s="13">
        <v>1.0</v>
      </c>
      <c r="L11" s="13">
        <v>1.0</v>
      </c>
      <c r="M11" s="14">
        <v>1.0</v>
      </c>
      <c r="N11" s="13">
        <v>1.0</v>
      </c>
      <c r="O11" s="13">
        <v>1.0</v>
      </c>
      <c r="P11" s="13">
        <v>1.0</v>
      </c>
      <c r="Q11" s="13">
        <v>1.0</v>
      </c>
      <c r="R11" s="13">
        <v>1.0</v>
      </c>
      <c r="S11" s="14">
        <v>0.0</v>
      </c>
      <c r="T11" s="13">
        <v>1.0</v>
      </c>
      <c r="U11" s="13">
        <v>1.0</v>
      </c>
      <c r="V11" s="13">
        <v>1.0</v>
      </c>
      <c r="W11" s="13">
        <v>1.0</v>
      </c>
      <c r="X11" s="14">
        <v>1.0</v>
      </c>
      <c r="Y11" s="13">
        <v>1.0</v>
      </c>
      <c r="Z11" s="13">
        <v>1.0</v>
      </c>
      <c r="AA11" s="13">
        <v>0.0</v>
      </c>
      <c r="AB11" s="13">
        <v>0.0</v>
      </c>
      <c r="AC11" s="14">
        <v>1.0</v>
      </c>
      <c r="AD11" s="13">
        <v>1.0</v>
      </c>
      <c r="AE11" s="13">
        <v>1.0</v>
      </c>
      <c r="AF11" s="13">
        <v>1.0</v>
      </c>
      <c r="AG11" s="13">
        <v>1.0</v>
      </c>
      <c r="AH11" s="13">
        <v>1.0</v>
      </c>
      <c r="AI11" s="13">
        <v>0.0</v>
      </c>
      <c r="AJ11" s="13">
        <v>1.0</v>
      </c>
      <c r="AK11" s="14">
        <v>0.0</v>
      </c>
      <c r="AL11" s="13">
        <v>1.0</v>
      </c>
      <c r="AM11" s="13">
        <v>1.0</v>
      </c>
      <c r="AN11" s="13">
        <v>1.0</v>
      </c>
      <c r="AO11" s="13">
        <v>1.0</v>
      </c>
      <c r="AP11" s="14">
        <v>1.0</v>
      </c>
    </row>
    <row r="12">
      <c r="A12" s="8" t="s">
        <v>24</v>
      </c>
      <c r="B12" s="9">
        <v>1.6318756E7</v>
      </c>
      <c r="C12" s="10">
        <f t="shared" si="1"/>
        <v>0.9385964912</v>
      </c>
      <c r="D12" s="11" t="str">
        <f t="shared" si="2"/>
        <v>5</v>
      </c>
      <c r="E12" s="12">
        <v>5.0</v>
      </c>
      <c r="F12" s="12">
        <v>5.0</v>
      </c>
      <c r="G12" s="12">
        <v>6.0</v>
      </c>
      <c r="H12" s="12">
        <v>4.5</v>
      </c>
      <c r="I12" s="13">
        <v>1.0</v>
      </c>
      <c r="J12" s="13">
        <v>1.0</v>
      </c>
      <c r="K12" s="13">
        <v>1.0</v>
      </c>
      <c r="L12" s="13">
        <v>1.0</v>
      </c>
      <c r="M12" s="14">
        <v>1.0</v>
      </c>
      <c r="N12" s="13">
        <v>1.0</v>
      </c>
      <c r="O12" s="13">
        <v>1.0</v>
      </c>
      <c r="P12" s="13">
        <v>1.0</v>
      </c>
      <c r="Q12" s="13">
        <v>1.0</v>
      </c>
      <c r="R12" s="13">
        <v>1.0</v>
      </c>
      <c r="S12" s="14">
        <v>1.0</v>
      </c>
      <c r="T12" s="13">
        <v>1.0</v>
      </c>
      <c r="U12" s="13">
        <v>1.0</v>
      </c>
      <c r="V12" s="13">
        <v>1.0</v>
      </c>
      <c r="W12" s="13">
        <v>1.0</v>
      </c>
      <c r="X12" s="14">
        <v>1.0</v>
      </c>
      <c r="Y12" s="13">
        <v>1.0</v>
      </c>
      <c r="Z12" s="13">
        <v>1.0</v>
      </c>
      <c r="AA12" s="13">
        <v>1.0</v>
      </c>
      <c r="AB12" s="13">
        <v>1.0</v>
      </c>
      <c r="AC12" s="14">
        <v>1.0</v>
      </c>
      <c r="AD12" s="13">
        <v>1.0</v>
      </c>
      <c r="AE12" s="13">
        <v>1.0</v>
      </c>
      <c r="AF12" s="13">
        <v>1.0</v>
      </c>
      <c r="AG12" s="13">
        <v>1.0</v>
      </c>
      <c r="AH12" s="13">
        <v>1.0</v>
      </c>
      <c r="AI12" s="13">
        <v>1.0</v>
      </c>
      <c r="AJ12" s="13">
        <v>1.0</v>
      </c>
      <c r="AK12" s="14">
        <v>1.0</v>
      </c>
      <c r="AL12" s="13">
        <v>1.0</v>
      </c>
      <c r="AM12" s="13">
        <v>1.0</v>
      </c>
      <c r="AN12" s="13">
        <v>1.0</v>
      </c>
      <c r="AO12" s="13">
        <v>1.0</v>
      </c>
      <c r="AP12" s="14">
        <v>0.0</v>
      </c>
    </row>
    <row r="13">
      <c r="A13" s="8" t="s">
        <v>25</v>
      </c>
      <c r="B13" s="9">
        <v>5.8125628E7</v>
      </c>
      <c r="C13" s="10">
        <f t="shared" si="1"/>
        <v>0.7543859649</v>
      </c>
      <c r="D13" s="11" t="str">
        <f t="shared" si="2"/>
        <v>4</v>
      </c>
      <c r="E13" s="4">
        <v>6.0</v>
      </c>
      <c r="F13" s="12">
        <v>5.0</v>
      </c>
      <c r="G13" s="12">
        <v>5.5</v>
      </c>
      <c r="H13" s="12">
        <v>3.5</v>
      </c>
      <c r="I13" s="13">
        <v>1.0</v>
      </c>
      <c r="J13" s="13">
        <v>1.0</v>
      </c>
      <c r="K13" s="5">
        <v>0.0</v>
      </c>
      <c r="L13" s="13">
        <v>1.0</v>
      </c>
      <c r="M13" s="15">
        <v>0.0</v>
      </c>
      <c r="N13" s="13">
        <v>1.0</v>
      </c>
      <c r="O13" s="13">
        <v>1.0</v>
      </c>
      <c r="P13" s="13">
        <v>1.0</v>
      </c>
      <c r="Q13" s="13">
        <v>1.0</v>
      </c>
      <c r="R13" s="13">
        <v>1.0</v>
      </c>
      <c r="S13" s="14">
        <v>0.0</v>
      </c>
      <c r="T13" s="13">
        <v>1.0</v>
      </c>
      <c r="U13" s="13">
        <v>1.0</v>
      </c>
      <c r="V13" s="13">
        <v>0.0</v>
      </c>
      <c r="W13" s="13">
        <v>0.0</v>
      </c>
      <c r="X13" s="14">
        <v>1.0</v>
      </c>
      <c r="Y13" s="13">
        <v>1.0</v>
      </c>
      <c r="Z13" s="13">
        <v>1.0</v>
      </c>
      <c r="AA13" s="13">
        <v>0.0</v>
      </c>
      <c r="AB13" s="13">
        <v>1.0</v>
      </c>
      <c r="AC13" s="14">
        <v>0.0</v>
      </c>
      <c r="AD13" s="13">
        <v>1.0</v>
      </c>
      <c r="AE13" s="13">
        <v>1.0</v>
      </c>
      <c r="AF13" s="13">
        <v>1.0</v>
      </c>
      <c r="AG13" s="13">
        <v>1.0</v>
      </c>
      <c r="AH13" s="13">
        <v>1.0</v>
      </c>
      <c r="AI13" s="13">
        <v>1.0</v>
      </c>
      <c r="AJ13" s="13">
        <v>0.0</v>
      </c>
      <c r="AK13" s="14">
        <v>0.0</v>
      </c>
      <c r="AL13" s="13">
        <v>1.0</v>
      </c>
      <c r="AM13" s="13">
        <v>1.0</v>
      </c>
      <c r="AN13" s="13">
        <v>1.0</v>
      </c>
      <c r="AO13" s="13">
        <v>0.0</v>
      </c>
      <c r="AP13" s="14">
        <v>0.0</v>
      </c>
    </row>
    <row r="14">
      <c r="A14" s="8" t="s">
        <v>26</v>
      </c>
      <c r="B14" s="9">
        <v>4.2572948E7</v>
      </c>
      <c r="C14" s="10">
        <f t="shared" si="1"/>
        <v>0.7543859649</v>
      </c>
      <c r="D14" s="11" t="str">
        <f t="shared" si="2"/>
        <v>4</v>
      </c>
      <c r="E14" s="4">
        <v>4.0</v>
      </c>
      <c r="F14" s="12">
        <v>5.0</v>
      </c>
      <c r="G14" s="4">
        <v>5.0</v>
      </c>
      <c r="H14" s="4">
        <v>2.0</v>
      </c>
      <c r="I14" s="13">
        <v>1.0</v>
      </c>
      <c r="J14" s="13">
        <v>1.0</v>
      </c>
      <c r="K14" s="13">
        <v>0.0</v>
      </c>
      <c r="L14" s="13">
        <v>1.0</v>
      </c>
      <c r="M14" s="14">
        <v>1.0</v>
      </c>
      <c r="N14" s="13">
        <v>1.0</v>
      </c>
      <c r="O14" s="13">
        <v>1.0</v>
      </c>
      <c r="P14" s="13">
        <v>1.0</v>
      </c>
      <c r="Q14" s="13">
        <v>1.0</v>
      </c>
      <c r="R14" s="13">
        <v>0.0</v>
      </c>
      <c r="S14" s="14">
        <v>1.0</v>
      </c>
      <c r="T14" s="13">
        <v>1.0</v>
      </c>
      <c r="U14" s="13">
        <v>1.0</v>
      </c>
      <c r="V14" s="13">
        <v>1.0</v>
      </c>
      <c r="W14" s="13">
        <v>1.0</v>
      </c>
      <c r="X14" s="14">
        <v>1.0</v>
      </c>
      <c r="Y14" s="13">
        <v>1.0</v>
      </c>
      <c r="Z14" s="13">
        <v>1.0</v>
      </c>
      <c r="AA14" s="13">
        <v>0.0</v>
      </c>
      <c r="AB14" s="13">
        <v>0.0</v>
      </c>
      <c r="AC14" s="14">
        <v>0.0</v>
      </c>
      <c r="AD14" s="13">
        <v>1.0</v>
      </c>
      <c r="AE14" s="13">
        <v>1.0</v>
      </c>
      <c r="AF14" s="13">
        <v>1.0</v>
      </c>
      <c r="AG14" s="13">
        <v>1.0</v>
      </c>
      <c r="AH14" s="13">
        <v>1.0</v>
      </c>
      <c r="AI14" s="13">
        <v>1.0</v>
      </c>
      <c r="AJ14" s="13">
        <v>0.0</v>
      </c>
      <c r="AK14" s="14">
        <v>0.0</v>
      </c>
      <c r="AL14" s="13">
        <v>1.0</v>
      </c>
      <c r="AM14" s="13">
        <v>1.0</v>
      </c>
      <c r="AN14" s="13">
        <v>1.0</v>
      </c>
      <c r="AO14" s="13">
        <v>1.0</v>
      </c>
      <c r="AP14" s="14">
        <v>1.0</v>
      </c>
    </row>
    <row r="15">
      <c r="A15" s="8" t="s">
        <v>27</v>
      </c>
      <c r="B15" s="9">
        <v>3.0527095E7</v>
      </c>
      <c r="C15" s="10">
        <f t="shared" si="1"/>
        <v>0.6315789474</v>
      </c>
      <c r="D15" s="11" t="str">
        <f t="shared" si="2"/>
        <v>3</v>
      </c>
      <c r="E15" s="12">
        <v>4.0</v>
      </c>
      <c r="F15" s="12">
        <v>5.0</v>
      </c>
      <c r="G15" s="12">
        <v>4.0</v>
      </c>
      <c r="H15" s="12">
        <v>1.0</v>
      </c>
      <c r="I15" s="13">
        <v>1.0</v>
      </c>
      <c r="J15" s="13">
        <v>1.0</v>
      </c>
      <c r="K15" s="13">
        <v>1.0</v>
      </c>
      <c r="L15" s="13">
        <v>0.0</v>
      </c>
      <c r="M15" s="14">
        <v>0.0</v>
      </c>
      <c r="N15" s="13">
        <v>1.0</v>
      </c>
      <c r="O15" s="13">
        <v>0.0</v>
      </c>
      <c r="P15" s="13">
        <v>1.0</v>
      </c>
      <c r="Q15" s="13">
        <v>0.0</v>
      </c>
      <c r="R15" s="13">
        <v>0.0</v>
      </c>
      <c r="S15" s="14">
        <v>0.0</v>
      </c>
      <c r="T15" s="13">
        <v>1.0</v>
      </c>
      <c r="U15" s="13">
        <v>0.0</v>
      </c>
      <c r="V15" s="13">
        <v>1.0</v>
      </c>
      <c r="W15" s="13">
        <v>0.0</v>
      </c>
      <c r="X15" s="14">
        <v>1.0</v>
      </c>
      <c r="Y15" s="13">
        <v>1.0</v>
      </c>
      <c r="Z15" s="13">
        <v>1.0</v>
      </c>
      <c r="AA15" s="13">
        <v>1.0</v>
      </c>
      <c r="AB15" s="13">
        <v>0.0</v>
      </c>
      <c r="AC15" s="14">
        <v>0.0</v>
      </c>
      <c r="AD15" s="13">
        <v>1.0</v>
      </c>
      <c r="AE15" s="13">
        <v>1.0</v>
      </c>
      <c r="AF15" s="13">
        <v>0.0</v>
      </c>
      <c r="AG15" s="13">
        <v>0.0</v>
      </c>
      <c r="AH15" s="13">
        <v>1.0</v>
      </c>
      <c r="AI15" s="13">
        <v>1.0</v>
      </c>
      <c r="AJ15" s="13">
        <v>1.0</v>
      </c>
      <c r="AK15" s="14">
        <v>1.0</v>
      </c>
      <c r="AL15" s="5">
        <v>1.0</v>
      </c>
      <c r="AM15" s="5">
        <v>1.0</v>
      </c>
      <c r="AN15" s="5">
        <v>1.0</v>
      </c>
      <c r="AO15" s="5">
        <v>1.0</v>
      </c>
      <c r="AP15" s="15">
        <v>1.0</v>
      </c>
    </row>
    <row r="16">
      <c r="A16" s="8" t="s">
        <v>28</v>
      </c>
      <c r="B16" s="9">
        <v>8.2036249E7</v>
      </c>
      <c r="C16" s="10">
        <f t="shared" si="1"/>
        <v>0.9122807018</v>
      </c>
      <c r="D16" s="11" t="str">
        <f t="shared" si="2"/>
        <v>5</v>
      </c>
      <c r="E16" s="12">
        <v>6.0</v>
      </c>
      <c r="F16" s="12">
        <v>5.0</v>
      </c>
      <c r="G16" s="12">
        <v>6.0</v>
      </c>
      <c r="H16" s="12">
        <v>4.0</v>
      </c>
      <c r="I16" s="13">
        <v>1.0</v>
      </c>
      <c r="J16" s="13">
        <v>1.0</v>
      </c>
      <c r="K16" s="13">
        <v>1.0</v>
      </c>
      <c r="L16" s="13">
        <v>1.0</v>
      </c>
      <c r="M16" s="14">
        <v>0.0</v>
      </c>
      <c r="N16" s="13">
        <v>1.0</v>
      </c>
      <c r="O16" s="13">
        <v>1.0</v>
      </c>
      <c r="P16" s="13">
        <v>1.0</v>
      </c>
      <c r="Q16" s="13">
        <v>1.0</v>
      </c>
      <c r="R16" s="13">
        <v>1.0</v>
      </c>
      <c r="S16" s="14">
        <v>1.0</v>
      </c>
      <c r="T16" s="13">
        <v>1.0</v>
      </c>
      <c r="U16" s="13">
        <v>1.0</v>
      </c>
      <c r="V16" s="13">
        <v>1.0</v>
      </c>
      <c r="W16" s="13">
        <v>1.0</v>
      </c>
      <c r="X16" s="14">
        <v>1.0</v>
      </c>
      <c r="Y16" s="13">
        <v>1.0</v>
      </c>
      <c r="Z16" s="13">
        <v>1.0</v>
      </c>
      <c r="AA16" s="13">
        <v>1.0</v>
      </c>
      <c r="AB16" s="13">
        <v>1.0</v>
      </c>
      <c r="AC16" s="14">
        <v>0.0</v>
      </c>
      <c r="AD16" s="13">
        <v>1.0</v>
      </c>
      <c r="AE16" s="13">
        <v>1.0</v>
      </c>
      <c r="AF16" s="13">
        <v>1.0</v>
      </c>
      <c r="AG16" s="13">
        <v>1.0</v>
      </c>
      <c r="AH16" s="13">
        <v>1.0</v>
      </c>
      <c r="AI16" s="13">
        <v>1.0</v>
      </c>
      <c r="AJ16" s="13">
        <v>1.0</v>
      </c>
      <c r="AK16" s="14">
        <v>1.0</v>
      </c>
      <c r="AL16" s="13">
        <v>1.0</v>
      </c>
      <c r="AM16" s="13">
        <v>1.0</v>
      </c>
      <c r="AN16" s="13">
        <v>1.0</v>
      </c>
      <c r="AO16" s="13">
        <v>1.0</v>
      </c>
      <c r="AP16" s="14">
        <v>0.0</v>
      </c>
    </row>
    <row r="17">
      <c r="A17" s="8" t="s">
        <v>29</v>
      </c>
      <c r="B17" s="9">
        <v>8.362043E7</v>
      </c>
      <c r="C17" s="10">
        <f t="shared" si="1"/>
        <v>0.7631578947</v>
      </c>
      <c r="D17" s="11" t="str">
        <f t="shared" si="2"/>
        <v>4</v>
      </c>
      <c r="E17" s="12">
        <v>5.0</v>
      </c>
      <c r="F17" s="12">
        <v>4.5</v>
      </c>
      <c r="G17" s="12">
        <v>5.0</v>
      </c>
      <c r="H17" s="12">
        <v>4.0</v>
      </c>
      <c r="I17" s="13">
        <v>1.0</v>
      </c>
      <c r="J17" s="13">
        <v>1.0</v>
      </c>
      <c r="K17" s="13">
        <v>0.0</v>
      </c>
      <c r="L17" s="13">
        <v>1.0</v>
      </c>
      <c r="M17" s="14">
        <v>0.0</v>
      </c>
      <c r="N17" s="13">
        <v>1.0</v>
      </c>
      <c r="O17" s="13">
        <v>1.0</v>
      </c>
      <c r="P17" s="13">
        <v>1.0</v>
      </c>
      <c r="Q17" s="13">
        <v>1.0</v>
      </c>
      <c r="R17" s="13">
        <v>1.0</v>
      </c>
      <c r="S17" s="14">
        <v>0.0</v>
      </c>
      <c r="T17" s="13">
        <v>1.0</v>
      </c>
      <c r="U17" s="13">
        <v>1.0</v>
      </c>
      <c r="V17" s="13">
        <v>0.0</v>
      </c>
      <c r="W17" s="13">
        <v>0.0</v>
      </c>
      <c r="X17" s="14">
        <v>1.0</v>
      </c>
      <c r="Y17" s="13">
        <v>1.0</v>
      </c>
      <c r="Z17" s="13">
        <v>1.0</v>
      </c>
      <c r="AA17" s="13">
        <v>0.0</v>
      </c>
      <c r="AB17" s="13">
        <v>1.0</v>
      </c>
      <c r="AC17" s="14">
        <v>0.0</v>
      </c>
      <c r="AD17" s="13">
        <v>1.0</v>
      </c>
      <c r="AE17" s="13">
        <v>1.0</v>
      </c>
      <c r="AF17" s="13">
        <v>1.0</v>
      </c>
      <c r="AG17" s="13">
        <v>1.0</v>
      </c>
      <c r="AH17" s="5">
        <v>0.5</v>
      </c>
      <c r="AI17" s="5">
        <v>0.5</v>
      </c>
      <c r="AJ17" s="5">
        <v>0.5</v>
      </c>
      <c r="AK17" s="5">
        <v>0.5</v>
      </c>
      <c r="AL17" s="13">
        <v>1.0</v>
      </c>
      <c r="AM17" s="13">
        <v>1.0</v>
      </c>
      <c r="AN17" s="13">
        <v>1.0</v>
      </c>
      <c r="AO17" s="13">
        <v>1.0</v>
      </c>
      <c r="AP17" s="14">
        <v>1.0</v>
      </c>
    </row>
    <row r="18">
      <c r="A18" s="8" t="s">
        <v>30</v>
      </c>
      <c r="B18" s="9">
        <v>3.36375228E8</v>
      </c>
      <c r="C18" s="10">
        <f t="shared" si="1"/>
        <v>0.8947368421</v>
      </c>
      <c r="D18" s="11" t="str">
        <f t="shared" si="2"/>
        <v>4</v>
      </c>
      <c r="E18" s="12">
        <v>5.0</v>
      </c>
      <c r="F18" s="12">
        <v>5.0</v>
      </c>
      <c r="G18" s="12">
        <v>5.0</v>
      </c>
      <c r="H18" s="12">
        <v>4.0</v>
      </c>
      <c r="I18" s="13">
        <v>1.0</v>
      </c>
      <c r="J18" s="13">
        <v>1.0</v>
      </c>
      <c r="K18" s="13">
        <v>1.0</v>
      </c>
      <c r="L18" s="13">
        <v>1.0</v>
      </c>
      <c r="M18" s="15">
        <v>0.5</v>
      </c>
      <c r="N18" s="13">
        <v>1.0</v>
      </c>
      <c r="O18" s="13">
        <v>1.0</v>
      </c>
      <c r="P18" s="13">
        <v>1.0</v>
      </c>
      <c r="Q18" s="13">
        <v>1.0</v>
      </c>
      <c r="R18" s="13">
        <v>1.0</v>
      </c>
      <c r="S18" s="15">
        <v>0.5</v>
      </c>
      <c r="T18" s="13">
        <v>1.0</v>
      </c>
      <c r="U18" s="13">
        <v>1.0</v>
      </c>
      <c r="V18" s="13">
        <v>1.0</v>
      </c>
      <c r="W18" s="13">
        <v>1.0</v>
      </c>
      <c r="X18" s="14">
        <v>1.0</v>
      </c>
      <c r="Y18" s="13">
        <v>1.0</v>
      </c>
      <c r="Z18" s="13">
        <v>1.0</v>
      </c>
      <c r="AA18" s="13">
        <v>1.0</v>
      </c>
      <c r="AB18" s="13">
        <v>1.0</v>
      </c>
      <c r="AC18" s="14">
        <v>1.0</v>
      </c>
      <c r="AD18" s="13">
        <v>1.0</v>
      </c>
      <c r="AE18" s="13">
        <v>1.0</v>
      </c>
      <c r="AF18" s="13">
        <v>1.0</v>
      </c>
      <c r="AG18" s="13">
        <v>1.0</v>
      </c>
      <c r="AH18" s="5">
        <v>0.5</v>
      </c>
      <c r="AI18" s="13">
        <v>1.0</v>
      </c>
      <c r="AJ18" s="13">
        <v>1.0</v>
      </c>
      <c r="AK18" s="15">
        <v>0.5</v>
      </c>
      <c r="AL18" s="13">
        <v>1.0</v>
      </c>
      <c r="AM18" s="13">
        <v>1.0</v>
      </c>
      <c r="AN18" s="13">
        <v>1.0</v>
      </c>
      <c r="AO18" s="13">
        <v>1.0</v>
      </c>
      <c r="AP18" s="14">
        <v>1.0</v>
      </c>
    </row>
    <row r="19">
      <c r="A19" s="8" t="s">
        <v>31</v>
      </c>
      <c r="B19" s="9">
        <v>4.5193494E7</v>
      </c>
      <c r="C19" s="10">
        <f t="shared" si="1"/>
        <v>0.9035087719</v>
      </c>
      <c r="D19" s="11" t="str">
        <f t="shared" si="2"/>
        <v>5</v>
      </c>
      <c r="E19" s="12">
        <v>6.0</v>
      </c>
      <c r="F19" s="12">
        <v>4.5</v>
      </c>
      <c r="G19" s="12">
        <v>6.0</v>
      </c>
      <c r="H19" s="12">
        <v>4.0</v>
      </c>
      <c r="I19" s="13">
        <v>1.0</v>
      </c>
      <c r="J19" s="13">
        <v>1.0</v>
      </c>
      <c r="K19" s="13">
        <v>0.0</v>
      </c>
      <c r="L19" s="13">
        <v>0.0</v>
      </c>
      <c r="M19" s="14">
        <v>0.0</v>
      </c>
      <c r="N19" s="13">
        <v>1.0</v>
      </c>
      <c r="O19" s="13">
        <v>1.0</v>
      </c>
      <c r="P19" s="13">
        <v>1.0</v>
      </c>
      <c r="Q19" s="13">
        <v>1.0</v>
      </c>
      <c r="R19" s="13">
        <v>1.0</v>
      </c>
      <c r="S19" s="14">
        <v>1.0</v>
      </c>
      <c r="T19" s="13">
        <v>1.0</v>
      </c>
      <c r="U19" s="13">
        <v>1.0</v>
      </c>
      <c r="V19" s="5">
        <v>1.0</v>
      </c>
      <c r="W19" s="5">
        <v>1.0</v>
      </c>
      <c r="X19" s="15">
        <v>1.0</v>
      </c>
      <c r="Y19" s="13">
        <v>1.0</v>
      </c>
      <c r="Z19" s="13">
        <v>1.0</v>
      </c>
      <c r="AA19" s="13">
        <v>1.0</v>
      </c>
      <c r="AB19" s="13">
        <v>1.0</v>
      </c>
      <c r="AC19" s="14">
        <v>1.0</v>
      </c>
      <c r="AD19" s="13">
        <v>1.0</v>
      </c>
      <c r="AE19" s="13">
        <v>1.0</v>
      </c>
      <c r="AF19" s="13">
        <v>1.0</v>
      </c>
      <c r="AG19" s="13">
        <v>1.0</v>
      </c>
      <c r="AH19" s="13">
        <v>1.0</v>
      </c>
      <c r="AI19" s="13">
        <v>1.0</v>
      </c>
      <c r="AJ19" s="13">
        <v>1.0</v>
      </c>
      <c r="AK19" s="14">
        <v>1.0</v>
      </c>
      <c r="AL19" s="13">
        <v>1.0</v>
      </c>
      <c r="AM19" s="13">
        <v>1.0</v>
      </c>
      <c r="AN19" s="13">
        <v>1.0</v>
      </c>
      <c r="AO19" s="13">
        <v>1.0</v>
      </c>
      <c r="AP19" s="14">
        <v>1.0</v>
      </c>
    </row>
    <row r="20">
      <c r="A20" s="8" t="s">
        <v>32</v>
      </c>
      <c r="B20" s="9">
        <v>3.24020177E8</v>
      </c>
      <c r="C20" s="10">
        <f t="shared" si="1"/>
        <v>0.8596491228</v>
      </c>
      <c r="D20" s="11" t="str">
        <f t="shared" si="2"/>
        <v>4</v>
      </c>
      <c r="E20" s="12">
        <v>4.5</v>
      </c>
      <c r="F20" s="12">
        <v>5.0</v>
      </c>
      <c r="G20" s="12">
        <v>5.5</v>
      </c>
      <c r="H20" s="12">
        <v>5.0</v>
      </c>
      <c r="I20" s="13">
        <v>1.0</v>
      </c>
      <c r="J20" s="13">
        <v>1.0</v>
      </c>
      <c r="K20" s="13">
        <v>1.0</v>
      </c>
      <c r="L20" s="13">
        <v>1.0</v>
      </c>
      <c r="M20" s="14">
        <v>1.0</v>
      </c>
      <c r="N20" s="13">
        <v>1.0</v>
      </c>
      <c r="O20" s="13">
        <v>1.0</v>
      </c>
      <c r="P20" s="13">
        <v>1.0</v>
      </c>
      <c r="Q20" s="13">
        <v>1.0</v>
      </c>
      <c r="R20" s="13">
        <v>1.0</v>
      </c>
      <c r="S20" s="14">
        <v>1.0</v>
      </c>
      <c r="T20" s="13">
        <v>1.0</v>
      </c>
      <c r="U20" s="13">
        <v>1.0</v>
      </c>
      <c r="V20" s="13">
        <v>1.0</v>
      </c>
      <c r="W20" s="13">
        <v>1.0</v>
      </c>
      <c r="X20" s="14">
        <v>1.0</v>
      </c>
      <c r="Y20" s="13">
        <v>1.0</v>
      </c>
      <c r="Z20" s="13">
        <v>1.0</v>
      </c>
      <c r="AA20" s="13">
        <v>0.0</v>
      </c>
      <c r="AB20" s="13">
        <v>1.0</v>
      </c>
      <c r="AC20" s="14">
        <v>0.0</v>
      </c>
      <c r="AD20" s="13">
        <v>1.0</v>
      </c>
      <c r="AE20" s="13">
        <v>1.0</v>
      </c>
      <c r="AF20" s="13">
        <v>1.0</v>
      </c>
      <c r="AG20" s="13">
        <v>1.0</v>
      </c>
      <c r="AH20" s="13">
        <v>1.0</v>
      </c>
      <c r="AI20" s="13">
        <v>1.0</v>
      </c>
      <c r="AJ20" s="13">
        <v>0.0</v>
      </c>
      <c r="AK20" s="14">
        <v>0.0</v>
      </c>
      <c r="AL20" s="13">
        <v>1.0</v>
      </c>
      <c r="AM20" s="13">
        <v>1.0</v>
      </c>
      <c r="AN20" s="13">
        <v>1.0</v>
      </c>
      <c r="AO20" s="13">
        <v>1.0</v>
      </c>
      <c r="AP20" s="14">
        <v>0.0</v>
      </c>
    </row>
    <row r="21">
      <c r="A21" s="8" t="s">
        <v>33</v>
      </c>
      <c r="B21" s="9">
        <v>1.82069407E8</v>
      </c>
      <c r="C21" s="10">
        <f t="shared" si="1"/>
        <v>0.9035087719</v>
      </c>
      <c r="D21" s="11" t="str">
        <f t="shared" si="2"/>
        <v>5</v>
      </c>
      <c r="E21" s="12">
        <v>2.0</v>
      </c>
      <c r="F21" s="12">
        <v>4.5</v>
      </c>
      <c r="G21" s="12">
        <v>6.0</v>
      </c>
      <c r="H21" s="12">
        <v>5.0</v>
      </c>
      <c r="I21" s="13">
        <v>1.0</v>
      </c>
      <c r="J21" s="13">
        <v>1.0</v>
      </c>
      <c r="K21" s="13">
        <v>1.0</v>
      </c>
      <c r="L21" s="13">
        <v>1.0</v>
      </c>
      <c r="M21" s="14">
        <v>1.0</v>
      </c>
      <c r="N21" s="13">
        <v>1.0</v>
      </c>
      <c r="O21" s="13">
        <v>1.0</v>
      </c>
      <c r="P21" s="13">
        <v>1.0</v>
      </c>
      <c r="Q21" s="13">
        <v>1.0</v>
      </c>
      <c r="R21" s="13">
        <v>1.0</v>
      </c>
      <c r="S21" s="14">
        <v>1.0</v>
      </c>
      <c r="T21" s="13">
        <v>1.0</v>
      </c>
      <c r="U21" s="13">
        <v>1.0</v>
      </c>
      <c r="V21" s="13">
        <v>1.0</v>
      </c>
      <c r="W21" s="13">
        <v>1.0</v>
      </c>
      <c r="X21" s="14">
        <v>1.0</v>
      </c>
      <c r="Y21" s="13">
        <v>1.0</v>
      </c>
      <c r="Z21" s="13">
        <v>1.0</v>
      </c>
      <c r="AA21" s="13">
        <v>1.0</v>
      </c>
      <c r="AB21" s="13">
        <v>1.0</v>
      </c>
      <c r="AC21" s="14">
        <v>1.0</v>
      </c>
      <c r="AD21" s="13">
        <v>1.0</v>
      </c>
      <c r="AE21" s="13">
        <v>1.0</v>
      </c>
      <c r="AF21" s="13">
        <v>1.0</v>
      </c>
      <c r="AG21" s="13">
        <v>1.0</v>
      </c>
      <c r="AH21" s="13">
        <v>1.0</v>
      </c>
      <c r="AI21" s="13">
        <v>1.0</v>
      </c>
      <c r="AJ21" s="13">
        <v>1.0</v>
      </c>
      <c r="AK21" s="14">
        <v>1.0</v>
      </c>
      <c r="AL21" s="13">
        <v>1.0</v>
      </c>
      <c r="AM21" s="13">
        <v>1.0</v>
      </c>
      <c r="AN21" s="13">
        <v>1.0</v>
      </c>
      <c r="AO21" s="13">
        <v>1.0</v>
      </c>
      <c r="AP21" s="14">
        <v>1.0</v>
      </c>
    </row>
    <row r="22">
      <c r="A22" s="8" t="s">
        <v>34</v>
      </c>
      <c r="B22" s="9">
        <v>9.3040301E7</v>
      </c>
      <c r="C22" s="10">
        <f t="shared" si="1"/>
        <v>0.6140350877</v>
      </c>
      <c r="D22" s="11" t="str">
        <f t="shared" si="2"/>
        <v>3</v>
      </c>
      <c r="E22" s="12">
        <v>2.0</v>
      </c>
      <c r="F22" s="12">
        <v>4.0</v>
      </c>
      <c r="G22" s="12">
        <v>3.0</v>
      </c>
      <c r="H22" s="12">
        <v>2.0</v>
      </c>
      <c r="I22" s="13">
        <v>1.0</v>
      </c>
      <c r="J22" s="13">
        <v>1.0</v>
      </c>
      <c r="K22" s="5">
        <v>1.0</v>
      </c>
      <c r="L22" s="5">
        <v>1.0</v>
      </c>
      <c r="M22" s="14">
        <v>0.0</v>
      </c>
      <c r="N22" s="13">
        <v>1.0</v>
      </c>
      <c r="O22" s="13">
        <v>1.0</v>
      </c>
      <c r="P22" s="13">
        <v>1.0</v>
      </c>
      <c r="Q22" s="13">
        <v>1.0</v>
      </c>
      <c r="R22" s="13">
        <v>0.0</v>
      </c>
      <c r="S22" s="14">
        <v>0.0</v>
      </c>
      <c r="T22" s="5">
        <v>1.0</v>
      </c>
      <c r="U22" s="5">
        <v>1.0</v>
      </c>
      <c r="V22" s="5">
        <v>1.0</v>
      </c>
      <c r="W22" s="13">
        <v>0.0</v>
      </c>
      <c r="X22" s="14">
        <v>0.0</v>
      </c>
      <c r="Y22" s="13">
        <v>1.0</v>
      </c>
      <c r="Z22" s="13">
        <v>1.0</v>
      </c>
      <c r="AA22" s="5">
        <v>1.0</v>
      </c>
      <c r="AB22" s="13">
        <v>1.0</v>
      </c>
      <c r="AC22" s="14">
        <v>0.0</v>
      </c>
      <c r="AD22" s="13">
        <v>1.0</v>
      </c>
      <c r="AE22" s="13">
        <v>1.0</v>
      </c>
      <c r="AF22" s="13">
        <v>1.0</v>
      </c>
      <c r="AG22" s="13">
        <v>1.0</v>
      </c>
      <c r="AH22" s="13">
        <v>1.0</v>
      </c>
      <c r="AI22" s="13">
        <v>0.0</v>
      </c>
      <c r="AJ22" s="13">
        <v>1.0</v>
      </c>
      <c r="AK22" s="14">
        <v>0.0</v>
      </c>
      <c r="AL22" s="5">
        <v>1.0</v>
      </c>
      <c r="AM22" s="5">
        <v>1.0</v>
      </c>
      <c r="AN22" s="5">
        <v>1.0</v>
      </c>
      <c r="AO22" s="5">
        <v>0.0</v>
      </c>
      <c r="AP22" s="15">
        <v>0.0</v>
      </c>
    </row>
    <row r="23">
      <c r="A23" s="8" t="s">
        <v>35</v>
      </c>
      <c r="B23" s="9">
        <v>4.474972E7</v>
      </c>
      <c r="C23" s="10">
        <f t="shared" si="1"/>
        <v>0.9473684211</v>
      </c>
      <c r="D23" s="11" t="str">
        <f t="shared" si="2"/>
        <v>5</v>
      </c>
      <c r="E23" s="12">
        <v>6.0</v>
      </c>
      <c r="F23" s="12">
        <v>5.0</v>
      </c>
      <c r="G23" s="12">
        <v>6.0</v>
      </c>
      <c r="H23" s="12">
        <v>5.0</v>
      </c>
      <c r="I23" s="13">
        <v>1.0</v>
      </c>
      <c r="J23" s="13">
        <v>1.0</v>
      </c>
      <c r="K23" s="13">
        <v>1.0</v>
      </c>
      <c r="L23" s="13">
        <v>1.0</v>
      </c>
      <c r="M23" s="14">
        <v>1.0</v>
      </c>
      <c r="N23" s="13">
        <v>1.0</v>
      </c>
      <c r="O23" s="13">
        <v>1.0</v>
      </c>
      <c r="P23" s="13">
        <v>1.0</v>
      </c>
      <c r="Q23" s="13">
        <v>1.0</v>
      </c>
      <c r="R23" s="13">
        <v>1.0</v>
      </c>
      <c r="S23" s="14">
        <v>1.0</v>
      </c>
      <c r="T23" s="13">
        <v>1.0</v>
      </c>
      <c r="U23" s="13">
        <v>1.0</v>
      </c>
      <c r="V23" s="13">
        <v>1.0</v>
      </c>
      <c r="W23" s="13">
        <v>1.0</v>
      </c>
      <c r="X23" s="14">
        <v>1.0</v>
      </c>
      <c r="Y23" s="13">
        <v>1.0</v>
      </c>
      <c r="Z23" s="13">
        <v>1.0</v>
      </c>
      <c r="AA23" s="13">
        <v>1.0</v>
      </c>
      <c r="AB23" s="13">
        <v>1.0</v>
      </c>
      <c r="AC23" s="14">
        <v>1.0</v>
      </c>
      <c r="AD23" s="13">
        <v>1.0</v>
      </c>
      <c r="AE23" s="13">
        <v>1.0</v>
      </c>
      <c r="AF23" s="13">
        <v>1.0</v>
      </c>
      <c r="AG23" s="13">
        <v>1.0</v>
      </c>
      <c r="AH23" s="13">
        <v>1.0</v>
      </c>
      <c r="AI23" s="13">
        <v>1.0</v>
      </c>
      <c r="AJ23" s="13">
        <v>0.0</v>
      </c>
      <c r="AK23" s="14">
        <v>0.0</v>
      </c>
      <c r="AL23" s="13">
        <v>1.0</v>
      </c>
      <c r="AM23" s="13">
        <v>1.0</v>
      </c>
      <c r="AN23" s="13">
        <v>1.0</v>
      </c>
      <c r="AO23" s="13">
        <v>1.0</v>
      </c>
      <c r="AP23" s="14">
        <v>1.0</v>
      </c>
    </row>
    <row r="24">
      <c r="A24" s="8" t="s">
        <v>36</v>
      </c>
      <c r="B24" s="9">
        <v>6.657065E7</v>
      </c>
      <c r="C24" s="10">
        <f t="shared" si="1"/>
        <v>0.9122807018</v>
      </c>
      <c r="D24" s="11" t="str">
        <f t="shared" si="2"/>
        <v>5</v>
      </c>
      <c r="E24" s="12">
        <v>6.0</v>
      </c>
      <c r="F24" s="12">
        <v>5.0</v>
      </c>
      <c r="G24" s="12">
        <v>5.0</v>
      </c>
      <c r="H24" s="12">
        <v>3.0</v>
      </c>
      <c r="I24" s="13">
        <v>1.0</v>
      </c>
      <c r="J24" s="13">
        <v>1.0</v>
      </c>
      <c r="K24" s="13">
        <v>1.0</v>
      </c>
      <c r="L24" s="13">
        <v>1.0</v>
      </c>
      <c r="M24" s="14">
        <v>1.0</v>
      </c>
      <c r="N24" s="13">
        <v>1.0</v>
      </c>
      <c r="O24" s="13">
        <v>1.0</v>
      </c>
      <c r="P24" s="13">
        <v>1.0</v>
      </c>
      <c r="Q24" s="13">
        <v>1.0</v>
      </c>
      <c r="R24" s="13">
        <v>1.0</v>
      </c>
      <c r="S24" s="14">
        <v>1.0</v>
      </c>
      <c r="T24" s="13">
        <v>1.0</v>
      </c>
      <c r="U24" s="13">
        <v>1.0</v>
      </c>
      <c r="V24" s="13">
        <v>1.0</v>
      </c>
      <c r="W24" s="13">
        <v>1.0</v>
      </c>
      <c r="X24" s="14">
        <v>1.0</v>
      </c>
      <c r="Y24" s="13">
        <v>1.0</v>
      </c>
      <c r="Z24" s="13">
        <v>1.0</v>
      </c>
      <c r="AA24" s="13">
        <v>1.0</v>
      </c>
      <c r="AB24" s="13">
        <v>1.0</v>
      </c>
      <c r="AC24" s="14">
        <v>1.0</v>
      </c>
      <c r="AD24" s="13">
        <v>1.0</v>
      </c>
      <c r="AE24" s="13">
        <v>1.0</v>
      </c>
      <c r="AF24" s="13">
        <v>1.0</v>
      </c>
      <c r="AG24" s="13">
        <v>1.0</v>
      </c>
      <c r="AH24" s="13">
        <v>1.0</v>
      </c>
      <c r="AI24" s="13">
        <v>1.0</v>
      </c>
      <c r="AJ24" s="13">
        <v>1.0</v>
      </c>
      <c r="AK24" s="14">
        <v>0.0</v>
      </c>
      <c r="AL24" s="13">
        <v>1.0</v>
      </c>
      <c r="AM24" s="13">
        <v>1.0</v>
      </c>
      <c r="AN24" s="13">
        <v>1.0</v>
      </c>
      <c r="AO24" s="13">
        <v>1.0</v>
      </c>
      <c r="AP24" s="14">
        <v>1.0</v>
      </c>
    </row>
    <row r="25">
      <c r="A25" s="8" t="s">
        <v>37</v>
      </c>
      <c r="B25" s="9">
        <v>2.71737131E8</v>
      </c>
      <c r="C25" s="10">
        <f t="shared" si="1"/>
        <v>1</v>
      </c>
      <c r="D25" s="11" t="str">
        <f t="shared" si="2"/>
        <v>5</v>
      </c>
      <c r="E25" s="12">
        <v>6.0</v>
      </c>
      <c r="F25" s="12">
        <v>5.0</v>
      </c>
      <c r="G25" s="12">
        <v>6.0</v>
      </c>
      <c r="H25" s="12">
        <v>6.0</v>
      </c>
      <c r="I25" s="13">
        <v>1.0</v>
      </c>
      <c r="J25" s="13">
        <v>1.0</v>
      </c>
      <c r="K25" s="13">
        <v>1.0</v>
      </c>
      <c r="L25" s="13">
        <v>1.0</v>
      </c>
      <c r="M25" s="14">
        <v>1.0</v>
      </c>
      <c r="N25" s="13">
        <v>1.0</v>
      </c>
      <c r="O25" s="13">
        <v>1.0</v>
      </c>
      <c r="P25" s="13">
        <v>1.0</v>
      </c>
      <c r="Q25" s="13">
        <v>1.0</v>
      </c>
      <c r="R25" s="13">
        <v>1.0</v>
      </c>
      <c r="S25" s="14">
        <v>1.0</v>
      </c>
      <c r="T25" s="13">
        <v>1.0</v>
      </c>
      <c r="U25" s="13">
        <v>1.0</v>
      </c>
      <c r="V25" s="13">
        <v>1.0</v>
      </c>
      <c r="W25" s="13">
        <v>1.0</v>
      </c>
      <c r="X25" s="14">
        <v>1.0</v>
      </c>
      <c r="Y25" s="13">
        <v>1.0</v>
      </c>
      <c r="Z25" s="13">
        <v>1.0</v>
      </c>
      <c r="AA25" s="13">
        <v>1.0</v>
      </c>
      <c r="AB25" s="13">
        <v>1.0</v>
      </c>
      <c r="AC25" s="14">
        <v>1.0</v>
      </c>
      <c r="AD25" s="13">
        <v>1.0</v>
      </c>
      <c r="AE25" s="13">
        <v>1.0</v>
      </c>
      <c r="AF25" s="13">
        <v>1.0</v>
      </c>
      <c r="AG25" s="13">
        <v>1.0</v>
      </c>
      <c r="AH25" s="13">
        <v>1.0</v>
      </c>
      <c r="AI25" s="13">
        <v>1.0</v>
      </c>
      <c r="AJ25" s="13">
        <v>1.0</v>
      </c>
      <c r="AK25" s="14">
        <v>1.0</v>
      </c>
      <c r="AL25" s="13">
        <v>1.0</v>
      </c>
      <c r="AM25" s="13">
        <v>1.0</v>
      </c>
      <c r="AN25" s="13">
        <v>1.0</v>
      </c>
      <c r="AO25" s="13">
        <v>1.0</v>
      </c>
      <c r="AP25" s="14">
        <v>1.0</v>
      </c>
    </row>
    <row r="26">
      <c r="A26" s="8" t="s">
        <v>38</v>
      </c>
      <c r="B26" s="9">
        <v>3.16074737E8</v>
      </c>
      <c r="C26" s="10">
        <f t="shared" si="1"/>
        <v>0.7631578947</v>
      </c>
      <c r="D26" s="11" t="str">
        <f t="shared" si="2"/>
        <v>4</v>
      </c>
      <c r="E26" s="12">
        <v>6.0</v>
      </c>
      <c r="F26" s="12">
        <v>4.5</v>
      </c>
      <c r="G26" s="12">
        <v>6.0</v>
      </c>
      <c r="H26" s="12">
        <v>5.0</v>
      </c>
      <c r="I26" s="13">
        <v>1.0</v>
      </c>
      <c r="J26" s="13">
        <v>0.0</v>
      </c>
      <c r="K26" s="13">
        <v>0.0</v>
      </c>
      <c r="L26" s="13">
        <v>0.0</v>
      </c>
      <c r="M26" s="14">
        <v>0.0</v>
      </c>
      <c r="N26" s="13">
        <v>1.0</v>
      </c>
      <c r="O26" s="13">
        <v>1.0</v>
      </c>
      <c r="P26" s="13">
        <v>1.0</v>
      </c>
      <c r="Q26" s="13">
        <v>1.0</v>
      </c>
      <c r="R26" s="13">
        <v>1.0</v>
      </c>
      <c r="S26" s="14">
        <v>1.0</v>
      </c>
      <c r="T26" s="13">
        <v>1.0</v>
      </c>
      <c r="U26" s="13">
        <v>1.0</v>
      </c>
      <c r="V26" s="13">
        <v>0.0</v>
      </c>
      <c r="W26" s="13">
        <v>0.0</v>
      </c>
      <c r="X26" s="14">
        <v>1.0</v>
      </c>
      <c r="Y26" s="13">
        <v>1.0</v>
      </c>
      <c r="Z26" s="13">
        <v>1.0</v>
      </c>
      <c r="AA26" s="13">
        <v>1.0</v>
      </c>
      <c r="AB26" s="13">
        <v>1.0</v>
      </c>
      <c r="AC26" s="14">
        <v>1.0</v>
      </c>
      <c r="AD26" s="13">
        <v>1.0</v>
      </c>
      <c r="AE26" s="13">
        <v>1.0</v>
      </c>
      <c r="AF26" s="13">
        <v>1.0</v>
      </c>
      <c r="AG26" s="13">
        <v>1.0</v>
      </c>
      <c r="AH26" s="13">
        <v>1.0</v>
      </c>
      <c r="AI26" s="13">
        <v>0.0</v>
      </c>
      <c r="AJ26" s="13">
        <v>0.0</v>
      </c>
      <c r="AK26" s="14">
        <v>0.0</v>
      </c>
      <c r="AL26" s="13">
        <v>1.0</v>
      </c>
      <c r="AM26" s="13">
        <v>1.0</v>
      </c>
      <c r="AN26" s="13">
        <v>0.0</v>
      </c>
      <c r="AO26" s="13">
        <v>0.0</v>
      </c>
      <c r="AP26" s="14">
        <v>0.0</v>
      </c>
    </row>
    <row r="27">
      <c r="A27" s="16" t="s">
        <v>39</v>
      </c>
      <c r="B27" s="17">
        <v>1.8564397E7</v>
      </c>
      <c r="C27" s="17"/>
      <c r="D27" s="18"/>
      <c r="E27" s="19"/>
      <c r="F27" s="19"/>
      <c r="G27" s="12"/>
      <c r="H27" s="12"/>
      <c r="I27" s="13"/>
      <c r="J27" s="13"/>
      <c r="K27" s="13"/>
      <c r="L27" s="13"/>
      <c r="M27" s="14"/>
      <c r="N27" s="13"/>
      <c r="O27" s="13"/>
      <c r="P27" s="13"/>
      <c r="Q27" s="13"/>
      <c r="R27" s="13"/>
      <c r="S27" s="14"/>
      <c r="T27" s="13"/>
      <c r="U27" s="13"/>
      <c r="V27" s="13"/>
      <c r="W27" s="13"/>
      <c r="X27" s="14"/>
      <c r="Y27" s="13"/>
      <c r="Z27" s="13"/>
      <c r="AA27" s="13"/>
      <c r="AB27" s="13"/>
      <c r="AC27" s="14"/>
      <c r="AD27" s="13"/>
      <c r="AE27" s="13"/>
      <c r="AF27" s="13"/>
      <c r="AG27" s="13"/>
      <c r="AH27" s="13"/>
      <c r="AI27" s="13"/>
      <c r="AJ27" s="13"/>
      <c r="AK27" s="14"/>
      <c r="AL27" s="13"/>
      <c r="AM27" s="13"/>
      <c r="AN27" s="13"/>
      <c r="AO27" s="13"/>
      <c r="AP27" s="14"/>
    </row>
    <row r="28">
      <c r="A28" s="8" t="s">
        <v>40</v>
      </c>
      <c r="B28" s="9">
        <v>1348679.0</v>
      </c>
      <c r="C28" s="10">
        <f t="shared" ref="C28:C29" si="3">SUM(E28:AP28) / $B$30</f>
        <v>0.7719298246</v>
      </c>
      <c r="D28" s="11" t="str">
        <f t="shared" ref="D28:D29" si="4">IF(C28 &gt;= 0.9, "5", IF(C28 &gt;= 0.75, "4", IF(C28 &gt;= 0.6, "3", "2")))</f>
        <v>4</v>
      </c>
      <c r="E28" s="12">
        <v>5.0</v>
      </c>
      <c r="F28" s="12">
        <v>5.0</v>
      </c>
      <c r="G28" s="12">
        <v>6.0</v>
      </c>
      <c r="H28" s="12">
        <v>5.0</v>
      </c>
      <c r="I28" s="13">
        <v>1.0</v>
      </c>
      <c r="J28" s="13">
        <v>1.0</v>
      </c>
      <c r="K28" s="13">
        <v>1.0</v>
      </c>
      <c r="L28" s="13">
        <v>1.0</v>
      </c>
      <c r="M28" s="14">
        <v>1.0</v>
      </c>
      <c r="N28" s="13">
        <v>1.0</v>
      </c>
      <c r="O28" s="13">
        <v>1.0</v>
      </c>
      <c r="P28" s="13">
        <v>1.0</v>
      </c>
      <c r="Q28" s="13">
        <v>1.0</v>
      </c>
      <c r="R28" s="13">
        <v>0.0</v>
      </c>
      <c r="S28" s="14">
        <v>0.0</v>
      </c>
      <c r="T28" s="13">
        <v>1.0</v>
      </c>
      <c r="U28" s="13">
        <v>1.0</v>
      </c>
      <c r="V28" s="13">
        <v>1.0</v>
      </c>
      <c r="W28" s="13">
        <v>0.0</v>
      </c>
      <c r="X28" s="14">
        <v>1.0</v>
      </c>
      <c r="Y28" s="13">
        <v>1.0</v>
      </c>
      <c r="Z28" s="13">
        <v>1.0</v>
      </c>
      <c r="AA28" s="13">
        <v>0.0</v>
      </c>
      <c r="AB28" s="13">
        <v>0.0</v>
      </c>
      <c r="AC28" s="14">
        <v>0.0</v>
      </c>
      <c r="AD28" s="13">
        <v>1.0</v>
      </c>
      <c r="AE28" s="13">
        <v>1.0</v>
      </c>
      <c r="AF28" s="13">
        <v>1.0</v>
      </c>
      <c r="AG28" s="13">
        <v>1.0</v>
      </c>
      <c r="AH28" s="13">
        <v>0.0</v>
      </c>
      <c r="AI28" s="13">
        <v>1.0</v>
      </c>
      <c r="AJ28" s="13">
        <v>0.0</v>
      </c>
      <c r="AK28" s="14">
        <v>0.0</v>
      </c>
      <c r="AL28" s="13">
        <v>1.0</v>
      </c>
      <c r="AM28" s="13">
        <v>1.0</v>
      </c>
      <c r="AN28" s="13">
        <v>0.0</v>
      </c>
      <c r="AO28" s="13">
        <v>0.0</v>
      </c>
      <c r="AP28" s="14">
        <v>1.0</v>
      </c>
    </row>
    <row r="29">
      <c r="A29" s="20" t="s">
        <v>41</v>
      </c>
      <c r="B29" s="21">
        <v>9.2481219E7</v>
      </c>
      <c r="C29" s="22">
        <f t="shared" si="3"/>
        <v>0.2456140351</v>
      </c>
      <c r="D29" s="11" t="str">
        <f t="shared" si="4"/>
        <v>2</v>
      </c>
      <c r="E29" s="23">
        <v>4.5</v>
      </c>
      <c r="F29" s="23">
        <v>4.5</v>
      </c>
      <c r="G29" s="23">
        <v>5.0</v>
      </c>
      <c r="H29" s="23">
        <v>0.0</v>
      </c>
      <c r="I29" s="5">
        <v>0.0</v>
      </c>
      <c r="J29" s="5">
        <v>0.0</v>
      </c>
      <c r="K29" s="13">
        <v>0.0</v>
      </c>
      <c r="L29" s="13">
        <v>0.0</v>
      </c>
      <c r="M29" s="14">
        <v>0.0</v>
      </c>
      <c r="N29" s="24">
        <v>0.0</v>
      </c>
      <c r="O29" s="5">
        <v>0.0</v>
      </c>
      <c r="P29" s="5">
        <v>0.0</v>
      </c>
      <c r="Q29" s="5">
        <v>0.0</v>
      </c>
      <c r="R29" s="5">
        <v>0.0</v>
      </c>
      <c r="S29" s="15">
        <v>0.0</v>
      </c>
      <c r="T29" s="5">
        <v>0.0</v>
      </c>
      <c r="U29" s="5">
        <v>0.0</v>
      </c>
      <c r="V29" s="5">
        <v>0.0</v>
      </c>
      <c r="W29" s="5">
        <v>0.0</v>
      </c>
      <c r="X29" s="15">
        <v>0.0</v>
      </c>
      <c r="Y29" s="5">
        <v>0.0</v>
      </c>
      <c r="Z29" s="5">
        <v>0.0</v>
      </c>
      <c r="AA29" s="5">
        <v>0.0</v>
      </c>
      <c r="AB29" s="5">
        <v>0.0</v>
      </c>
      <c r="AC29" s="15">
        <v>0.0</v>
      </c>
      <c r="AD29" s="24">
        <v>0.0</v>
      </c>
      <c r="AE29" s="24">
        <v>0.0</v>
      </c>
      <c r="AF29" s="24">
        <v>0.0</v>
      </c>
      <c r="AG29" s="24">
        <v>0.0</v>
      </c>
      <c r="AH29" s="24">
        <v>0.0</v>
      </c>
      <c r="AI29" s="24">
        <v>0.0</v>
      </c>
      <c r="AJ29" s="24">
        <v>0.0</v>
      </c>
      <c r="AK29" s="25">
        <v>0.0</v>
      </c>
      <c r="AL29" s="5">
        <v>0.0</v>
      </c>
      <c r="AM29" s="5">
        <v>0.0</v>
      </c>
      <c r="AN29" s="5">
        <v>0.0</v>
      </c>
      <c r="AO29" s="5">
        <v>0.0</v>
      </c>
      <c r="AP29" s="15">
        <v>0.0</v>
      </c>
    </row>
    <row r="30">
      <c r="A30" s="26" t="s">
        <v>42</v>
      </c>
      <c r="B30" s="27">
        <f>SUM(E30:AP30)</f>
        <v>57</v>
      </c>
      <c r="C30" s="28">
        <f>AVERAGE(C2:C29)</f>
        <v>0.7910981157</v>
      </c>
      <c r="D30" s="29"/>
      <c r="E30" s="30">
        <v>6.0</v>
      </c>
      <c r="F30" s="30">
        <v>5.0</v>
      </c>
      <c r="G30" s="30">
        <v>6.0</v>
      </c>
      <c r="H30" s="30">
        <v>6.0</v>
      </c>
      <c r="I30" s="31">
        <v>1.0</v>
      </c>
      <c r="J30" s="31">
        <v>1.0</v>
      </c>
      <c r="K30" s="31">
        <v>1.0</v>
      </c>
      <c r="L30" s="31">
        <v>1.0</v>
      </c>
      <c r="M30" s="32">
        <v>1.0</v>
      </c>
      <c r="N30" s="31">
        <v>1.0</v>
      </c>
      <c r="O30" s="31">
        <v>1.0</v>
      </c>
      <c r="P30" s="31">
        <v>1.0</v>
      </c>
      <c r="Q30" s="31">
        <v>1.0</v>
      </c>
      <c r="R30" s="31">
        <v>1.0</v>
      </c>
      <c r="S30" s="32">
        <v>1.0</v>
      </c>
      <c r="T30" s="31">
        <v>1.0</v>
      </c>
      <c r="U30" s="31">
        <v>1.0</v>
      </c>
      <c r="V30" s="31">
        <v>1.0</v>
      </c>
      <c r="W30" s="31">
        <v>1.0</v>
      </c>
      <c r="X30" s="31">
        <v>1.0</v>
      </c>
      <c r="Y30" s="33">
        <v>1.0</v>
      </c>
      <c r="Z30" s="31">
        <v>1.0</v>
      </c>
      <c r="AA30" s="31">
        <v>1.0</v>
      </c>
      <c r="AB30" s="31">
        <v>1.0</v>
      </c>
      <c r="AC30" s="32">
        <v>1.0</v>
      </c>
      <c r="AD30" s="24">
        <v>1.0</v>
      </c>
      <c r="AE30" s="24">
        <v>1.0</v>
      </c>
      <c r="AF30" s="24">
        <v>1.0</v>
      </c>
      <c r="AG30" s="24">
        <v>1.0</v>
      </c>
      <c r="AH30" s="24">
        <v>1.0</v>
      </c>
      <c r="AI30" s="24">
        <v>1.0</v>
      </c>
      <c r="AJ30" s="24">
        <v>1.0</v>
      </c>
      <c r="AK30" s="25">
        <v>1.0</v>
      </c>
      <c r="AL30" s="31">
        <v>1.0</v>
      </c>
      <c r="AM30" s="31">
        <v>1.0</v>
      </c>
      <c r="AN30" s="31">
        <v>1.0</v>
      </c>
      <c r="AO30" s="31">
        <v>1.0</v>
      </c>
      <c r="AP30" s="32">
        <v>1.0</v>
      </c>
    </row>
    <row r="31">
      <c r="A31" s="34" t="s">
        <v>43</v>
      </c>
      <c r="B31" s="35">
        <v>5.0</v>
      </c>
      <c r="C31" s="35">
        <v>4.0</v>
      </c>
      <c r="D31" s="35">
        <v>3.0</v>
      </c>
      <c r="E31" s="36">
        <v>2.0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>
      <c r="A32" s="34"/>
      <c r="B32" s="37">
        <f t="shared" ref="B32:E32" si="5">COUNTIF($D$2:$D$29, B31)</f>
        <v>10</v>
      </c>
      <c r="C32" s="37">
        <f t="shared" si="5"/>
        <v>10</v>
      </c>
      <c r="D32" s="37">
        <f t="shared" si="5"/>
        <v>6</v>
      </c>
      <c r="E32" s="37">
        <f t="shared" si="5"/>
        <v>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</sheetData>
  <mergeCells count="6">
    <mergeCell ref="I1:M1"/>
    <mergeCell ref="N1:S1"/>
    <mergeCell ref="T1:X1"/>
    <mergeCell ref="Y1:AC1"/>
    <mergeCell ref="AD1:AK1"/>
    <mergeCell ref="AL1:AP1"/>
  </mergeCells>
  <conditionalFormatting sqref="C2:D26 C28:D29">
    <cfRule type="cellIs" dxfId="0" priority="1" operator="greaterThanOrEqual">
      <formula>0.9</formula>
    </cfRule>
  </conditionalFormatting>
  <conditionalFormatting sqref="C2:D26 C28:D29">
    <cfRule type="cellIs" dxfId="1" priority="2" operator="greaterThanOrEqual">
      <formula>0.75</formula>
    </cfRule>
  </conditionalFormatting>
  <conditionalFormatting sqref="C2:D26 C28:D29">
    <cfRule type="cellIs" dxfId="2" priority="3" operator="greaterThanOrEqual">
      <formula>0.6</formula>
    </cfRule>
  </conditionalFormatting>
  <conditionalFormatting sqref="C2:D26 C28:D29">
    <cfRule type="cellIs" dxfId="3" priority="4" operator="lessThan">
      <formula>0.6</formula>
    </cfRule>
  </conditionalFormatting>
  <conditionalFormatting sqref="C2:D26 C28:D29">
    <cfRule type="cellIs" dxfId="0" priority="5" operator="equal">
      <formula>5</formula>
    </cfRule>
  </conditionalFormatting>
  <conditionalFormatting sqref="C2:D26 C28:D29">
    <cfRule type="cellIs" dxfId="1" priority="6" operator="equal">
      <formula>4</formula>
    </cfRule>
  </conditionalFormatting>
  <conditionalFormatting sqref="C2:D26 C28:D29">
    <cfRule type="cellIs" dxfId="2" priority="7" operator="equal">
      <formula>3</formula>
    </cfRule>
  </conditionalFormatting>
  <conditionalFormatting sqref="C2:D26 C28:D29">
    <cfRule type="cellIs" dxfId="3" priority="8" operator="equal">
      <formula>2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4.43" defaultRowHeight="15.75"/>
  <cols>
    <col customWidth="1" min="1" max="1" width="32.14"/>
    <col customWidth="1" min="2" max="2" width="22.71"/>
    <col customWidth="1" min="3" max="3" width="11.86"/>
    <col customWidth="1" min="4" max="4" width="11.57"/>
    <col customWidth="1" min="5" max="5" width="16.71"/>
    <col customWidth="1" min="6" max="6" width="17.43"/>
    <col customWidth="1" min="7" max="8" width="10.71"/>
    <col customWidth="1" min="9" max="9" width="16.57"/>
    <col customWidth="1" min="10" max="10" width="7.14"/>
    <col customWidth="1" min="11" max="11" width="5.0"/>
    <col customWidth="1" min="12" max="12" width="4.86"/>
    <col customWidth="1" min="13" max="13" width="8.86"/>
    <col customWidth="1" min="14" max="14" width="8.43"/>
    <col customWidth="1" min="15" max="15" width="8.29"/>
    <col customWidth="1" min="16" max="16" width="8.43"/>
    <col customWidth="1" min="17" max="17" width="9.57"/>
    <col customWidth="1" min="18" max="18" width="8.0"/>
    <col customWidth="1" min="19" max="19" width="5.43"/>
    <col customWidth="1" min="20" max="20" width="7.14"/>
    <col customWidth="1" min="21" max="21" width="7.0"/>
    <col customWidth="1" min="22" max="23" width="5.43"/>
    <col customWidth="1" min="24" max="24" width="6.71"/>
    <col customWidth="1" min="25" max="25" width="5.29"/>
    <col customWidth="1" min="26" max="26" width="6.29"/>
    <col customWidth="1" min="27" max="27" width="6.0"/>
    <col customWidth="1" min="28" max="28" width="5.57"/>
    <col customWidth="1" min="29" max="29" width="16.43"/>
    <col customWidth="1" min="30" max="30" width="16.14"/>
    <col customWidth="1" min="31" max="31" width="5.14"/>
    <col customWidth="1" min="32" max="32" width="8.0"/>
    <col customWidth="1" min="33" max="33" width="15.43"/>
    <col customWidth="1" min="34" max="36" width="17.57"/>
  </cols>
  <sheetData>
    <row r="1">
      <c r="A1" s="38"/>
      <c r="B1" s="1"/>
      <c r="C1" s="1"/>
      <c r="D1" s="1"/>
      <c r="E1" s="1"/>
      <c r="F1" s="1"/>
      <c r="G1" s="1"/>
      <c r="H1" s="1"/>
      <c r="I1" s="1"/>
      <c r="J1" s="39" t="s">
        <v>44</v>
      </c>
      <c r="K1" s="39" t="s">
        <v>45</v>
      </c>
      <c r="L1" s="39" t="s">
        <v>46</v>
      </c>
      <c r="M1" s="39" t="s">
        <v>47</v>
      </c>
      <c r="N1" s="39" t="s">
        <v>48</v>
      </c>
      <c r="O1" s="39" t="s">
        <v>49</v>
      </c>
      <c r="P1" s="39" t="s">
        <v>50</v>
      </c>
      <c r="Q1" s="39" t="s">
        <v>51</v>
      </c>
      <c r="R1" s="39" t="s">
        <v>52</v>
      </c>
      <c r="S1" s="40" t="s">
        <v>53</v>
      </c>
      <c r="T1" s="39" t="s">
        <v>54</v>
      </c>
      <c r="U1" s="39" t="s">
        <v>55</v>
      </c>
      <c r="V1" s="40" t="s">
        <v>56</v>
      </c>
      <c r="W1" s="40" t="s">
        <v>57</v>
      </c>
      <c r="X1" s="39" t="s">
        <v>58</v>
      </c>
      <c r="Y1" s="40" t="s">
        <v>59</v>
      </c>
      <c r="Z1" s="40" t="s">
        <v>60</v>
      </c>
      <c r="AA1" s="40" t="s">
        <v>61</v>
      </c>
      <c r="AB1" s="40" t="s">
        <v>62</v>
      </c>
      <c r="AC1" s="40" t="s">
        <v>63</v>
      </c>
      <c r="AD1" s="41" t="s">
        <v>64</v>
      </c>
      <c r="AE1" s="40" t="s">
        <v>65</v>
      </c>
      <c r="AF1" s="40" t="s">
        <v>66</v>
      </c>
      <c r="AG1" s="40" t="s">
        <v>67</v>
      </c>
      <c r="AH1" s="40" t="s">
        <v>68</v>
      </c>
      <c r="AI1" s="41" t="s">
        <v>69</v>
      </c>
      <c r="AJ1" s="41" t="s">
        <v>70</v>
      </c>
    </row>
    <row r="2">
      <c r="A2" s="1" t="s">
        <v>0</v>
      </c>
      <c r="B2" s="1" t="s">
        <v>71</v>
      </c>
      <c r="C2" s="1" t="s">
        <v>1</v>
      </c>
      <c r="D2" s="1" t="s">
        <v>72</v>
      </c>
      <c r="E2" s="1" t="s">
        <v>73</v>
      </c>
      <c r="F2" s="1" t="s">
        <v>74</v>
      </c>
      <c r="G2" s="42" t="s">
        <v>75</v>
      </c>
      <c r="H2" s="42" t="s">
        <v>76</v>
      </c>
      <c r="I2" s="1" t="s">
        <v>77</v>
      </c>
      <c r="J2" s="43" t="s">
        <v>78</v>
      </c>
      <c r="K2" s="43" t="s">
        <v>79</v>
      </c>
      <c r="L2" s="43" t="s">
        <v>80</v>
      </c>
      <c r="M2" s="43" t="s">
        <v>80</v>
      </c>
      <c r="N2" s="43" t="s">
        <v>81</v>
      </c>
      <c r="O2" s="43" t="s">
        <v>82</v>
      </c>
      <c r="P2" s="43" t="s">
        <v>80</v>
      </c>
      <c r="Q2" s="43" t="s">
        <v>80</v>
      </c>
      <c r="R2" s="43" t="s">
        <v>83</v>
      </c>
      <c r="S2" s="44" t="s">
        <v>84</v>
      </c>
      <c r="T2" s="43" t="s">
        <v>85</v>
      </c>
      <c r="U2" s="43" t="s">
        <v>86</v>
      </c>
      <c r="V2" s="44" t="s">
        <v>87</v>
      </c>
      <c r="W2" s="44" t="s">
        <v>88</v>
      </c>
      <c r="X2" s="43" t="s">
        <v>89</v>
      </c>
      <c r="Y2" s="44" t="s">
        <v>90</v>
      </c>
      <c r="Z2" s="44" t="s">
        <v>89</v>
      </c>
      <c r="AA2" s="44" t="s">
        <v>91</v>
      </c>
      <c r="AB2" s="44" t="s">
        <v>92</v>
      </c>
      <c r="AC2" s="44" t="s">
        <v>93</v>
      </c>
      <c r="AD2" s="45" t="s">
        <v>94</v>
      </c>
      <c r="AE2" s="44" t="s">
        <v>95</v>
      </c>
      <c r="AF2" s="44" t="s">
        <v>92</v>
      </c>
      <c r="AG2" s="44" t="s">
        <v>96</v>
      </c>
      <c r="AH2" s="44" t="s">
        <v>97</v>
      </c>
      <c r="AI2" s="45"/>
      <c r="AJ2" s="45"/>
    </row>
    <row r="3">
      <c r="A3" s="8" t="s">
        <v>14</v>
      </c>
      <c r="B3" s="8" t="s">
        <v>98</v>
      </c>
      <c r="C3" s="46">
        <v>6.0726852E7</v>
      </c>
      <c r="D3" s="47" t="s">
        <v>99</v>
      </c>
      <c r="E3" s="48"/>
      <c r="F3" s="48"/>
      <c r="G3" s="48">
        <f t="shared" ref="G3:G31" si="1">SUM(J3:AI3)</f>
        <v>501</v>
      </c>
      <c r="H3" s="49">
        <v>5.0</v>
      </c>
      <c r="I3" s="48">
        <f t="shared" ref="I3:I10" si="2">sum(J3:AI3)/sum($J$31:$AI$31)*100</f>
        <v>129.7927461</v>
      </c>
      <c r="J3" s="43">
        <v>8.0</v>
      </c>
      <c r="K3" s="43">
        <v>33.0</v>
      </c>
      <c r="L3" s="43">
        <v>38.0</v>
      </c>
      <c r="M3" s="43">
        <v>15.0</v>
      </c>
      <c r="N3" s="43">
        <v>52.0</v>
      </c>
      <c r="O3" s="43">
        <v>23.0</v>
      </c>
      <c r="P3" s="43">
        <v>7.0</v>
      </c>
      <c r="Q3" s="43">
        <v>4.0</v>
      </c>
      <c r="R3" s="43">
        <v>28.0</v>
      </c>
      <c r="S3" s="44">
        <v>22.0</v>
      </c>
      <c r="T3" s="43">
        <v>8.0</v>
      </c>
      <c r="U3" s="43">
        <v>7.0</v>
      </c>
      <c r="V3" s="44">
        <v>19.0</v>
      </c>
      <c r="W3" s="44">
        <v>19.0</v>
      </c>
      <c r="X3" s="43">
        <v>8.0</v>
      </c>
      <c r="Y3" s="44">
        <v>14.0</v>
      </c>
      <c r="Z3" s="44">
        <v>17.0</v>
      </c>
      <c r="AA3" s="44">
        <v>64.0</v>
      </c>
      <c r="AB3" s="44">
        <v>9.0</v>
      </c>
      <c r="AC3" s="44">
        <v>38.0</v>
      </c>
      <c r="AE3" s="44">
        <v>10.0</v>
      </c>
      <c r="AF3" s="44">
        <v>8.0</v>
      </c>
      <c r="AG3" s="44">
        <v>19.0</v>
      </c>
      <c r="AH3" s="44">
        <v>6.0</v>
      </c>
      <c r="AI3" s="45">
        <v>25.0</v>
      </c>
      <c r="AJ3" s="45"/>
    </row>
    <row r="4">
      <c r="A4" s="8" t="s">
        <v>15</v>
      </c>
      <c r="B4" s="8" t="s">
        <v>100</v>
      </c>
      <c r="C4" s="46">
        <v>3.0641265E7</v>
      </c>
      <c r="D4" s="47" t="s">
        <v>101</v>
      </c>
      <c r="E4" s="48"/>
      <c r="F4" s="48"/>
      <c r="G4" s="48">
        <f t="shared" si="1"/>
        <v>369.5</v>
      </c>
      <c r="H4" s="49">
        <v>5.0</v>
      </c>
      <c r="I4" s="48">
        <f t="shared" si="2"/>
        <v>95.7253886</v>
      </c>
      <c r="J4" s="43">
        <v>8.0</v>
      </c>
      <c r="K4" s="43">
        <v>33.0</v>
      </c>
      <c r="L4" s="43">
        <v>38.0</v>
      </c>
      <c r="M4" s="43">
        <v>0.0</v>
      </c>
      <c r="N4" s="43">
        <v>17.0</v>
      </c>
      <c r="O4" s="43">
        <v>22.0</v>
      </c>
      <c r="P4" s="43">
        <v>6.0</v>
      </c>
      <c r="Q4" s="43">
        <v>4.0</v>
      </c>
      <c r="R4" s="43">
        <v>28.0</v>
      </c>
      <c r="S4" s="44">
        <v>20.0</v>
      </c>
      <c r="T4" s="43">
        <v>8.0</v>
      </c>
      <c r="U4" s="43">
        <v>7.0</v>
      </c>
      <c r="V4" s="44">
        <v>19.0</v>
      </c>
      <c r="W4" s="44">
        <v>19.0</v>
      </c>
      <c r="X4" s="43">
        <v>9.0</v>
      </c>
      <c r="Y4" s="44">
        <v>14.0</v>
      </c>
      <c r="Z4" s="44">
        <v>11.0</v>
      </c>
      <c r="AA4" s="44">
        <v>45.5</v>
      </c>
      <c r="AB4" s="44">
        <v>9.0</v>
      </c>
      <c r="AC4" s="50"/>
      <c r="AE4" s="44">
        <v>10.0</v>
      </c>
      <c r="AF4" s="44">
        <v>8.0</v>
      </c>
      <c r="AG4" s="44">
        <v>19.0</v>
      </c>
      <c r="AH4" s="44">
        <v>0.0</v>
      </c>
      <c r="AI4" s="45">
        <v>15.0</v>
      </c>
      <c r="AJ4" s="45"/>
    </row>
    <row r="5">
      <c r="A5" s="8" t="s">
        <v>16</v>
      </c>
      <c r="B5" s="8" t="s">
        <v>98</v>
      </c>
      <c r="C5" s="46">
        <v>9.087841E7</v>
      </c>
      <c r="D5" s="47" t="s">
        <v>102</v>
      </c>
      <c r="E5" s="51" t="s">
        <v>103</v>
      </c>
      <c r="F5" s="45" t="s">
        <v>104</v>
      </c>
      <c r="G5" s="48">
        <f t="shared" si="1"/>
        <v>433.5</v>
      </c>
      <c r="H5" s="45">
        <v>5.0</v>
      </c>
      <c r="I5" s="48">
        <f t="shared" si="2"/>
        <v>112.3056995</v>
      </c>
      <c r="J5" s="43">
        <v>8.0</v>
      </c>
      <c r="K5" s="43">
        <v>30.0</v>
      </c>
      <c r="L5" s="43">
        <v>38.0</v>
      </c>
      <c r="M5" s="43">
        <v>15.0</v>
      </c>
      <c r="N5" s="43">
        <v>23.5</v>
      </c>
      <c r="O5" s="43">
        <v>28.0</v>
      </c>
      <c r="P5" s="43">
        <v>7.0</v>
      </c>
      <c r="Q5" s="43">
        <v>4.0</v>
      </c>
      <c r="R5" s="43">
        <v>26.0</v>
      </c>
      <c r="S5" s="44">
        <v>22.0</v>
      </c>
      <c r="T5" s="43">
        <v>8.0</v>
      </c>
      <c r="U5" s="43">
        <v>7.0</v>
      </c>
      <c r="V5" s="44">
        <v>17.0</v>
      </c>
      <c r="W5" s="44">
        <v>17.0</v>
      </c>
      <c r="X5" s="43">
        <v>7.0</v>
      </c>
      <c r="Y5" s="44">
        <v>14.0</v>
      </c>
      <c r="Z5" s="44">
        <v>16.0</v>
      </c>
      <c r="AA5" s="44">
        <v>44.0</v>
      </c>
      <c r="AB5" s="44">
        <v>9.0</v>
      </c>
      <c r="AC5" s="44">
        <v>36.0</v>
      </c>
      <c r="AE5" s="44">
        <v>10.0</v>
      </c>
      <c r="AF5" s="44">
        <v>2.0</v>
      </c>
      <c r="AG5" s="44">
        <v>19.0</v>
      </c>
      <c r="AH5" s="44">
        <v>6.0</v>
      </c>
      <c r="AI5" s="45">
        <v>20.0</v>
      </c>
      <c r="AJ5" s="45"/>
    </row>
    <row r="6">
      <c r="A6" s="8" t="s">
        <v>17</v>
      </c>
      <c r="B6" s="8" t="s">
        <v>105</v>
      </c>
      <c r="C6" s="46">
        <v>2.72636E7</v>
      </c>
      <c r="D6" s="47" t="s">
        <v>106</v>
      </c>
      <c r="E6" s="48"/>
      <c r="F6" s="48"/>
      <c r="G6" s="48">
        <f t="shared" si="1"/>
        <v>385</v>
      </c>
      <c r="H6" s="49">
        <v>5.0</v>
      </c>
      <c r="I6" s="48">
        <f t="shared" si="2"/>
        <v>99.74093264</v>
      </c>
      <c r="J6" s="43">
        <v>8.0</v>
      </c>
      <c r="K6" s="43">
        <v>33.0</v>
      </c>
      <c r="L6" s="43">
        <v>32.0</v>
      </c>
      <c r="M6" s="43">
        <v>15.0</v>
      </c>
      <c r="N6" s="43">
        <v>20.0</v>
      </c>
      <c r="O6" s="43">
        <v>17.0</v>
      </c>
      <c r="P6" s="43">
        <v>7.0</v>
      </c>
      <c r="Q6" s="43">
        <v>2.0</v>
      </c>
      <c r="R6" s="43">
        <v>25.0</v>
      </c>
      <c r="S6" s="44">
        <v>22.0</v>
      </c>
      <c r="T6" s="43">
        <v>8.0</v>
      </c>
      <c r="U6" s="43">
        <v>7.0</v>
      </c>
      <c r="V6" s="44">
        <v>18.0</v>
      </c>
      <c r="W6" s="44">
        <v>21.0</v>
      </c>
      <c r="X6" s="43">
        <v>8.0</v>
      </c>
      <c r="Y6" s="44">
        <v>14.0</v>
      </c>
      <c r="Z6" s="44">
        <v>16.0</v>
      </c>
      <c r="AA6" s="44">
        <v>44.0</v>
      </c>
      <c r="AB6" s="44">
        <v>9.0</v>
      </c>
      <c r="AC6" s="44">
        <v>32.0</v>
      </c>
      <c r="AE6" s="44">
        <v>8.0</v>
      </c>
      <c r="AF6" s="44">
        <v>0.0</v>
      </c>
      <c r="AG6" s="44">
        <v>19.0</v>
      </c>
      <c r="AH6" s="44">
        <v>0.0</v>
      </c>
    </row>
    <row r="7">
      <c r="A7" s="8" t="s">
        <v>18</v>
      </c>
      <c r="B7" s="8" t="s">
        <v>107</v>
      </c>
      <c r="C7" s="46">
        <v>1.8411532E7</v>
      </c>
      <c r="D7" s="47" t="s">
        <v>108</v>
      </c>
      <c r="E7" s="52" t="s">
        <v>109</v>
      </c>
      <c r="F7" s="49" t="s">
        <v>110</v>
      </c>
      <c r="G7" s="48">
        <f t="shared" si="1"/>
        <v>421</v>
      </c>
      <c r="H7" s="49">
        <v>5.0</v>
      </c>
      <c r="I7" s="48">
        <f t="shared" si="2"/>
        <v>109.0673575</v>
      </c>
      <c r="J7" s="43">
        <v>8.0</v>
      </c>
      <c r="K7" s="43">
        <v>33.0</v>
      </c>
      <c r="L7" s="43">
        <v>38.0</v>
      </c>
      <c r="M7" s="43">
        <v>0.0</v>
      </c>
      <c r="N7" s="43">
        <v>52.0</v>
      </c>
      <c r="O7" s="43">
        <v>23.0</v>
      </c>
      <c r="P7" s="43">
        <v>7.0</v>
      </c>
      <c r="Q7" s="43">
        <v>4.0</v>
      </c>
      <c r="R7" s="43">
        <v>28.0</v>
      </c>
      <c r="S7" s="44">
        <v>22.0</v>
      </c>
      <c r="T7" s="43">
        <v>8.0</v>
      </c>
      <c r="U7" s="43">
        <v>7.0</v>
      </c>
      <c r="V7" s="44">
        <v>19.0</v>
      </c>
      <c r="W7" s="44">
        <v>19.0</v>
      </c>
      <c r="X7" s="43">
        <v>7.0</v>
      </c>
      <c r="Y7" s="44">
        <v>14.0</v>
      </c>
      <c r="Z7" s="44">
        <v>13.0</v>
      </c>
      <c r="AA7" s="44">
        <v>50.0</v>
      </c>
      <c r="AB7" s="44">
        <v>9.0</v>
      </c>
      <c r="AC7" s="50"/>
      <c r="AE7" s="44">
        <v>9.0</v>
      </c>
      <c r="AF7" s="44">
        <v>8.0</v>
      </c>
      <c r="AG7" s="44">
        <v>19.0</v>
      </c>
      <c r="AH7" s="44">
        <v>6.0</v>
      </c>
      <c r="AI7" s="45">
        <v>18.0</v>
      </c>
      <c r="AJ7" s="45"/>
    </row>
    <row r="8">
      <c r="A8" s="8" t="s">
        <v>19</v>
      </c>
      <c r="B8" s="8" t="s">
        <v>111</v>
      </c>
      <c r="C8" s="46">
        <v>3.6594162E7</v>
      </c>
      <c r="D8" s="47" t="s">
        <v>112</v>
      </c>
      <c r="E8" s="48"/>
      <c r="F8" s="48"/>
      <c r="G8" s="48">
        <f t="shared" si="1"/>
        <v>376.5</v>
      </c>
      <c r="H8" s="49">
        <v>5.0</v>
      </c>
      <c r="I8" s="48">
        <f t="shared" si="2"/>
        <v>97.5388601</v>
      </c>
      <c r="J8" s="43">
        <v>8.0</v>
      </c>
      <c r="K8" s="43">
        <v>33.0</v>
      </c>
      <c r="L8" s="43">
        <v>38.0</v>
      </c>
      <c r="M8" s="43">
        <v>0.0</v>
      </c>
      <c r="N8" s="43">
        <v>39.5</v>
      </c>
      <c r="O8" s="43">
        <v>28.0</v>
      </c>
      <c r="P8" s="43">
        <v>7.0</v>
      </c>
      <c r="Q8" s="43">
        <v>4.0</v>
      </c>
      <c r="R8" s="43">
        <v>28.0</v>
      </c>
      <c r="S8" s="44">
        <v>22.0</v>
      </c>
      <c r="T8" s="43">
        <v>8.0</v>
      </c>
      <c r="U8" s="43">
        <v>7.0</v>
      </c>
      <c r="V8" s="44">
        <v>19.0</v>
      </c>
      <c r="W8" s="44">
        <v>22.0</v>
      </c>
      <c r="X8" s="43">
        <v>9.0</v>
      </c>
      <c r="Y8" s="44">
        <v>14.0</v>
      </c>
      <c r="Z8" s="44">
        <v>15.0</v>
      </c>
      <c r="AA8" s="44">
        <v>29.0</v>
      </c>
      <c r="AB8" s="44">
        <v>0.0</v>
      </c>
      <c r="AC8" s="50"/>
      <c r="AE8" s="44">
        <v>0.0</v>
      </c>
      <c r="AF8" s="44">
        <v>8.0</v>
      </c>
      <c r="AG8" s="44">
        <v>19.0</v>
      </c>
      <c r="AH8" s="44">
        <v>4.0</v>
      </c>
      <c r="AI8" s="45">
        <v>15.0</v>
      </c>
      <c r="AJ8" s="45"/>
    </row>
    <row r="9">
      <c r="A9" s="8" t="s">
        <v>20</v>
      </c>
      <c r="B9" s="8" t="s">
        <v>113</v>
      </c>
      <c r="C9" s="46">
        <v>6.8775352E7</v>
      </c>
      <c r="D9" s="53" t="s">
        <v>114</v>
      </c>
      <c r="E9" s="48"/>
      <c r="F9" s="48"/>
      <c r="G9" s="48">
        <f t="shared" si="1"/>
        <v>404.5</v>
      </c>
      <c r="H9" s="49">
        <v>5.0</v>
      </c>
      <c r="I9" s="48">
        <f t="shared" si="2"/>
        <v>104.7927461</v>
      </c>
      <c r="J9" s="43">
        <v>8.0</v>
      </c>
      <c r="K9" s="43">
        <v>33.0</v>
      </c>
      <c r="L9" s="43">
        <v>38.0</v>
      </c>
      <c r="M9" s="43">
        <v>15.0</v>
      </c>
      <c r="N9" s="43">
        <v>47.5</v>
      </c>
      <c r="O9" s="43">
        <v>22.0</v>
      </c>
      <c r="P9" s="43">
        <v>6.0</v>
      </c>
      <c r="Q9" s="43">
        <v>4.0</v>
      </c>
      <c r="R9" s="43">
        <v>28.0</v>
      </c>
      <c r="S9" s="44">
        <v>22.0</v>
      </c>
      <c r="T9" s="43">
        <v>8.0</v>
      </c>
      <c r="U9" s="43">
        <v>7.0</v>
      </c>
      <c r="V9" s="44">
        <v>19.0</v>
      </c>
      <c r="W9" s="44">
        <v>14.0</v>
      </c>
      <c r="X9" s="43">
        <v>9.0</v>
      </c>
      <c r="Y9" s="44">
        <v>14.0</v>
      </c>
      <c r="Z9" s="44">
        <v>17.0</v>
      </c>
      <c r="AA9" s="44">
        <v>0.0</v>
      </c>
      <c r="AB9" s="44">
        <v>9.0</v>
      </c>
      <c r="AC9" s="44">
        <v>25.0</v>
      </c>
      <c r="AE9" s="44">
        <v>10.0</v>
      </c>
      <c r="AF9" s="44">
        <v>8.0</v>
      </c>
      <c r="AG9" s="44">
        <v>19.0</v>
      </c>
      <c r="AH9" s="44">
        <v>6.0</v>
      </c>
      <c r="AI9" s="45">
        <v>16.0</v>
      </c>
      <c r="AJ9" s="45"/>
    </row>
    <row r="10">
      <c r="A10" s="8" t="s">
        <v>21</v>
      </c>
      <c r="B10" s="8" t="s">
        <v>115</v>
      </c>
      <c r="C10" s="46">
        <v>4.1797465E7</v>
      </c>
      <c r="D10" s="53" t="s">
        <v>116</v>
      </c>
      <c r="E10" s="54" t="s">
        <v>117</v>
      </c>
      <c r="F10" s="49" t="s">
        <v>118</v>
      </c>
      <c r="G10" s="48">
        <f t="shared" si="1"/>
        <v>354</v>
      </c>
      <c r="H10" s="49">
        <v>5.0</v>
      </c>
      <c r="I10" s="48">
        <f t="shared" si="2"/>
        <v>91.70984456</v>
      </c>
      <c r="J10" s="43">
        <v>8.0</v>
      </c>
      <c r="K10" s="43">
        <v>33.0</v>
      </c>
      <c r="L10" s="43">
        <v>22.0</v>
      </c>
      <c r="M10" s="43">
        <v>0.0</v>
      </c>
      <c r="N10" s="43">
        <v>46.0</v>
      </c>
      <c r="O10" s="43">
        <v>23.0</v>
      </c>
      <c r="P10" s="43">
        <v>6.0</v>
      </c>
      <c r="Q10" s="43">
        <v>4.0</v>
      </c>
      <c r="R10" s="43">
        <v>28.0</v>
      </c>
      <c r="S10" s="44">
        <v>22.0</v>
      </c>
      <c r="T10" s="43">
        <v>8.0</v>
      </c>
      <c r="U10" s="43">
        <v>3.0</v>
      </c>
      <c r="V10" s="44">
        <v>11.0</v>
      </c>
      <c r="W10" s="44">
        <v>17.0</v>
      </c>
      <c r="X10" s="43">
        <v>7.0</v>
      </c>
      <c r="Y10" s="44">
        <v>14.0</v>
      </c>
      <c r="Z10" s="44">
        <v>15.0</v>
      </c>
      <c r="AA10" s="44">
        <v>44.0</v>
      </c>
      <c r="AB10" s="44">
        <v>9.0</v>
      </c>
      <c r="AC10" s="50"/>
      <c r="AE10" s="44">
        <v>9.0</v>
      </c>
      <c r="AF10" s="44">
        <v>2.0</v>
      </c>
      <c r="AG10" s="44">
        <v>19.0</v>
      </c>
      <c r="AH10" s="44">
        <v>4.0</v>
      </c>
    </row>
    <row r="11">
      <c r="A11" s="8" t="s">
        <v>22</v>
      </c>
      <c r="B11" s="8" t="s">
        <v>119</v>
      </c>
      <c r="C11" s="46">
        <v>1.55306958E8</v>
      </c>
      <c r="D11" s="47" t="s">
        <v>120</v>
      </c>
      <c r="E11" s="48"/>
      <c r="F11" s="48"/>
      <c r="G11" s="48">
        <f t="shared" si="1"/>
        <v>229</v>
      </c>
      <c r="H11" s="49">
        <v>2.0</v>
      </c>
      <c r="I11" s="48">
        <f>sum(J11:AJ11)/sum($J$31:$AI$31)*100</f>
        <v>62.1761658</v>
      </c>
      <c r="J11" s="43">
        <v>8.0</v>
      </c>
      <c r="K11" s="43">
        <v>16.0</v>
      </c>
      <c r="L11" s="43">
        <v>6.0</v>
      </c>
      <c r="M11" s="43">
        <v>0.0</v>
      </c>
      <c r="N11" s="43">
        <v>0.0</v>
      </c>
      <c r="O11" s="43">
        <v>23.0</v>
      </c>
      <c r="P11" s="43">
        <v>5.0</v>
      </c>
      <c r="Q11" s="43">
        <v>2.0</v>
      </c>
      <c r="R11" s="43">
        <v>10.0</v>
      </c>
      <c r="S11" s="44">
        <v>22.0</v>
      </c>
      <c r="T11" s="43">
        <v>0.0</v>
      </c>
      <c r="U11" s="43">
        <v>3.0</v>
      </c>
      <c r="V11" s="44">
        <v>15.0</v>
      </c>
      <c r="W11" s="44">
        <v>19.0</v>
      </c>
      <c r="X11" s="43">
        <v>8.0</v>
      </c>
      <c r="Y11" s="44">
        <v>6.0</v>
      </c>
      <c r="Z11" s="44">
        <v>9.0</v>
      </c>
      <c r="AA11" s="44">
        <v>21.0</v>
      </c>
      <c r="AB11" s="44">
        <v>9.0</v>
      </c>
      <c r="AC11" s="50"/>
      <c r="AD11" s="45">
        <v>7.0</v>
      </c>
      <c r="AE11" s="44">
        <v>7.0</v>
      </c>
      <c r="AF11" s="44">
        <v>0.0</v>
      </c>
      <c r="AG11" s="44">
        <v>19.0</v>
      </c>
      <c r="AH11" s="44">
        <v>0.0</v>
      </c>
      <c r="AI11" s="45">
        <v>14.0</v>
      </c>
      <c r="AJ11" s="45">
        <v>11.0</v>
      </c>
    </row>
    <row r="12">
      <c r="A12" s="8" t="s">
        <v>23</v>
      </c>
      <c r="B12" s="8" t="s">
        <v>105</v>
      </c>
      <c r="C12" s="46">
        <v>1943508.0</v>
      </c>
      <c r="D12" s="47" t="s">
        <v>121</v>
      </c>
      <c r="E12" s="49" t="s">
        <v>122</v>
      </c>
      <c r="F12" s="49" t="s">
        <v>123</v>
      </c>
      <c r="G12" s="48">
        <f t="shared" si="1"/>
        <v>459</v>
      </c>
      <c r="H12" s="55">
        <v>5.0</v>
      </c>
      <c r="I12" s="48">
        <f t="shared" ref="I12:I31" si="3">sum(J12:AI12)/sum($J$31:$AI$31)*100</f>
        <v>118.9119171</v>
      </c>
      <c r="J12" s="43">
        <v>8.0</v>
      </c>
      <c r="K12" s="43">
        <v>33.0</v>
      </c>
      <c r="L12" s="43">
        <v>38.0</v>
      </c>
      <c r="M12" s="43">
        <v>15.0</v>
      </c>
      <c r="N12" s="43">
        <v>52.0</v>
      </c>
      <c r="O12" s="43">
        <v>23.0</v>
      </c>
      <c r="P12" s="43">
        <v>7.0</v>
      </c>
      <c r="Q12" s="43">
        <v>4.0</v>
      </c>
      <c r="R12" s="43">
        <v>28.0</v>
      </c>
      <c r="S12" s="44">
        <v>22.0</v>
      </c>
      <c r="T12" s="43">
        <v>8.0</v>
      </c>
      <c r="U12" s="43">
        <v>7.0</v>
      </c>
      <c r="V12" s="44">
        <v>19.0</v>
      </c>
      <c r="W12" s="44">
        <v>19.0</v>
      </c>
      <c r="X12" s="43">
        <v>8.0</v>
      </c>
      <c r="Y12" s="44">
        <v>14.0</v>
      </c>
      <c r="Z12" s="44">
        <v>17.0</v>
      </c>
      <c r="AA12" s="44">
        <v>69.0</v>
      </c>
      <c r="AB12" s="44">
        <v>9.0</v>
      </c>
      <c r="AC12" s="50"/>
      <c r="AE12" s="44">
        <v>10.0</v>
      </c>
      <c r="AF12" s="44">
        <v>8.0</v>
      </c>
      <c r="AG12" s="44">
        <v>19.0</v>
      </c>
      <c r="AH12" s="44">
        <v>6.0</v>
      </c>
      <c r="AI12" s="45">
        <v>16.0</v>
      </c>
      <c r="AJ12" s="45"/>
    </row>
    <row r="13">
      <c r="A13" s="8" t="s">
        <v>24</v>
      </c>
      <c r="B13" s="34" t="s">
        <v>124</v>
      </c>
      <c r="C13" s="46">
        <v>1.6318756E7</v>
      </c>
      <c r="D13" s="47" t="s">
        <v>125</v>
      </c>
      <c r="E13" s="49" t="s">
        <v>126</v>
      </c>
      <c r="F13" s="49" t="s">
        <v>127</v>
      </c>
      <c r="G13" s="48">
        <f t="shared" si="1"/>
        <v>490</v>
      </c>
      <c r="H13" s="49">
        <v>5.0</v>
      </c>
      <c r="I13" s="48">
        <f t="shared" si="3"/>
        <v>126.9430052</v>
      </c>
      <c r="J13" s="43">
        <v>8.0</v>
      </c>
      <c r="K13" s="43">
        <v>33.0</v>
      </c>
      <c r="L13" s="43">
        <v>38.0</v>
      </c>
      <c r="M13" s="43">
        <v>15.0</v>
      </c>
      <c r="N13" s="43">
        <v>50.0</v>
      </c>
      <c r="O13" s="43">
        <v>23.0</v>
      </c>
      <c r="P13" s="43">
        <v>7.0</v>
      </c>
      <c r="Q13" s="43">
        <v>4.0</v>
      </c>
      <c r="R13" s="43">
        <v>28.0</v>
      </c>
      <c r="S13" s="44">
        <v>22.0</v>
      </c>
      <c r="T13" s="43">
        <v>8.0</v>
      </c>
      <c r="U13" s="43">
        <v>7.0</v>
      </c>
      <c r="V13" s="44">
        <v>19.0</v>
      </c>
      <c r="W13" s="44">
        <v>16.0</v>
      </c>
      <c r="X13" s="43">
        <v>9.0</v>
      </c>
      <c r="Y13" s="44">
        <v>14.0</v>
      </c>
      <c r="Z13" s="44">
        <v>17.0</v>
      </c>
      <c r="AA13" s="44">
        <v>64.0</v>
      </c>
      <c r="AB13" s="44">
        <v>9.0</v>
      </c>
      <c r="AC13" s="44">
        <v>37.0</v>
      </c>
      <c r="AE13" s="44">
        <v>10.0</v>
      </c>
      <c r="AF13" s="44">
        <v>8.0</v>
      </c>
      <c r="AG13" s="44">
        <v>19.0</v>
      </c>
      <c r="AH13" s="44">
        <v>6.0</v>
      </c>
      <c r="AI13" s="45">
        <v>19.0</v>
      </c>
      <c r="AJ13" s="45"/>
    </row>
    <row r="14">
      <c r="A14" s="8" t="s">
        <v>25</v>
      </c>
      <c r="B14" s="8" t="s">
        <v>128</v>
      </c>
      <c r="C14" s="46">
        <v>8125628.0</v>
      </c>
      <c r="D14" s="53" t="s">
        <v>129</v>
      </c>
      <c r="E14" s="52" t="s">
        <v>130</v>
      </c>
      <c r="F14" s="49" t="s">
        <v>131</v>
      </c>
      <c r="G14" s="48">
        <f t="shared" si="1"/>
        <v>393</v>
      </c>
      <c r="H14" s="49">
        <v>5.0</v>
      </c>
      <c r="I14" s="48">
        <f t="shared" si="3"/>
        <v>101.8134715</v>
      </c>
      <c r="J14" s="43">
        <v>8.0</v>
      </c>
      <c r="K14" s="43">
        <v>33.0</v>
      </c>
      <c r="L14" s="43">
        <v>36.0</v>
      </c>
      <c r="M14" s="43">
        <v>0.0</v>
      </c>
      <c r="N14" s="43">
        <v>52.0</v>
      </c>
      <c r="O14" s="43">
        <v>22.0</v>
      </c>
      <c r="P14" s="43">
        <v>6.0</v>
      </c>
      <c r="Q14" s="43">
        <v>4.0</v>
      </c>
      <c r="R14" s="43">
        <v>28.0</v>
      </c>
      <c r="S14" s="44">
        <v>22.0</v>
      </c>
      <c r="T14" s="43">
        <v>8.0</v>
      </c>
      <c r="U14" s="43">
        <v>7.0</v>
      </c>
      <c r="V14" s="44">
        <v>19.0</v>
      </c>
      <c r="W14" s="44">
        <v>20.0</v>
      </c>
      <c r="X14" s="43">
        <v>8.0</v>
      </c>
      <c r="Y14" s="44">
        <v>14.0</v>
      </c>
      <c r="Z14" s="44">
        <v>13.0</v>
      </c>
      <c r="AA14" s="44">
        <v>59.0</v>
      </c>
      <c r="AB14" s="44">
        <v>7.0</v>
      </c>
      <c r="AC14" s="50"/>
      <c r="AE14" s="44">
        <v>8.0</v>
      </c>
      <c r="AF14" s="44">
        <v>0.0</v>
      </c>
      <c r="AG14" s="44">
        <v>19.0</v>
      </c>
      <c r="AH14" s="44">
        <v>0.0</v>
      </c>
    </row>
    <row r="15">
      <c r="A15" s="8" t="s">
        <v>26</v>
      </c>
      <c r="B15" s="8" t="s">
        <v>132</v>
      </c>
      <c r="C15" s="46">
        <v>4.2572948E7</v>
      </c>
      <c r="D15" s="53" t="s">
        <v>133</v>
      </c>
      <c r="E15" s="48"/>
      <c r="F15" s="49" t="s">
        <v>134</v>
      </c>
      <c r="G15" s="48">
        <f t="shared" si="1"/>
        <v>378</v>
      </c>
      <c r="H15" s="49">
        <v>5.0</v>
      </c>
      <c r="I15" s="48">
        <f t="shared" si="3"/>
        <v>97.92746114</v>
      </c>
      <c r="J15" s="43">
        <v>8.0</v>
      </c>
      <c r="K15" s="43">
        <v>33.0</v>
      </c>
      <c r="L15" s="43">
        <v>36.0</v>
      </c>
      <c r="M15" s="43">
        <v>15.0</v>
      </c>
      <c r="N15" s="43">
        <v>50.0</v>
      </c>
      <c r="O15" s="43">
        <v>14.0</v>
      </c>
      <c r="P15" s="43">
        <v>7.0</v>
      </c>
      <c r="Q15" s="43">
        <v>4.0</v>
      </c>
      <c r="R15" s="43">
        <v>27.0</v>
      </c>
      <c r="S15" s="44">
        <v>12.0</v>
      </c>
      <c r="T15" s="43">
        <v>8.0</v>
      </c>
      <c r="U15" s="43">
        <v>7.0</v>
      </c>
      <c r="V15" s="44">
        <v>19.0</v>
      </c>
      <c r="W15" s="50"/>
      <c r="X15" s="43">
        <v>8.0</v>
      </c>
      <c r="Y15" s="44">
        <v>14.0</v>
      </c>
      <c r="Z15" s="44">
        <v>8.0</v>
      </c>
      <c r="AA15" s="44">
        <v>47.0</v>
      </c>
      <c r="AB15" s="44">
        <v>9.0</v>
      </c>
      <c r="AC15" s="50"/>
      <c r="AE15" s="44">
        <v>7.0</v>
      </c>
      <c r="AF15" s="44">
        <v>8.0</v>
      </c>
      <c r="AG15" s="44">
        <v>19.0</v>
      </c>
      <c r="AH15" s="44">
        <v>4.0</v>
      </c>
      <c r="AI15" s="45">
        <v>14.0</v>
      </c>
      <c r="AJ15" s="45"/>
    </row>
    <row r="16">
      <c r="A16" s="8" t="s">
        <v>27</v>
      </c>
      <c r="B16" s="8" t="s">
        <v>107</v>
      </c>
      <c r="C16" s="46">
        <v>3.0527095E7</v>
      </c>
      <c r="D16" s="56">
        <v>8.9137198555E10</v>
      </c>
      <c r="E16" s="57" t="s">
        <v>135</v>
      </c>
      <c r="F16" s="49" t="s">
        <v>136</v>
      </c>
      <c r="G16" s="48">
        <f t="shared" si="1"/>
        <v>362</v>
      </c>
      <c r="H16" s="49">
        <v>5.0</v>
      </c>
      <c r="I16" s="48">
        <f t="shared" si="3"/>
        <v>93.78238342</v>
      </c>
      <c r="J16" s="43">
        <v>8.0</v>
      </c>
      <c r="K16" s="43">
        <v>30.0</v>
      </c>
      <c r="L16" s="43">
        <v>18.0</v>
      </c>
      <c r="M16" s="43">
        <v>0.0</v>
      </c>
      <c r="N16" s="43">
        <v>43.0</v>
      </c>
      <c r="O16" s="43">
        <v>23.0</v>
      </c>
      <c r="P16" s="43">
        <v>2.0</v>
      </c>
      <c r="Q16" s="43">
        <v>2.0</v>
      </c>
      <c r="R16" s="43">
        <v>28.0</v>
      </c>
      <c r="S16" s="44">
        <v>20.0</v>
      </c>
      <c r="T16" s="43">
        <v>5.0</v>
      </c>
      <c r="U16" s="43">
        <v>6.0</v>
      </c>
      <c r="V16" s="44">
        <v>18.0</v>
      </c>
      <c r="W16" s="44">
        <v>22.0</v>
      </c>
      <c r="X16" s="43">
        <v>9.0</v>
      </c>
      <c r="Y16" s="44">
        <v>12.0</v>
      </c>
      <c r="Z16" s="44">
        <v>12.0</v>
      </c>
      <c r="AA16" s="44">
        <v>42.0</v>
      </c>
      <c r="AB16" s="44">
        <v>9.0</v>
      </c>
      <c r="AC16" s="50"/>
      <c r="AE16" s="44">
        <v>7.0</v>
      </c>
      <c r="AF16" s="44">
        <v>8.0</v>
      </c>
      <c r="AG16" s="44">
        <v>19.0</v>
      </c>
      <c r="AH16" s="44">
        <v>4.0</v>
      </c>
      <c r="AI16" s="45">
        <v>15.0</v>
      </c>
      <c r="AJ16" s="45"/>
    </row>
    <row r="17">
      <c r="A17" s="8" t="s">
        <v>28</v>
      </c>
      <c r="B17" s="8" t="s">
        <v>105</v>
      </c>
      <c r="C17" s="46">
        <v>8.2036249E7</v>
      </c>
      <c r="D17" s="47" t="s">
        <v>137</v>
      </c>
      <c r="E17" s="52" t="s">
        <v>138</v>
      </c>
      <c r="F17" s="49" t="s">
        <v>139</v>
      </c>
      <c r="G17" s="48">
        <f t="shared" si="1"/>
        <v>411</v>
      </c>
      <c r="H17" s="49">
        <v>5.0</v>
      </c>
      <c r="I17" s="48">
        <f t="shared" si="3"/>
        <v>106.4766839</v>
      </c>
      <c r="J17" s="43">
        <v>8.0</v>
      </c>
      <c r="K17" s="43">
        <v>33.0</v>
      </c>
      <c r="L17" s="43">
        <v>38.0</v>
      </c>
      <c r="M17" s="43">
        <v>0.0</v>
      </c>
      <c r="N17" s="43">
        <v>36.0</v>
      </c>
      <c r="O17" s="43">
        <v>23.0</v>
      </c>
      <c r="P17" s="43">
        <v>7.0</v>
      </c>
      <c r="Q17" s="43">
        <v>4.0</v>
      </c>
      <c r="R17" s="43">
        <v>28.0</v>
      </c>
      <c r="S17" s="44">
        <v>22.0</v>
      </c>
      <c r="T17" s="43">
        <v>8.0</v>
      </c>
      <c r="U17" s="43">
        <v>7.0</v>
      </c>
      <c r="V17" s="44">
        <v>19.0</v>
      </c>
      <c r="W17" s="50"/>
      <c r="X17" s="43">
        <v>9.0</v>
      </c>
      <c r="Y17" s="44">
        <v>14.0</v>
      </c>
      <c r="Z17" s="44">
        <v>17.0</v>
      </c>
      <c r="AA17" s="44">
        <v>63.0</v>
      </c>
      <c r="AB17" s="44">
        <v>9.0</v>
      </c>
      <c r="AC17" s="50"/>
      <c r="AE17" s="44">
        <v>10.0</v>
      </c>
      <c r="AF17" s="44">
        <v>8.0</v>
      </c>
      <c r="AG17" s="44">
        <v>19.0</v>
      </c>
      <c r="AH17" s="44">
        <v>6.0</v>
      </c>
      <c r="AI17" s="45">
        <v>23.0</v>
      </c>
      <c r="AJ17" s="45"/>
    </row>
    <row r="18">
      <c r="A18" s="8" t="s">
        <v>29</v>
      </c>
      <c r="B18" s="8" t="s">
        <v>105</v>
      </c>
      <c r="C18" s="46">
        <v>8.362043E7</v>
      </c>
      <c r="D18" s="58" t="s">
        <v>140</v>
      </c>
      <c r="E18" s="48"/>
      <c r="F18" s="48"/>
      <c r="G18" s="48">
        <f t="shared" si="1"/>
        <v>383.5</v>
      </c>
      <c r="H18" s="49">
        <v>5.0</v>
      </c>
      <c r="I18" s="48">
        <f t="shared" si="3"/>
        <v>99.35233161</v>
      </c>
      <c r="J18" s="43">
        <v>8.0</v>
      </c>
      <c r="K18" s="43">
        <v>33.0</v>
      </c>
      <c r="L18" s="43">
        <v>33.0</v>
      </c>
      <c r="M18" s="43">
        <v>15.0</v>
      </c>
      <c r="N18" s="43">
        <v>52.0</v>
      </c>
      <c r="O18" s="43">
        <v>23.0</v>
      </c>
      <c r="P18" s="43">
        <v>7.0</v>
      </c>
      <c r="Q18" s="43">
        <v>4.0</v>
      </c>
      <c r="R18" s="43">
        <v>27.5</v>
      </c>
      <c r="S18" s="44">
        <v>22.0</v>
      </c>
      <c r="T18" s="43">
        <v>6.0</v>
      </c>
      <c r="U18" s="43">
        <v>6.0</v>
      </c>
      <c r="V18" s="44">
        <v>15.0</v>
      </c>
      <c r="W18" s="50"/>
      <c r="X18" s="43">
        <v>7.0</v>
      </c>
      <c r="Y18" s="44">
        <v>14.0</v>
      </c>
      <c r="Z18" s="44">
        <v>14.0</v>
      </c>
      <c r="AA18" s="44">
        <v>32.0</v>
      </c>
      <c r="AB18" s="44">
        <v>9.0</v>
      </c>
      <c r="AC18" s="50"/>
      <c r="AE18" s="44">
        <v>9.0</v>
      </c>
      <c r="AF18" s="44">
        <v>2.0</v>
      </c>
      <c r="AG18" s="44">
        <v>19.0</v>
      </c>
      <c r="AH18" s="44">
        <v>6.0</v>
      </c>
      <c r="AI18" s="45">
        <v>20.0</v>
      </c>
      <c r="AJ18" s="45"/>
    </row>
    <row r="19">
      <c r="A19" s="8" t="s">
        <v>30</v>
      </c>
      <c r="B19" s="8" t="s">
        <v>141</v>
      </c>
      <c r="C19" s="46">
        <v>3.36375228E8</v>
      </c>
      <c r="D19" s="47" t="s">
        <v>142</v>
      </c>
      <c r="E19" s="59" t="s">
        <v>143</v>
      </c>
      <c r="F19" s="49" t="s">
        <v>144</v>
      </c>
      <c r="G19" s="48">
        <f t="shared" si="1"/>
        <v>461</v>
      </c>
      <c r="H19" s="49">
        <v>5.0</v>
      </c>
      <c r="I19" s="48">
        <f t="shared" si="3"/>
        <v>119.4300518</v>
      </c>
      <c r="J19" s="43">
        <v>8.0</v>
      </c>
      <c r="K19" s="43">
        <v>33.0</v>
      </c>
      <c r="L19" s="43">
        <v>37.0</v>
      </c>
      <c r="M19" s="43">
        <v>10.5</v>
      </c>
      <c r="N19" s="43">
        <v>50.0</v>
      </c>
      <c r="O19" s="43">
        <v>23.0</v>
      </c>
      <c r="P19" s="43">
        <v>7.0</v>
      </c>
      <c r="Q19" s="43">
        <v>4.0</v>
      </c>
      <c r="R19" s="43">
        <v>24.5</v>
      </c>
      <c r="S19" s="44">
        <v>22.0</v>
      </c>
      <c r="T19" s="43">
        <v>8.0</v>
      </c>
      <c r="U19" s="43">
        <v>7.0</v>
      </c>
      <c r="V19" s="44">
        <v>19.0</v>
      </c>
      <c r="W19" s="44">
        <v>20.0</v>
      </c>
      <c r="X19" s="43">
        <v>9.0</v>
      </c>
      <c r="Y19" s="44">
        <v>14.0</v>
      </c>
      <c r="Z19" s="44">
        <v>15.0</v>
      </c>
      <c r="AA19" s="44">
        <v>49.0</v>
      </c>
      <c r="AB19" s="44">
        <v>9.0</v>
      </c>
      <c r="AC19" s="44">
        <v>39.0</v>
      </c>
      <c r="AE19" s="44">
        <v>10.0</v>
      </c>
      <c r="AF19" s="44">
        <v>2.0</v>
      </c>
      <c r="AG19" s="44">
        <v>19.0</v>
      </c>
      <c r="AH19" s="44">
        <v>6.0</v>
      </c>
      <c r="AI19" s="45">
        <v>16.0</v>
      </c>
      <c r="AJ19" s="45"/>
    </row>
    <row r="20">
      <c r="A20" s="8" t="s">
        <v>31</v>
      </c>
      <c r="B20" s="8" t="s">
        <v>145</v>
      </c>
      <c r="C20" s="46">
        <v>4.5193494E7</v>
      </c>
      <c r="D20" s="47" t="s">
        <v>146</v>
      </c>
      <c r="E20" s="48"/>
      <c r="F20" s="48"/>
      <c r="G20" s="48">
        <f t="shared" si="1"/>
        <v>461</v>
      </c>
      <c r="H20" s="49">
        <v>5.0</v>
      </c>
      <c r="I20" s="48">
        <f t="shared" si="3"/>
        <v>119.4300518</v>
      </c>
      <c r="J20" s="43">
        <v>8.0</v>
      </c>
      <c r="K20" s="43">
        <v>33.0</v>
      </c>
      <c r="L20" s="43">
        <v>30.0</v>
      </c>
      <c r="M20" s="43">
        <v>15.0</v>
      </c>
      <c r="N20" s="43">
        <v>47.0</v>
      </c>
      <c r="O20" s="43">
        <v>23.0</v>
      </c>
      <c r="P20" s="43">
        <v>7.0</v>
      </c>
      <c r="Q20" s="43">
        <v>4.0</v>
      </c>
      <c r="R20" s="43">
        <v>28.0</v>
      </c>
      <c r="S20" s="44">
        <v>22.0</v>
      </c>
      <c r="T20" s="43">
        <v>8.0</v>
      </c>
      <c r="U20" s="43">
        <v>7.0</v>
      </c>
      <c r="V20" s="44">
        <v>19.0</v>
      </c>
      <c r="W20" s="44">
        <v>14.0</v>
      </c>
      <c r="X20" s="43">
        <v>9.0</v>
      </c>
      <c r="Y20" s="44">
        <v>14.0</v>
      </c>
      <c r="Z20" s="44">
        <v>17.0</v>
      </c>
      <c r="AA20" s="44">
        <v>51.0</v>
      </c>
      <c r="AB20" s="44">
        <v>9.0</v>
      </c>
      <c r="AC20" s="44">
        <v>37.0</v>
      </c>
      <c r="AE20" s="44">
        <v>10.0</v>
      </c>
      <c r="AF20" s="44">
        <v>8.0</v>
      </c>
      <c r="AG20" s="44">
        <v>19.0</v>
      </c>
      <c r="AH20" s="44">
        <v>6.0</v>
      </c>
      <c r="AI20" s="45">
        <v>16.0</v>
      </c>
      <c r="AJ20" s="45"/>
    </row>
    <row r="21">
      <c r="A21" s="8" t="s">
        <v>32</v>
      </c>
      <c r="B21" s="8" t="s">
        <v>105</v>
      </c>
      <c r="C21" s="46">
        <v>3.24020177E8</v>
      </c>
      <c r="D21" s="53" t="s">
        <v>147</v>
      </c>
      <c r="E21" s="52" t="s">
        <v>148</v>
      </c>
      <c r="F21" s="60" t="s">
        <v>149</v>
      </c>
      <c r="G21" s="48">
        <f t="shared" si="1"/>
        <v>421</v>
      </c>
      <c r="H21" s="49">
        <v>5.0</v>
      </c>
      <c r="I21" s="48">
        <f t="shared" si="3"/>
        <v>109.0673575</v>
      </c>
      <c r="J21" s="43">
        <v>8.0</v>
      </c>
      <c r="K21" s="43">
        <v>33.0</v>
      </c>
      <c r="L21" s="43">
        <v>34.0</v>
      </c>
      <c r="M21" s="43">
        <v>15.0</v>
      </c>
      <c r="N21" s="43">
        <v>0.0</v>
      </c>
      <c r="O21" s="43">
        <v>23.0</v>
      </c>
      <c r="P21" s="43">
        <v>6.0</v>
      </c>
      <c r="Q21" s="43">
        <v>4.0</v>
      </c>
      <c r="R21" s="43">
        <v>28.0</v>
      </c>
      <c r="S21" s="44">
        <v>22.0</v>
      </c>
      <c r="T21" s="43">
        <v>8.0</v>
      </c>
      <c r="U21" s="43">
        <v>7.0</v>
      </c>
      <c r="V21" s="44">
        <v>19.0</v>
      </c>
      <c r="W21" s="44">
        <v>16.0</v>
      </c>
      <c r="X21" s="43">
        <v>8.0</v>
      </c>
      <c r="Y21" s="44">
        <v>14.0</v>
      </c>
      <c r="Z21" s="44">
        <v>17.0</v>
      </c>
      <c r="AA21" s="44">
        <v>51.0</v>
      </c>
      <c r="AB21" s="44">
        <v>9.0</v>
      </c>
      <c r="AC21" s="44">
        <v>38.0</v>
      </c>
      <c r="AE21" s="44">
        <v>10.0</v>
      </c>
      <c r="AF21" s="44">
        <v>8.0</v>
      </c>
      <c r="AG21" s="44">
        <v>19.0</v>
      </c>
      <c r="AH21" s="44">
        <v>6.0</v>
      </c>
      <c r="AI21" s="45">
        <v>18.0</v>
      </c>
      <c r="AJ21" s="45"/>
    </row>
    <row r="22">
      <c r="A22" s="8" t="s">
        <v>33</v>
      </c>
      <c r="B22" s="8" t="s">
        <v>150</v>
      </c>
      <c r="C22" s="46">
        <v>1.82069407E8</v>
      </c>
      <c r="D22" s="47" t="s">
        <v>151</v>
      </c>
      <c r="E22" s="49" t="s">
        <v>152</v>
      </c>
      <c r="F22" s="49" t="s">
        <v>153</v>
      </c>
      <c r="G22" s="48">
        <f t="shared" si="1"/>
        <v>460</v>
      </c>
      <c r="H22" s="49">
        <v>5.0</v>
      </c>
      <c r="I22" s="48">
        <f t="shared" si="3"/>
        <v>119.1709845</v>
      </c>
      <c r="J22" s="43">
        <v>8.0</v>
      </c>
      <c r="K22" s="43">
        <v>33.0</v>
      </c>
      <c r="L22" s="43">
        <v>38.0</v>
      </c>
      <c r="M22" s="43">
        <v>15.0</v>
      </c>
      <c r="N22" s="43">
        <v>52.0</v>
      </c>
      <c r="O22" s="43">
        <v>23.0</v>
      </c>
      <c r="P22" s="43">
        <v>7.0</v>
      </c>
      <c r="Q22" s="43">
        <v>2.0</v>
      </c>
      <c r="R22" s="43">
        <v>28.0</v>
      </c>
      <c r="S22" s="44">
        <v>22.0</v>
      </c>
      <c r="T22" s="43">
        <v>8.0</v>
      </c>
      <c r="U22" s="43">
        <v>7.0</v>
      </c>
      <c r="V22" s="44">
        <v>19.0</v>
      </c>
      <c r="W22" s="44">
        <v>17.0</v>
      </c>
      <c r="X22" s="43">
        <v>7.0</v>
      </c>
      <c r="Y22" s="44">
        <v>14.0</v>
      </c>
      <c r="Z22" s="44">
        <v>17.0</v>
      </c>
      <c r="AA22" s="44">
        <v>44.0</v>
      </c>
      <c r="AB22" s="44">
        <v>9.0</v>
      </c>
      <c r="AC22" s="44">
        <v>32.0</v>
      </c>
      <c r="AE22" s="44">
        <v>9.0</v>
      </c>
      <c r="AF22" s="44">
        <v>6.0</v>
      </c>
      <c r="AG22" s="44">
        <v>19.0</v>
      </c>
      <c r="AH22" s="44">
        <v>4.0</v>
      </c>
      <c r="AI22" s="45">
        <v>20.0</v>
      </c>
      <c r="AJ22" s="45"/>
    </row>
    <row r="23">
      <c r="A23" s="8" t="s">
        <v>34</v>
      </c>
      <c r="B23" s="8" t="s">
        <v>105</v>
      </c>
      <c r="C23" s="46">
        <v>9.3040301E7</v>
      </c>
      <c r="D23" s="47" t="s">
        <v>154</v>
      </c>
      <c r="E23" s="52" t="s">
        <v>155</v>
      </c>
      <c r="F23" s="49" t="s">
        <v>156</v>
      </c>
      <c r="G23" s="48">
        <f t="shared" si="1"/>
        <v>298.5</v>
      </c>
      <c r="H23" s="49">
        <v>4.0</v>
      </c>
      <c r="I23" s="48">
        <f t="shared" si="3"/>
        <v>77.33160622</v>
      </c>
      <c r="J23" s="43">
        <v>8.0</v>
      </c>
      <c r="K23" s="43">
        <v>26.0</v>
      </c>
      <c r="L23" s="43">
        <v>15.0</v>
      </c>
      <c r="M23" s="43">
        <v>0.0</v>
      </c>
      <c r="N23" s="43">
        <v>5.0</v>
      </c>
      <c r="O23" s="43">
        <v>22.0</v>
      </c>
      <c r="P23" s="43">
        <v>6.0</v>
      </c>
      <c r="Q23" s="43">
        <v>0.0</v>
      </c>
      <c r="R23" s="43">
        <v>27.0</v>
      </c>
      <c r="S23" s="44">
        <v>22.0</v>
      </c>
      <c r="T23" s="43">
        <v>6.0</v>
      </c>
      <c r="U23" s="43">
        <v>7.0</v>
      </c>
      <c r="V23" s="44">
        <v>19.0</v>
      </c>
      <c r="W23" s="44">
        <v>20.0</v>
      </c>
      <c r="X23" s="43">
        <v>6.0</v>
      </c>
      <c r="Y23" s="44">
        <v>13.5</v>
      </c>
      <c r="Z23" s="44">
        <v>17.0</v>
      </c>
      <c r="AA23" s="44">
        <v>0.0</v>
      </c>
      <c r="AB23" s="44">
        <v>9.0</v>
      </c>
      <c r="AC23" s="44">
        <v>37.0</v>
      </c>
      <c r="AE23" s="44">
        <v>8.0</v>
      </c>
      <c r="AF23" s="44">
        <v>0.0</v>
      </c>
      <c r="AG23" s="44">
        <v>19.0</v>
      </c>
      <c r="AH23" s="44">
        <v>6.0</v>
      </c>
    </row>
    <row r="24">
      <c r="A24" s="8" t="s">
        <v>35</v>
      </c>
      <c r="B24" s="8" t="s">
        <v>105</v>
      </c>
      <c r="C24" s="46">
        <v>4.474972E7</v>
      </c>
      <c r="D24" s="47" t="s">
        <v>157</v>
      </c>
      <c r="E24" s="48"/>
      <c r="F24" s="49" t="s">
        <v>158</v>
      </c>
      <c r="G24" s="48">
        <f t="shared" si="1"/>
        <v>427</v>
      </c>
      <c r="H24" s="49">
        <v>5.0</v>
      </c>
      <c r="I24" s="48">
        <f t="shared" si="3"/>
        <v>110.6217617</v>
      </c>
      <c r="J24" s="43">
        <v>8.0</v>
      </c>
      <c r="K24" s="43">
        <v>33.0</v>
      </c>
      <c r="L24" s="43">
        <v>38.0</v>
      </c>
      <c r="M24" s="43">
        <v>15.0</v>
      </c>
      <c r="N24" s="43">
        <v>52.0</v>
      </c>
      <c r="O24" s="43">
        <v>17.0</v>
      </c>
      <c r="P24" s="43">
        <v>7.0</v>
      </c>
      <c r="Q24" s="43">
        <v>4.0</v>
      </c>
      <c r="R24" s="43">
        <v>28.0</v>
      </c>
      <c r="S24" s="44">
        <v>22.0</v>
      </c>
      <c r="T24" s="43">
        <v>8.0</v>
      </c>
      <c r="U24" s="43">
        <v>7.0</v>
      </c>
      <c r="V24" s="44">
        <v>19.0</v>
      </c>
      <c r="W24" s="50"/>
      <c r="X24" s="43">
        <v>8.0</v>
      </c>
      <c r="Y24" s="44">
        <v>7.0</v>
      </c>
      <c r="Z24" s="44">
        <v>17.0</v>
      </c>
      <c r="AA24" s="44">
        <v>52.0</v>
      </c>
      <c r="AB24" s="44">
        <v>9.0</v>
      </c>
      <c r="AC24" s="50"/>
      <c r="AE24" s="44">
        <v>10.0</v>
      </c>
      <c r="AF24" s="44">
        <v>8.0</v>
      </c>
      <c r="AG24" s="44">
        <v>19.0</v>
      </c>
      <c r="AH24" s="44">
        <v>6.0</v>
      </c>
      <c r="AI24" s="45">
        <v>33.0</v>
      </c>
      <c r="AJ24" s="45"/>
    </row>
    <row r="25">
      <c r="A25" s="8" t="s">
        <v>36</v>
      </c>
      <c r="B25" s="8" t="s">
        <v>105</v>
      </c>
      <c r="C25" s="46">
        <v>6.657065E7</v>
      </c>
      <c r="D25" s="47" t="s">
        <v>159</v>
      </c>
      <c r="E25" s="49" t="s">
        <v>160</v>
      </c>
      <c r="F25" s="49" t="s">
        <v>161</v>
      </c>
      <c r="G25" s="48">
        <f t="shared" si="1"/>
        <v>441.5</v>
      </c>
      <c r="H25" s="49">
        <v>5.0</v>
      </c>
      <c r="I25" s="48">
        <f t="shared" si="3"/>
        <v>114.3782383</v>
      </c>
      <c r="J25" s="43">
        <v>8.0</v>
      </c>
      <c r="K25" s="43">
        <v>33.0</v>
      </c>
      <c r="L25" s="43">
        <v>38.0</v>
      </c>
      <c r="M25" s="43">
        <v>0.0</v>
      </c>
      <c r="N25" s="43">
        <v>32.5</v>
      </c>
      <c r="O25" s="43">
        <v>22.0</v>
      </c>
      <c r="P25" s="43">
        <v>6.0</v>
      </c>
      <c r="Q25" s="43">
        <v>4.0</v>
      </c>
      <c r="R25" s="43">
        <v>28.0</v>
      </c>
      <c r="S25" s="44">
        <v>22.0</v>
      </c>
      <c r="T25" s="43">
        <v>8.0</v>
      </c>
      <c r="U25" s="43">
        <v>7.0</v>
      </c>
      <c r="V25" s="44">
        <v>19.0</v>
      </c>
      <c r="W25" s="44">
        <v>16.0</v>
      </c>
      <c r="X25" s="43">
        <v>9.0</v>
      </c>
      <c r="Y25" s="44">
        <v>13.5</v>
      </c>
      <c r="Z25" s="44">
        <v>17.0</v>
      </c>
      <c r="AA25" s="44">
        <v>55.0</v>
      </c>
      <c r="AB25" s="44">
        <v>4.5</v>
      </c>
      <c r="AC25" s="44">
        <v>36.0</v>
      </c>
      <c r="AE25" s="44">
        <v>10.0</v>
      </c>
      <c r="AF25" s="44">
        <v>8.0</v>
      </c>
      <c r="AG25" s="44">
        <v>19.0</v>
      </c>
      <c r="AH25" s="44">
        <v>6.0</v>
      </c>
      <c r="AI25" s="45">
        <v>20.0</v>
      </c>
      <c r="AJ25" s="45"/>
    </row>
    <row r="26">
      <c r="A26" s="8" t="s">
        <v>37</v>
      </c>
      <c r="B26" s="8" t="s">
        <v>162</v>
      </c>
      <c r="C26" s="46">
        <v>2.71737131E8</v>
      </c>
      <c r="D26" s="47" t="s">
        <v>163</v>
      </c>
      <c r="E26" s="52" t="s">
        <v>164</v>
      </c>
      <c r="F26" s="49" t="s">
        <v>165</v>
      </c>
      <c r="G26" s="48">
        <f t="shared" si="1"/>
        <v>512</v>
      </c>
      <c r="H26" s="49">
        <v>5.0</v>
      </c>
      <c r="I26" s="48">
        <f t="shared" si="3"/>
        <v>132.642487</v>
      </c>
      <c r="J26" s="43">
        <v>8.0</v>
      </c>
      <c r="K26" s="43">
        <v>33.0</v>
      </c>
      <c r="L26" s="43">
        <v>38.0</v>
      </c>
      <c r="M26" s="43">
        <v>15.0</v>
      </c>
      <c r="N26" s="43">
        <v>52.0</v>
      </c>
      <c r="O26" s="43">
        <v>28.0</v>
      </c>
      <c r="P26" s="43">
        <v>7.0</v>
      </c>
      <c r="Q26" s="43">
        <v>4.0</v>
      </c>
      <c r="R26" s="43">
        <v>28.0</v>
      </c>
      <c r="S26" s="44">
        <v>22.0</v>
      </c>
      <c r="T26" s="43">
        <v>8.0</v>
      </c>
      <c r="U26" s="43">
        <v>7.0</v>
      </c>
      <c r="V26" s="44">
        <v>19.0</v>
      </c>
      <c r="W26" s="44">
        <v>22.0</v>
      </c>
      <c r="X26" s="43">
        <v>9.0</v>
      </c>
      <c r="Y26" s="44">
        <v>14.0</v>
      </c>
      <c r="Z26" s="44">
        <v>17.0</v>
      </c>
      <c r="AA26" s="44">
        <v>65.0</v>
      </c>
      <c r="AB26" s="44">
        <v>9.0</v>
      </c>
      <c r="AC26" s="44">
        <v>36.0</v>
      </c>
      <c r="AE26" s="44">
        <v>10.0</v>
      </c>
      <c r="AF26" s="44">
        <v>8.0</v>
      </c>
      <c r="AG26" s="44">
        <v>19.0</v>
      </c>
      <c r="AH26" s="44">
        <v>6.0</v>
      </c>
      <c r="AI26" s="45">
        <v>28.0</v>
      </c>
      <c r="AJ26" s="45"/>
    </row>
    <row r="27">
      <c r="A27" s="8" t="s">
        <v>38</v>
      </c>
      <c r="B27" s="8" t="s">
        <v>105</v>
      </c>
      <c r="C27" s="46">
        <v>3.16074737E8</v>
      </c>
      <c r="D27" s="56" t="s">
        <v>166</v>
      </c>
      <c r="E27" s="48"/>
      <c r="F27" s="48"/>
      <c r="G27" s="48">
        <f t="shared" si="1"/>
        <v>347</v>
      </c>
      <c r="H27" s="49">
        <v>5.0</v>
      </c>
      <c r="I27" s="48">
        <f t="shared" si="3"/>
        <v>89.89637306</v>
      </c>
      <c r="J27" s="43">
        <v>4.0</v>
      </c>
      <c r="K27" s="43">
        <v>20.5</v>
      </c>
      <c r="L27" s="43">
        <v>38.0</v>
      </c>
      <c r="M27" s="43">
        <v>15.0</v>
      </c>
      <c r="N27" s="43">
        <v>8.0</v>
      </c>
      <c r="O27" s="43">
        <v>6.0</v>
      </c>
      <c r="P27" s="43">
        <v>7.0</v>
      </c>
      <c r="Q27" s="43">
        <v>4.0</v>
      </c>
      <c r="R27" s="43">
        <v>28.0</v>
      </c>
      <c r="S27" s="44">
        <v>22.0</v>
      </c>
      <c r="T27" s="43">
        <v>8.0</v>
      </c>
      <c r="U27" s="43">
        <v>7.0</v>
      </c>
      <c r="V27" s="44">
        <v>19.0</v>
      </c>
      <c r="W27" s="44">
        <v>19.0</v>
      </c>
      <c r="X27" s="43">
        <v>8.0</v>
      </c>
      <c r="Y27" s="44">
        <v>3.5</v>
      </c>
      <c r="Z27" s="44">
        <v>3.0</v>
      </c>
      <c r="AA27" s="44">
        <v>49.0</v>
      </c>
      <c r="AB27" s="44">
        <v>9.0</v>
      </c>
      <c r="AC27" s="44">
        <v>38.0</v>
      </c>
      <c r="AE27" s="44">
        <v>6.0</v>
      </c>
      <c r="AF27" s="44">
        <v>0.0</v>
      </c>
      <c r="AG27" s="44">
        <v>19.0</v>
      </c>
      <c r="AH27" s="44">
        <v>6.0</v>
      </c>
    </row>
    <row r="28">
      <c r="A28" s="16" t="s">
        <v>39</v>
      </c>
      <c r="B28" s="16" t="s">
        <v>167</v>
      </c>
      <c r="C28" s="17">
        <v>1.8564397E7</v>
      </c>
      <c r="D28" s="18" t="s">
        <v>168</v>
      </c>
      <c r="E28" s="19"/>
      <c r="F28" s="19"/>
      <c r="G28" s="48">
        <f t="shared" si="1"/>
        <v>143.5</v>
      </c>
      <c r="H28" s="61">
        <v>2.0</v>
      </c>
      <c r="I28" s="48">
        <f t="shared" si="3"/>
        <v>37.1761658</v>
      </c>
      <c r="J28" s="62">
        <v>8.0</v>
      </c>
      <c r="K28" s="62">
        <v>10.0</v>
      </c>
      <c r="L28" s="62">
        <v>38.0</v>
      </c>
      <c r="M28" s="62">
        <v>0.0</v>
      </c>
      <c r="N28" s="62">
        <v>15.5</v>
      </c>
      <c r="O28" s="62">
        <v>23.0</v>
      </c>
      <c r="P28" s="62">
        <v>7.0</v>
      </c>
      <c r="Q28" s="62">
        <v>4.0</v>
      </c>
      <c r="R28" s="62">
        <v>27.0</v>
      </c>
      <c r="S28" s="62">
        <v>0.0</v>
      </c>
      <c r="T28" s="62">
        <v>8.0</v>
      </c>
      <c r="U28" s="62">
        <v>3.0</v>
      </c>
      <c r="V28" s="62">
        <v>0.0</v>
      </c>
      <c r="W28" s="63"/>
      <c r="X28" s="63"/>
      <c r="Y28" s="63"/>
      <c r="Z28" s="63"/>
      <c r="AA28" s="63"/>
      <c r="AB28" s="62">
        <v>0.0</v>
      </c>
      <c r="AC28" s="63"/>
      <c r="AD28" s="62">
        <v>0.0</v>
      </c>
      <c r="AE28" s="62">
        <v>0.0</v>
      </c>
      <c r="AF28" s="62">
        <v>0.0</v>
      </c>
      <c r="AG28" s="62">
        <v>0.0</v>
      </c>
      <c r="AH28" s="62">
        <v>0.0</v>
      </c>
      <c r="AI28" s="63"/>
      <c r="AJ28" s="63"/>
    </row>
    <row r="29">
      <c r="A29" s="8" t="s">
        <v>40</v>
      </c>
      <c r="B29" s="8" t="s">
        <v>107</v>
      </c>
      <c r="C29" s="46">
        <v>1348679.0</v>
      </c>
      <c r="D29" s="56" t="s">
        <v>169</v>
      </c>
      <c r="E29" s="51" t="s">
        <v>170</v>
      </c>
      <c r="F29" s="48"/>
      <c r="G29" s="48">
        <f t="shared" si="1"/>
        <v>466</v>
      </c>
      <c r="H29" s="49">
        <v>5.0</v>
      </c>
      <c r="I29" s="48">
        <f t="shared" si="3"/>
        <v>120.7253886</v>
      </c>
      <c r="J29" s="43">
        <v>8.0</v>
      </c>
      <c r="K29" s="43">
        <v>33.0</v>
      </c>
      <c r="L29" s="43">
        <v>37.0</v>
      </c>
      <c r="M29" s="43">
        <v>15.0</v>
      </c>
      <c r="N29" s="43">
        <v>52.0</v>
      </c>
      <c r="O29" s="43">
        <v>23.0</v>
      </c>
      <c r="P29" s="43">
        <v>7.0</v>
      </c>
      <c r="Q29" s="43">
        <v>4.0</v>
      </c>
      <c r="R29" s="43">
        <v>28.0</v>
      </c>
      <c r="S29" s="44">
        <v>22.0</v>
      </c>
      <c r="T29" s="43">
        <v>8.0</v>
      </c>
      <c r="U29" s="43">
        <v>7.0</v>
      </c>
      <c r="V29" s="44">
        <v>19.0</v>
      </c>
      <c r="W29" s="44">
        <v>21.0</v>
      </c>
      <c r="X29" s="43">
        <v>9.0</v>
      </c>
      <c r="Y29" s="44">
        <v>14.0</v>
      </c>
      <c r="Z29" s="44">
        <v>10.0</v>
      </c>
      <c r="AA29" s="44">
        <v>63.0</v>
      </c>
      <c r="AB29" s="44">
        <v>9.0</v>
      </c>
      <c r="AC29" s="44">
        <v>38.0</v>
      </c>
      <c r="AE29" s="44">
        <v>8.0</v>
      </c>
      <c r="AF29" s="44">
        <v>8.0</v>
      </c>
      <c r="AG29" s="44">
        <v>19.0</v>
      </c>
      <c r="AH29" s="44">
        <v>4.0</v>
      </c>
    </row>
    <row r="30">
      <c r="A30" s="8" t="s">
        <v>41</v>
      </c>
      <c r="B30" s="8" t="s">
        <v>171</v>
      </c>
      <c r="C30" s="46">
        <v>9.2481219E7</v>
      </c>
      <c r="D30" s="56" t="s">
        <v>172</v>
      </c>
      <c r="E30" s="52" t="s">
        <v>173</v>
      </c>
      <c r="F30" s="48"/>
      <c r="G30" s="48">
        <f t="shared" si="1"/>
        <v>179</v>
      </c>
      <c r="H30" s="49">
        <v>2.0</v>
      </c>
      <c r="I30" s="48">
        <f t="shared" si="3"/>
        <v>46.37305699</v>
      </c>
      <c r="J30" s="43">
        <v>8.0</v>
      </c>
      <c r="K30" s="43">
        <v>33.0</v>
      </c>
      <c r="L30" s="43">
        <v>29.0</v>
      </c>
      <c r="M30" s="43">
        <v>0.0</v>
      </c>
      <c r="N30" s="43">
        <v>49.0</v>
      </c>
      <c r="O30" s="43">
        <v>22.0</v>
      </c>
      <c r="P30" s="43">
        <v>6.0</v>
      </c>
      <c r="Q30" s="43">
        <v>4.0</v>
      </c>
      <c r="R30" s="43">
        <v>28.0</v>
      </c>
      <c r="S30" s="44">
        <v>0.0</v>
      </c>
      <c r="T30" s="43">
        <v>0.0</v>
      </c>
      <c r="U30" s="43">
        <v>0.0</v>
      </c>
      <c r="V30" s="44">
        <v>0.0</v>
      </c>
      <c r="W30" s="50"/>
      <c r="X30" s="43">
        <v>0.0</v>
      </c>
      <c r="Y30" s="44">
        <v>0.0</v>
      </c>
      <c r="Z30" s="50"/>
      <c r="AA30" s="44">
        <v>0.0</v>
      </c>
      <c r="AB30" s="44">
        <v>0.0</v>
      </c>
      <c r="AC30" s="50"/>
      <c r="AE30" s="44">
        <v>0.0</v>
      </c>
      <c r="AF30" s="44">
        <v>0.0</v>
      </c>
      <c r="AG30" s="44">
        <v>0.0</v>
      </c>
      <c r="AH30" s="44">
        <v>0.0</v>
      </c>
    </row>
    <row r="31">
      <c r="A31" s="34" t="s">
        <v>174</v>
      </c>
      <c r="B31" s="8"/>
      <c r="C31" s="46"/>
      <c r="D31" s="46"/>
      <c r="E31" s="48"/>
      <c r="F31" s="48"/>
      <c r="G31" s="48">
        <f t="shared" si="1"/>
        <v>386</v>
      </c>
      <c r="H31" s="48"/>
      <c r="I31" s="48">
        <f t="shared" si="3"/>
        <v>100</v>
      </c>
      <c r="J31" s="43">
        <v>8.0</v>
      </c>
      <c r="K31" s="43">
        <v>33.0</v>
      </c>
      <c r="L31" s="43">
        <v>38.0</v>
      </c>
      <c r="M31" s="43"/>
      <c r="N31" s="43">
        <v>55.0</v>
      </c>
      <c r="O31" s="43"/>
      <c r="P31" s="43">
        <v>7.0</v>
      </c>
      <c r="Q31" s="64"/>
      <c r="R31" s="43">
        <v>28.0</v>
      </c>
      <c r="S31" s="44">
        <v>22.0</v>
      </c>
      <c r="T31" s="43">
        <v>8.0</v>
      </c>
      <c r="U31" s="43">
        <v>7.0</v>
      </c>
      <c r="V31" s="44">
        <v>19.0</v>
      </c>
      <c r="W31" s="50"/>
      <c r="X31" s="43">
        <v>9.0</v>
      </c>
      <c r="Y31" s="44">
        <v>14.0</v>
      </c>
      <c r="Z31" s="44">
        <v>17.0</v>
      </c>
      <c r="AA31" s="44">
        <v>49.0</v>
      </c>
      <c r="AB31" s="44">
        <v>9.0</v>
      </c>
      <c r="AC31" s="50"/>
      <c r="AD31" s="45">
        <v>0.0</v>
      </c>
      <c r="AE31" s="44">
        <v>10.0</v>
      </c>
      <c r="AF31" s="44">
        <v>8.0</v>
      </c>
      <c r="AG31" s="44">
        <v>19.0</v>
      </c>
      <c r="AH31" s="44">
        <v>6.0</v>
      </c>
      <c r="AI31" s="45">
        <v>20.0</v>
      </c>
      <c r="AJ31" s="45"/>
    </row>
  </sheetData>
  <conditionalFormatting sqref="I3:I31">
    <cfRule type="cellIs" dxfId="4" priority="1" operator="greaterThanOrEqual">
      <formula>85</formula>
    </cfRule>
  </conditionalFormatting>
  <conditionalFormatting sqref="I3:I31">
    <cfRule type="cellIs" dxfId="5" priority="2" operator="between">
      <formula>75.0001</formula>
      <formula>84.99999999</formula>
    </cfRule>
  </conditionalFormatting>
  <conditionalFormatting sqref="I3:I31">
    <cfRule type="cellIs" dxfId="6" priority="3" operator="between">
      <formula>65.000001</formula>
      <formula>75</formula>
    </cfRule>
  </conditionalFormatting>
  <conditionalFormatting sqref="I3:I31">
    <cfRule type="cellIs" dxfId="7" priority="4" operator="lessThan">
      <formula>65</formula>
    </cfRule>
  </conditionalFormatting>
  <hyperlinks>
    <hyperlink r:id="rId1" ref="E5"/>
    <hyperlink r:id="rId2" ref="E7"/>
    <hyperlink r:id="rId3" ref="E10"/>
    <hyperlink r:id="rId4" ref="E14"/>
    <hyperlink r:id="rId5" ref="E16"/>
    <hyperlink r:id="rId6" ref="E17"/>
    <hyperlink r:id="rId7" ref="E21"/>
    <hyperlink r:id="rId8" ref="E23"/>
    <hyperlink r:id="rId9" ref="E26"/>
    <hyperlink r:id="rId10" ref="E29"/>
    <hyperlink r:id="rId11" ref="E30"/>
  </hyperlinks>
  <drawing r:id="rId1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75"/>
  <cols>
    <col customWidth="1" min="1" max="1" width="23.14"/>
    <col customWidth="1" min="2" max="2" width="9.86"/>
    <col customWidth="1" min="3" max="3" width="12.43"/>
    <col customWidth="1" min="4" max="4" width="9.43"/>
    <col customWidth="1" min="5" max="5" width="16.14"/>
    <col customWidth="1" min="6" max="6" width="26.0"/>
    <col customWidth="1" min="11" max="11" width="27.43"/>
    <col customWidth="1" min="12" max="12" width="25.86"/>
    <col customWidth="1" min="13" max="13" width="37.43"/>
    <col customWidth="1" min="14" max="14" width="18.14"/>
    <col customWidth="1" min="15" max="16" width="16.0"/>
    <col customWidth="1" min="17" max="17" width="27.0"/>
    <col customWidth="1" min="18" max="18" width="11.0"/>
    <col customWidth="1" min="19" max="20" width="24.57"/>
    <col customWidth="1" min="21" max="21" width="34.71"/>
    <col customWidth="1" min="22" max="22" width="9.86"/>
    <col customWidth="1" min="23" max="23" width="13.71"/>
    <col customWidth="1" min="24" max="24" width="8.57"/>
  </cols>
  <sheetData>
    <row r="1">
      <c r="A1" s="1" t="s">
        <v>0</v>
      </c>
      <c r="B1" s="1" t="s">
        <v>71</v>
      </c>
      <c r="C1" s="1" t="s">
        <v>1</v>
      </c>
      <c r="D1" s="1" t="s">
        <v>72</v>
      </c>
      <c r="E1" s="1" t="s">
        <v>73</v>
      </c>
      <c r="F1" s="1" t="s">
        <v>74</v>
      </c>
      <c r="G1" s="45" t="s">
        <v>2</v>
      </c>
      <c r="H1" s="45" t="s">
        <v>175</v>
      </c>
      <c r="I1" s="45" t="s">
        <v>176</v>
      </c>
      <c r="J1" s="45" t="s">
        <v>177</v>
      </c>
      <c r="K1" s="45" t="s">
        <v>178</v>
      </c>
      <c r="L1" s="45" t="s">
        <v>179</v>
      </c>
      <c r="M1" s="45" t="s">
        <v>180</v>
      </c>
      <c r="N1" s="45" t="s">
        <v>181</v>
      </c>
      <c r="O1" s="45" t="s">
        <v>182</v>
      </c>
      <c r="P1" s="45" t="s">
        <v>183</v>
      </c>
      <c r="Q1" s="45" t="s">
        <v>184</v>
      </c>
      <c r="R1" s="45" t="s">
        <v>185</v>
      </c>
      <c r="S1" s="45" t="s">
        <v>186</v>
      </c>
      <c r="T1" s="45" t="s">
        <v>187</v>
      </c>
      <c r="U1" s="45" t="s">
        <v>188</v>
      </c>
      <c r="V1" s="45" t="s">
        <v>189</v>
      </c>
      <c r="W1" s="45" t="s">
        <v>190</v>
      </c>
      <c r="X1" s="45" t="s">
        <v>191</v>
      </c>
    </row>
    <row r="2">
      <c r="A2" s="8" t="s">
        <v>14</v>
      </c>
      <c r="B2" s="8" t="s">
        <v>98</v>
      </c>
      <c r="C2" s="46">
        <v>6.0726852E7</v>
      </c>
      <c r="D2" s="47" t="s">
        <v>99</v>
      </c>
      <c r="E2" s="48"/>
      <c r="F2" s="48"/>
      <c r="G2" s="65">
        <f>H2/H30 * 100</f>
        <v>126.25</v>
      </c>
      <c r="H2" s="65">
        <f t="shared" ref="H2:H30" si="1"> sum(I2:X2)</f>
        <v>404</v>
      </c>
      <c r="I2" s="45">
        <v>10.0</v>
      </c>
      <c r="J2" s="45">
        <v>10.0</v>
      </c>
      <c r="K2" s="45">
        <v>20.0</v>
      </c>
      <c r="L2" s="45">
        <v>10.0</v>
      </c>
      <c r="M2" s="45">
        <v>20.0</v>
      </c>
      <c r="N2" s="45">
        <v>10.0</v>
      </c>
      <c r="O2" s="45">
        <v>15.0</v>
      </c>
      <c r="P2" s="45">
        <v>31.0</v>
      </c>
      <c r="Q2" s="45">
        <v>20.0</v>
      </c>
      <c r="R2" s="45">
        <v>21.0</v>
      </c>
      <c r="S2" s="45">
        <v>99.0</v>
      </c>
      <c r="T2" s="45">
        <v>15.0</v>
      </c>
      <c r="U2" s="45">
        <v>27.0</v>
      </c>
      <c r="V2" s="45">
        <v>24.0</v>
      </c>
      <c r="W2" s="45">
        <v>9.0</v>
      </c>
      <c r="X2" s="45">
        <v>63.0</v>
      </c>
    </row>
    <row r="3">
      <c r="A3" s="8" t="s">
        <v>15</v>
      </c>
      <c r="B3" s="8" t="s">
        <v>100</v>
      </c>
      <c r="C3" s="46">
        <v>3.0641265E7</v>
      </c>
      <c r="D3" s="47" t="s">
        <v>101</v>
      </c>
      <c r="E3" s="48"/>
      <c r="F3" s="48"/>
      <c r="G3" s="65">
        <f>H3/H30 * 100</f>
        <v>73.4375</v>
      </c>
      <c r="H3" s="65">
        <f t="shared" si="1"/>
        <v>235</v>
      </c>
      <c r="I3" s="45">
        <v>10.0</v>
      </c>
      <c r="J3" s="45">
        <v>10.0</v>
      </c>
      <c r="K3" s="45">
        <v>19.0</v>
      </c>
      <c r="L3" s="45"/>
      <c r="M3" s="45">
        <v>18.0</v>
      </c>
      <c r="N3" s="45">
        <v>10.0</v>
      </c>
      <c r="O3" s="45">
        <v>15.0</v>
      </c>
      <c r="P3" s="45">
        <v>32.0</v>
      </c>
      <c r="R3" s="45">
        <v>18.0</v>
      </c>
      <c r="S3" s="45">
        <v>80.0</v>
      </c>
      <c r="V3" s="45">
        <v>23.0</v>
      </c>
    </row>
    <row r="4">
      <c r="A4" s="8" t="s">
        <v>16</v>
      </c>
      <c r="B4" s="8" t="s">
        <v>98</v>
      </c>
      <c r="C4" s="46">
        <v>9.087841E7</v>
      </c>
      <c r="D4" s="47" t="s">
        <v>102</v>
      </c>
      <c r="E4" s="52" t="s">
        <v>103</v>
      </c>
      <c r="F4" s="45" t="s">
        <v>104</v>
      </c>
      <c r="G4" s="65">
        <f>H4/H30 * 100</f>
        <v>89.9375</v>
      </c>
      <c r="H4" s="65">
        <f t="shared" si="1"/>
        <v>287.8</v>
      </c>
      <c r="I4" s="45">
        <v>10.0</v>
      </c>
      <c r="J4" s="45">
        <v>10.0</v>
      </c>
      <c r="K4" s="45">
        <v>19.0</v>
      </c>
      <c r="L4" s="45"/>
      <c r="M4" s="45">
        <v>20.0</v>
      </c>
      <c r="N4" s="45">
        <v>9.4</v>
      </c>
      <c r="O4" s="45">
        <v>11.4</v>
      </c>
      <c r="P4" s="45">
        <v>30.0</v>
      </c>
      <c r="R4" s="45">
        <v>20.0</v>
      </c>
      <c r="S4" s="45">
        <v>69.0</v>
      </c>
      <c r="T4" s="45">
        <v>15.0</v>
      </c>
      <c r="U4" s="45">
        <v>22.0</v>
      </c>
      <c r="V4" s="45">
        <v>25.0</v>
      </c>
      <c r="X4" s="45">
        <v>27.0</v>
      </c>
    </row>
    <row r="5">
      <c r="A5" s="8" t="s">
        <v>17</v>
      </c>
      <c r="B5" s="8" t="s">
        <v>105</v>
      </c>
      <c r="C5" s="46">
        <v>2.72636E7</v>
      </c>
      <c r="D5" s="47" t="s">
        <v>106</v>
      </c>
      <c r="E5" s="48"/>
      <c r="F5" s="48"/>
      <c r="G5" s="65">
        <f>H5/H30 * 100</f>
        <v>86.34375</v>
      </c>
      <c r="H5" s="65">
        <f t="shared" si="1"/>
        <v>276.3</v>
      </c>
      <c r="I5" s="45">
        <v>10.0</v>
      </c>
      <c r="J5" s="45">
        <v>10.0</v>
      </c>
      <c r="K5" s="45">
        <v>20.0</v>
      </c>
      <c r="L5" s="45"/>
      <c r="M5" s="45">
        <v>18.0</v>
      </c>
      <c r="N5" s="45">
        <v>8.8</v>
      </c>
      <c r="O5" s="45">
        <v>15.0</v>
      </c>
      <c r="P5" s="45">
        <v>30.0</v>
      </c>
      <c r="Q5" s="45">
        <v>18.0</v>
      </c>
      <c r="R5" s="45">
        <v>19.5</v>
      </c>
      <c r="S5" s="45">
        <v>91.0</v>
      </c>
      <c r="T5" s="45">
        <v>11.0</v>
      </c>
      <c r="V5" s="45">
        <v>25.0</v>
      </c>
    </row>
    <row r="6">
      <c r="A6" s="8" t="s">
        <v>18</v>
      </c>
      <c r="B6" s="8" t="s">
        <v>107</v>
      </c>
      <c r="C6" s="46">
        <v>1.8411532E7</v>
      </c>
      <c r="D6" s="47" t="s">
        <v>108</v>
      </c>
      <c r="E6" s="52" t="s">
        <v>109</v>
      </c>
      <c r="F6" s="49" t="s">
        <v>110</v>
      </c>
      <c r="G6" s="65">
        <f>H6/H30 * 100</f>
        <v>85.45</v>
      </c>
      <c r="H6" s="65">
        <f t="shared" si="1"/>
        <v>273.44</v>
      </c>
      <c r="I6" s="45">
        <v>10.0</v>
      </c>
      <c r="J6" s="45">
        <v>10.0</v>
      </c>
      <c r="K6" s="45">
        <v>20.0</v>
      </c>
      <c r="L6" s="45"/>
      <c r="M6" s="45">
        <v>20.0</v>
      </c>
      <c r="N6" s="45">
        <v>10.0</v>
      </c>
      <c r="O6" s="45">
        <v>11.44</v>
      </c>
      <c r="P6" s="45">
        <v>15.0</v>
      </c>
      <c r="Q6" s="45">
        <v>20.0</v>
      </c>
      <c r="R6" s="45">
        <v>17.0</v>
      </c>
      <c r="S6" s="45">
        <v>77.0</v>
      </c>
      <c r="T6" s="45">
        <v>15.0</v>
      </c>
      <c r="U6" s="45">
        <v>20.0</v>
      </c>
      <c r="X6" s="45">
        <v>28.0</v>
      </c>
    </row>
    <row r="7">
      <c r="A7" s="8" t="s">
        <v>19</v>
      </c>
      <c r="B7" s="8" t="s">
        <v>111</v>
      </c>
      <c r="C7" s="46">
        <v>3.6594162E7</v>
      </c>
      <c r="D7" s="47" t="s">
        <v>112</v>
      </c>
      <c r="E7" s="48"/>
      <c r="F7" s="48"/>
      <c r="G7" s="65">
        <f>H7/H30 * 100</f>
        <v>84.5125</v>
      </c>
      <c r="H7" s="65">
        <f t="shared" si="1"/>
        <v>270.44</v>
      </c>
      <c r="I7" s="45">
        <v>10.0</v>
      </c>
      <c r="J7" s="45">
        <v>10.0</v>
      </c>
      <c r="K7" s="45">
        <v>20.0</v>
      </c>
      <c r="L7" s="45"/>
      <c r="M7" s="45">
        <v>20.0</v>
      </c>
      <c r="N7" s="45">
        <v>10.0</v>
      </c>
      <c r="O7" s="45">
        <v>11.44</v>
      </c>
      <c r="P7" s="45">
        <v>16.0</v>
      </c>
      <c r="Q7" s="45">
        <v>18.0</v>
      </c>
      <c r="R7" s="45">
        <v>12.0</v>
      </c>
      <c r="S7" s="45">
        <v>83.0</v>
      </c>
      <c r="U7" s="45">
        <v>10.0</v>
      </c>
      <c r="V7" s="45">
        <v>25.0</v>
      </c>
      <c r="X7" s="45">
        <v>25.0</v>
      </c>
    </row>
    <row r="8">
      <c r="A8" s="8" t="s">
        <v>20</v>
      </c>
      <c r="B8" s="8" t="s">
        <v>113</v>
      </c>
      <c r="C8" s="46">
        <v>6.8775352E7</v>
      </c>
      <c r="D8" s="53" t="s">
        <v>114</v>
      </c>
      <c r="E8" s="48"/>
      <c r="F8" s="48"/>
      <c r="G8" s="65">
        <f>H8/H30 * 100</f>
        <v>72.5</v>
      </c>
      <c r="H8" s="65">
        <f t="shared" si="1"/>
        <v>232</v>
      </c>
      <c r="I8" s="45">
        <v>10.0</v>
      </c>
      <c r="J8" s="45">
        <v>10.0</v>
      </c>
      <c r="K8" s="45">
        <v>17.0</v>
      </c>
      <c r="L8" s="45">
        <v>10.0</v>
      </c>
      <c r="M8" s="45">
        <v>18.0</v>
      </c>
      <c r="N8" s="45">
        <v>10.0</v>
      </c>
      <c r="O8" s="45">
        <v>15.0</v>
      </c>
      <c r="S8" s="45">
        <v>76.0</v>
      </c>
      <c r="T8" s="45">
        <v>8.0</v>
      </c>
      <c r="V8" s="45">
        <v>14.0</v>
      </c>
      <c r="W8" s="45">
        <v>7.0</v>
      </c>
      <c r="X8" s="45">
        <v>37.0</v>
      </c>
    </row>
    <row r="9">
      <c r="A9" s="8" t="s">
        <v>21</v>
      </c>
      <c r="B9" s="8" t="s">
        <v>115</v>
      </c>
      <c r="C9" s="46">
        <v>4.1797465E7</v>
      </c>
      <c r="D9" s="53" t="s">
        <v>116</v>
      </c>
      <c r="E9" s="54" t="s">
        <v>117</v>
      </c>
      <c r="F9" s="49" t="s">
        <v>118</v>
      </c>
      <c r="G9" s="65">
        <f>H9/H30 * 100</f>
        <v>90.25</v>
      </c>
      <c r="H9" s="65">
        <f t="shared" si="1"/>
        <v>288.8</v>
      </c>
      <c r="I9" s="45">
        <v>10.0</v>
      </c>
      <c r="J9" s="45">
        <v>10.0</v>
      </c>
      <c r="K9" s="45">
        <v>20.0</v>
      </c>
      <c r="L9" s="45">
        <v>10.0</v>
      </c>
      <c r="M9" s="45">
        <v>18.0</v>
      </c>
      <c r="N9" s="45">
        <v>9.4</v>
      </c>
      <c r="O9" s="45">
        <v>11.4</v>
      </c>
      <c r="P9" s="45">
        <v>30.0</v>
      </c>
      <c r="Q9" s="45">
        <v>19.0</v>
      </c>
      <c r="R9" s="45">
        <v>17.0</v>
      </c>
      <c r="S9" s="45">
        <v>71.0</v>
      </c>
      <c r="T9" s="45">
        <v>15.0</v>
      </c>
      <c r="U9" s="45">
        <v>15.0</v>
      </c>
      <c r="V9" s="45">
        <v>22.0</v>
      </c>
      <c r="X9" s="45">
        <v>11.0</v>
      </c>
    </row>
    <row r="10">
      <c r="A10" s="8" t="s">
        <v>22</v>
      </c>
      <c r="B10" s="8" t="s">
        <v>119</v>
      </c>
      <c r="C10" s="46">
        <v>1.55306958E8</v>
      </c>
      <c r="D10" s="47" t="s">
        <v>120</v>
      </c>
      <c r="E10" s="48"/>
      <c r="F10" s="48"/>
      <c r="G10" s="65">
        <f>H10/H30 * 100</f>
        <v>64.21875</v>
      </c>
      <c r="H10" s="65">
        <f t="shared" si="1"/>
        <v>205.5</v>
      </c>
      <c r="I10" s="45">
        <v>10.0</v>
      </c>
      <c r="J10" s="45">
        <v>10.0</v>
      </c>
      <c r="K10" s="45">
        <v>16.0</v>
      </c>
      <c r="L10" s="45"/>
      <c r="M10" s="45">
        <v>10.0</v>
      </c>
      <c r="N10" s="45">
        <v>7.0</v>
      </c>
      <c r="O10" s="45">
        <v>10.5</v>
      </c>
      <c r="P10" s="45">
        <v>15.0</v>
      </c>
      <c r="Q10" s="45">
        <v>10.0</v>
      </c>
      <c r="R10" s="45">
        <v>15.0</v>
      </c>
      <c r="S10" s="45">
        <v>30.0</v>
      </c>
      <c r="T10" s="45">
        <v>15.0</v>
      </c>
      <c r="U10" s="45">
        <v>20.0</v>
      </c>
      <c r="V10" s="45">
        <v>10.0</v>
      </c>
      <c r="X10" s="45">
        <v>27.0</v>
      </c>
    </row>
    <row r="11">
      <c r="A11" s="8" t="s">
        <v>23</v>
      </c>
      <c r="B11" s="8" t="s">
        <v>105</v>
      </c>
      <c r="C11" s="46">
        <v>1943508.0</v>
      </c>
      <c r="D11" s="47" t="s">
        <v>121</v>
      </c>
      <c r="E11" s="49" t="s">
        <v>122</v>
      </c>
      <c r="F11" s="49" t="s">
        <v>123</v>
      </c>
      <c r="G11" s="65">
        <f>H11/H30 * 100</f>
        <v>93.125</v>
      </c>
      <c r="H11" s="65">
        <f t="shared" si="1"/>
        <v>298</v>
      </c>
      <c r="I11" s="45">
        <v>10.0</v>
      </c>
      <c r="J11" s="45">
        <v>10.0</v>
      </c>
      <c r="K11" s="45">
        <v>17.0</v>
      </c>
      <c r="L11" s="45">
        <v>10.0</v>
      </c>
      <c r="M11" s="45">
        <v>20.0</v>
      </c>
      <c r="N11" s="45">
        <v>10.0</v>
      </c>
      <c r="O11" s="45">
        <v>15.0</v>
      </c>
      <c r="P11" s="45">
        <v>32.0</v>
      </c>
      <c r="Q11" s="45">
        <v>20.0</v>
      </c>
      <c r="R11" s="45">
        <v>18.0</v>
      </c>
      <c r="S11" s="45">
        <v>83.0</v>
      </c>
      <c r="T11" s="45">
        <v>15.0</v>
      </c>
      <c r="U11" s="45">
        <v>14.0</v>
      </c>
      <c r="X11" s="45">
        <v>24.0</v>
      </c>
    </row>
    <row r="12">
      <c r="A12" s="8" t="s">
        <v>24</v>
      </c>
      <c r="B12" s="34" t="s">
        <v>124</v>
      </c>
      <c r="C12" s="46">
        <v>1.6318756E7</v>
      </c>
      <c r="D12" s="47" t="s">
        <v>125</v>
      </c>
      <c r="E12" s="49" t="s">
        <v>126</v>
      </c>
      <c r="F12" s="49" t="s">
        <v>127</v>
      </c>
      <c r="G12" s="65">
        <f>H12/H30 * 100</f>
        <v>101.5625</v>
      </c>
      <c r="H12" s="65">
        <f t="shared" si="1"/>
        <v>325</v>
      </c>
      <c r="I12" s="45">
        <v>10.0</v>
      </c>
      <c r="J12" s="45">
        <v>10.0</v>
      </c>
      <c r="K12" s="45">
        <v>20.0</v>
      </c>
      <c r="L12" s="45"/>
      <c r="M12" s="45">
        <v>19.0</v>
      </c>
      <c r="N12" s="45">
        <v>10.0</v>
      </c>
      <c r="O12" s="45">
        <v>15.0</v>
      </c>
      <c r="P12" s="45">
        <v>34.0</v>
      </c>
      <c r="Q12" s="45">
        <v>20.0</v>
      </c>
      <c r="R12" s="45">
        <v>19.0</v>
      </c>
      <c r="S12" s="45">
        <v>76.0</v>
      </c>
      <c r="T12" s="45">
        <v>15.0</v>
      </c>
      <c r="U12" s="45">
        <v>27.0</v>
      </c>
      <c r="V12" s="45">
        <v>25.0</v>
      </c>
      <c r="W12" s="45">
        <v>5.0</v>
      </c>
      <c r="X12" s="45">
        <v>20.0</v>
      </c>
    </row>
    <row r="13">
      <c r="A13" s="8" t="s">
        <v>25</v>
      </c>
      <c r="B13" s="8" t="s">
        <v>128</v>
      </c>
      <c r="C13" s="46">
        <v>8125628.0</v>
      </c>
      <c r="D13" s="53" t="s">
        <v>129</v>
      </c>
      <c r="E13" s="52" t="s">
        <v>130</v>
      </c>
      <c r="F13" s="49" t="s">
        <v>131</v>
      </c>
      <c r="G13" s="65">
        <f>H13/H30 * 100</f>
        <v>106.5625</v>
      </c>
      <c r="H13" s="65">
        <f t="shared" si="1"/>
        <v>341</v>
      </c>
      <c r="I13" s="45">
        <v>10.0</v>
      </c>
      <c r="J13" s="45">
        <v>10.0</v>
      </c>
      <c r="K13" s="45">
        <v>17.0</v>
      </c>
      <c r="L13" s="45"/>
      <c r="M13" s="45">
        <v>20.0</v>
      </c>
      <c r="N13" s="45">
        <v>10.0</v>
      </c>
      <c r="O13" s="45">
        <v>15.0</v>
      </c>
      <c r="P13" s="45">
        <v>33.0</v>
      </c>
      <c r="Q13" s="45">
        <v>14.0</v>
      </c>
      <c r="R13" s="45">
        <v>19.0</v>
      </c>
      <c r="S13" s="45">
        <v>81.0</v>
      </c>
      <c r="T13" s="45">
        <v>7.0</v>
      </c>
      <c r="U13" s="45">
        <v>24.0</v>
      </c>
      <c r="V13" s="45">
        <v>23.0</v>
      </c>
      <c r="X13" s="45">
        <v>58.0</v>
      </c>
    </row>
    <row r="14">
      <c r="A14" s="8" t="s">
        <v>26</v>
      </c>
      <c r="B14" s="8" t="s">
        <v>132</v>
      </c>
      <c r="C14" s="46">
        <v>4.2572948E7</v>
      </c>
      <c r="D14" s="53" t="s">
        <v>133</v>
      </c>
      <c r="E14" s="49" t="s">
        <v>192</v>
      </c>
      <c r="F14" s="49" t="s">
        <v>134</v>
      </c>
      <c r="G14" s="65">
        <f>H14/H30 * 100</f>
        <v>76.6875</v>
      </c>
      <c r="H14" s="65">
        <f t="shared" si="1"/>
        <v>245.4</v>
      </c>
      <c r="I14" s="45">
        <v>10.0</v>
      </c>
      <c r="J14" s="45">
        <v>10.0</v>
      </c>
      <c r="K14" s="45">
        <v>16.0</v>
      </c>
      <c r="L14" s="45"/>
      <c r="M14" s="45">
        <v>13.0</v>
      </c>
      <c r="N14" s="45">
        <v>9.4</v>
      </c>
      <c r="O14" s="45">
        <v>11.0</v>
      </c>
      <c r="P14" s="45">
        <v>13.0</v>
      </c>
      <c r="Q14" s="45">
        <v>9.0</v>
      </c>
      <c r="R14" s="45">
        <v>8.0</v>
      </c>
      <c r="S14" s="45">
        <v>86.0</v>
      </c>
      <c r="T14" s="45">
        <v>14.0</v>
      </c>
      <c r="U14" s="45">
        <v>7.0</v>
      </c>
      <c r="V14" s="45">
        <v>12.0</v>
      </c>
      <c r="X14" s="45">
        <v>27.0</v>
      </c>
    </row>
    <row r="15">
      <c r="A15" s="8" t="s">
        <v>27</v>
      </c>
      <c r="B15" s="8" t="s">
        <v>107</v>
      </c>
      <c r="C15" s="46">
        <v>3.0527095E7</v>
      </c>
      <c r="D15" s="56">
        <v>8.9137198555E10</v>
      </c>
      <c r="E15" s="57" t="s">
        <v>135</v>
      </c>
      <c r="F15" s="49" t="s">
        <v>136</v>
      </c>
      <c r="G15" s="65">
        <f>H15/H30 * 100</f>
        <v>76.875</v>
      </c>
      <c r="H15" s="65">
        <f t="shared" si="1"/>
        <v>246</v>
      </c>
      <c r="I15" s="45">
        <v>10.0</v>
      </c>
      <c r="J15" s="45">
        <v>10.0</v>
      </c>
      <c r="K15" s="45">
        <v>14.0</v>
      </c>
      <c r="L15" s="45"/>
      <c r="M15" s="45">
        <v>17.0</v>
      </c>
      <c r="N15" s="45">
        <v>7.0</v>
      </c>
      <c r="O15" s="45">
        <v>15.0</v>
      </c>
      <c r="P15" s="45">
        <v>14.0</v>
      </c>
      <c r="Q15" s="45">
        <v>14.0</v>
      </c>
      <c r="R15" s="45">
        <v>18.0</v>
      </c>
      <c r="S15" s="45">
        <v>75.0</v>
      </c>
      <c r="T15" s="45">
        <v>13.0</v>
      </c>
      <c r="U15" s="45">
        <v>9.0</v>
      </c>
      <c r="V15" s="45">
        <v>19.0</v>
      </c>
      <c r="X15" s="45">
        <v>11.0</v>
      </c>
    </row>
    <row r="16">
      <c r="A16" s="8" t="s">
        <v>28</v>
      </c>
      <c r="B16" s="8" t="s">
        <v>105</v>
      </c>
      <c r="C16" s="46">
        <v>8.2036249E7</v>
      </c>
      <c r="D16" s="47" t="s">
        <v>137</v>
      </c>
      <c r="E16" s="52" t="s">
        <v>138</v>
      </c>
      <c r="F16" s="49" t="s">
        <v>139</v>
      </c>
      <c r="G16" s="65">
        <f>H16/H30 * 100</f>
        <v>96.25</v>
      </c>
      <c r="H16" s="65">
        <f t="shared" si="1"/>
        <v>308</v>
      </c>
      <c r="I16" s="45">
        <v>10.0</v>
      </c>
      <c r="J16" s="45">
        <v>10.0</v>
      </c>
      <c r="K16" s="45">
        <v>19.0</v>
      </c>
      <c r="L16" s="45">
        <v>10.0</v>
      </c>
      <c r="M16" s="45">
        <v>18.0</v>
      </c>
      <c r="N16" s="45">
        <v>10.0</v>
      </c>
      <c r="O16" s="45">
        <v>15.0</v>
      </c>
      <c r="P16" s="45">
        <v>33.0</v>
      </c>
      <c r="Q16" s="45">
        <v>20.0</v>
      </c>
      <c r="S16" s="45">
        <v>79.0</v>
      </c>
      <c r="T16" s="45">
        <v>14.0</v>
      </c>
      <c r="U16" s="45">
        <v>27.0</v>
      </c>
      <c r="X16" s="45">
        <v>43.0</v>
      </c>
    </row>
    <row r="17">
      <c r="A17" s="8" t="s">
        <v>29</v>
      </c>
      <c r="B17" s="8" t="s">
        <v>105</v>
      </c>
      <c r="C17" s="46">
        <v>8.362043E7</v>
      </c>
      <c r="D17" s="58" t="s">
        <v>140</v>
      </c>
      <c r="E17" s="48"/>
      <c r="F17" s="48"/>
      <c r="G17" s="65">
        <f>H17/H30 * 100</f>
        <v>86.25</v>
      </c>
      <c r="H17" s="65">
        <f t="shared" si="1"/>
        <v>276</v>
      </c>
      <c r="I17" s="45">
        <v>10.0</v>
      </c>
      <c r="J17" s="45">
        <v>10.0</v>
      </c>
      <c r="K17" s="45">
        <v>18.0</v>
      </c>
      <c r="L17" s="45">
        <v>10.0</v>
      </c>
      <c r="M17" s="45">
        <v>15.0</v>
      </c>
      <c r="N17" s="45">
        <v>10.0</v>
      </c>
      <c r="O17" s="45">
        <v>15.0</v>
      </c>
      <c r="P17" s="45">
        <v>14.0</v>
      </c>
      <c r="Q17" s="45">
        <v>17.0</v>
      </c>
      <c r="R17" s="45">
        <v>18.0</v>
      </c>
      <c r="S17" s="45">
        <v>58.0</v>
      </c>
      <c r="T17" s="45">
        <v>14.0</v>
      </c>
      <c r="U17" s="45">
        <v>22.0</v>
      </c>
      <c r="V17" s="45">
        <v>17.0</v>
      </c>
      <c r="X17" s="45">
        <v>28.0</v>
      </c>
    </row>
    <row r="18">
      <c r="A18" s="8" t="s">
        <v>30</v>
      </c>
      <c r="B18" s="8" t="s">
        <v>141</v>
      </c>
      <c r="C18" s="46">
        <v>3.36375228E8</v>
      </c>
      <c r="D18" s="47" t="s">
        <v>142</v>
      </c>
      <c r="E18" s="59" t="s">
        <v>143</v>
      </c>
      <c r="F18" s="49" t="s">
        <v>144</v>
      </c>
      <c r="G18" s="65">
        <f>H18/H30 * 100</f>
        <v>93.875</v>
      </c>
      <c r="H18" s="65">
        <f t="shared" si="1"/>
        <v>300.4</v>
      </c>
      <c r="I18" s="45">
        <v>10.0</v>
      </c>
      <c r="J18" s="45">
        <v>10.0</v>
      </c>
      <c r="K18" s="45">
        <v>17.0</v>
      </c>
      <c r="L18" s="45"/>
      <c r="M18" s="45">
        <v>20.0</v>
      </c>
      <c r="N18" s="45">
        <v>10.0</v>
      </c>
      <c r="O18" s="45">
        <v>11.4</v>
      </c>
      <c r="P18" s="45">
        <v>30.0</v>
      </c>
      <c r="Q18" s="45">
        <v>14.0</v>
      </c>
      <c r="R18" s="45">
        <v>20.0</v>
      </c>
      <c r="S18" s="45">
        <v>81.0</v>
      </c>
      <c r="T18" s="45">
        <v>14.0</v>
      </c>
      <c r="U18" s="45">
        <v>17.0</v>
      </c>
      <c r="V18" s="45">
        <v>23.0</v>
      </c>
      <c r="X18" s="45">
        <v>23.0</v>
      </c>
    </row>
    <row r="19">
      <c r="A19" s="8" t="s">
        <v>31</v>
      </c>
      <c r="B19" s="8" t="s">
        <v>145</v>
      </c>
      <c r="C19" s="46">
        <v>4.5193494E7</v>
      </c>
      <c r="D19" s="47" t="s">
        <v>146</v>
      </c>
      <c r="E19" s="48"/>
      <c r="F19" s="48"/>
      <c r="G19" s="65">
        <f>H19/H30 * 100</f>
        <v>91.25</v>
      </c>
      <c r="H19" s="65">
        <f t="shared" si="1"/>
        <v>292</v>
      </c>
      <c r="I19" s="45">
        <v>10.0</v>
      </c>
      <c r="J19" s="45">
        <v>10.0</v>
      </c>
      <c r="K19" s="45">
        <v>16.0</v>
      </c>
      <c r="L19" s="45">
        <v>10.0</v>
      </c>
      <c r="M19" s="45">
        <v>20.0</v>
      </c>
      <c r="N19" s="45">
        <v>10.0</v>
      </c>
      <c r="O19" s="45">
        <v>15.0</v>
      </c>
      <c r="P19" s="45">
        <v>7.0</v>
      </c>
      <c r="Q19" s="45">
        <v>20.0</v>
      </c>
      <c r="R19" s="45">
        <v>10.0</v>
      </c>
      <c r="S19" s="45">
        <v>79.0</v>
      </c>
      <c r="T19" s="45">
        <v>13.0</v>
      </c>
      <c r="U19" s="45">
        <v>18.0</v>
      </c>
      <c r="V19" s="45">
        <v>25.0</v>
      </c>
      <c r="W19" s="45">
        <v>5.0</v>
      </c>
      <c r="X19" s="45">
        <v>24.0</v>
      </c>
    </row>
    <row r="20">
      <c r="A20" s="8" t="s">
        <v>32</v>
      </c>
      <c r="B20" s="8" t="s">
        <v>105</v>
      </c>
      <c r="C20" s="46">
        <v>3.24020177E8</v>
      </c>
      <c r="D20" s="53" t="s">
        <v>147</v>
      </c>
      <c r="E20" s="52" t="s">
        <v>148</v>
      </c>
      <c r="F20" s="60" t="s">
        <v>149</v>
      </c>
      <c r="G20" s="65">
        <f>H20/H30 * 100</f>
        <v>87.5</v>
      </c>
      <c r="H20" s="65">
        <f t="shared" si="1"/>
        <v>280</v>
      </c>
      <c r="I20" s="45">
        <v>10.0</v>
      </c>
      <c r="J20" s="45">
        <v>10.0</v>
      </c>
      <c r="K20" s="45">
        <v>18.0</v>
      </c>
      <c r="L20" s="45"/>
      <c r="M20" s="45">
        <v>20.0</v>
      </c>
      <c r="N20" s="45">
        <v>10.0</v>
      </c>
      <c r="O20" s="45">
        <v>15.0</v>
      </c>
      <c r="P20" s="45">
        <v>32.0</v>
      </c>
      <c r="Q20" s="45">
        <v>7.0</v>
      </c>
      <c r="R20" s="45">
        <v>20.0</v>
      </c>
      <c r="S20" s="45">
        <v>89.0</v>
      </c>
      <c r="T20" s="45">
        <v>13.0</v>
      </c>
      <c r="U20" s="45">
        <v>16.0</v>
      </c>
      <c r="V20" s="45">
        <v>20.0</v>
      </c>
    </row>
    <row r="21">
      <c r="A21" s="8" t="s">
        <v>33</v>
      </c>
      <c r="B21" s="8" t="s">
        <v>150</v>
      </c>
      <c r="C21" s="46">
        <v>1.82069407E8</v>
      </c>
      <c r="D21" s="47" t="s">
        <v>151</v>
      </c>
      <c r="E21" s="49" t="s">
        <v>152</v>
      </c>
      <c r="F21" s="49" t="s">
        <v>193</v>
      </c>
      <c r="G21" s="65">
        <f>H21/H30 * 100</f>
        <v>112.5</v>
      </c>
      <c r="H21" s="65">
        <f t="shared" si="1"/>
        <v>360</v>
      </c>
      <c r="I21" s="45">
        <v>10.0</v>
      </c>
      <c r="J21" s="45">
        <v>10.0</v>
      </c>
      <c r="K21" s="45">
        <v>20.0</v>
      </c>
      <c r="L21" s="45">
        <v>10.0</v>
      </c>
      <c r="M21" s="45">
        <v>20.0</v>
      </c>
      <c r="N21" s="45">
        <v>10.0</v>
      </c>
      <c r="O21" s="45">
        <v>15.0</v>
      </c>
      <c r="P21" s="45">
        <v>33.0</v>
      </c>
      <c r="Q21" s="45">
        <v>20.0</v>
      </c>
      <c r="R21" s="45">
        <v>18.0</v>
      </c>
      <c r="S21" s="45">
        <v>97.0</v>
      </c>
      <c r="T21" s="45">
        <v>14.0</v>
      </c>
      <c r="U21" s="45">
        <v>20.0</v>
      </c>
      <c r="V21" s="45">
        <v>25.0</v>
      </c>
      <c r="X21" s="45">
        <v>38.0</v>
      </c>
    </row>
    <row r="22">
      <c r="A22" s="8" t="s">
        <v>34</v>
      </c>
      <c r="B22" s="8" t="s">
        <v>105</v>
      </c>
      <c r="C22" s="46">
        <v>9.3040301E7</v>
      </c>
      <c r="D22" s="47" t="s">
        <v>154</v>
      </c>
      <c r="E22" s="52" t="s">
        <v>155</v>
      </c>
      <c r="F22" s="49" t="s">
        <v>156</v>
      </c>
      <c r="G22" s="65">
        <f>H22/H30 * 100</f>
        <v>70.90625</v>
      </c>
      <c r="H22" s="65">
        <f t="shared" si="1"/>
        <v>226.9</v>
      </c>
      <c r="I22" s="45">
        <v>10.0</v>
      </c>
      <c r="J22" s="45">
        <v>10.0</v>
      </c>
      <c r="K22" s="45">
        <v>17.0</v>
      </c>
      <c r="L22" s="45"/>
      <c r="M22" s="45">
        <v>16.0</v>
      </c>
      <c r="N22" s="45">
        <v>5.1</v>
      </c>
      <c r="O22" s="45">
        <v>8.3</v>
      </c>
      <c r="R22" s="45">
        <v>8.0</v>
      </c>
      <c r="S22" s="45">
        <v>78.0</v>
      </c>
      <c r="U22" s="45">
        <v>20.0</v>
      </c>
      <c r="V22" s="45">
        <v>15.0</v>
      </c>
      <c r="X22" s="45">
        <v>39.5</v>
      </c>
    </row>
    <row r="23">
      <c r="A23" s="8" t="s">
        <v>35</v>
      </c>
      <c r="B23" s="8" t="s">
        <v>105</v>
      </c>
      <c r="C23" s="46">
        <v>4.474972E7</v>
      </c>
      <c r="D23" s="47" t="s">
        <v>157</v>
      </c>
      <c r="E23" s="48"/>
      <c r="F23" s="49" t="s">
        <v>158</v>
      </c>
      <c r="G23" s="65">
        <f>H23/H30 * 100</f>
        <v>97.8125</v>
      </c>
      <c r="H23" s="65">
        <f t="shared" si="1"/>
        <v>313</v>
      </c>
      <c r="I23" s="45">
        <v>10.0</v>
      </c>
      <c r="J23" s="45">
        <v>10.0</v>
      </c>
      <c r="K23" s="45">
        <v>20.0</v>
      </c>
      <c r="L23" s="45">
        <v>10.0</v>
      </c>
      <c r="M23" s="45">
        <v>20.0</v>
      </c>
      <c r="N23" s="45">
        <v>10.0</v>
      </c>
      <c r="O23" s="45">
        <v>15.0</v>
      </c>
      <c r="P23" s="45">
        <v>37.0</v>
      </c>
      <c r="Q23" s="45">
        <v>20.0</v>
      </c>
      <c r="R23" s="45">
        <v>19.0</v>
      </c>
      <c r="S23" s="45">
        <v>89.0</v>
      </c>
      <c r="T23" s="45">
        <v>13.0</v>
      </c>
      <c r="U23" s="45">
        <v>17.0</v>
      </c>
      <c r="V23" s="45">
        <v>23.0</v>
      </c>
    </row>
    <row r="24">
      <c r="A24" s="8" t="s">
        <v>36</v>
      </c>
      <c r="B24" s="8" t="s">
        <v>105</v>
      </c>
      <c r="C24" s="46">
        <v>6.657065E7</v>
      </c>
      <c r="D24" s="47" t="s">
        <v>159</v>
      </c>
      <c r="E24" s="49" t="s">
        <v>160</v>
      </c>
      <c r="F24" s="49" t="s">
        <v>161</v>
      </c>
      <c r="G24" s="65">
        <f>H24/H30 * 100</f>
        <v>100.3125</v>
      </c>
      <c r="H24" s="65">
        <f t="shared" si="1"/>
        <v>321</v>
      </c>
      <c r="I24" s="45">
        <v>10.0</v>
      </c>
      <c r="J24" s="45">
        <v>10.0</v>
      </c>
      <c r="K24" s="45">
        <v>19.0</v>
      </c>
      <c r="L24" s="45">
        <v>10.0</v>
      </c>
      <c r="M24" s="45">
        <v>20.0</v>
      </c>
      <c r="N24" s="45">
        <v>10.0</v>
      </c>
      <c r="O24" s="45">
        <v>15.0</v>
      </c>
      <c r="P24" s="45">
        <v>31.0</v>
      </c>
      <c r="Q24" s="45">
        <v>20.0</v>
      </c>
      <c r="R24" s="45">
        <v>20.0</v>
      </c>
      <c r="S24" s="45">
        <v>82.0</v>
      </c>
      <c r="T24" s="45">
        <v>15.0</v>
      </c>
      <c r="U24" s="45">
        <v>28.0</v>
      </c>
      <c r="V24" s="45">
        <v>25.0</v>
      </c>
      <c r="X24" s="45">
        <v>6.0</v>
      </c>
    </row>
    <row r="25">
      <c r="A25" s="8" t="s">
        <v>37</v>
      </c>
      <c r="B25" s="8" t="s">
        <v>162</v>
      </c>
      <c r="C25" s="46">
        <v>2.71737131E8</v>
      </c>
      <c r="D25" s="47" t="s">
        <v>163</v>
      </c>
      <c r="E25" s="51" t="s">
        <v>164</v>
      </c>
      <c r="F25" s="49" t="s">
        <v>165</v>
      </c>
      <c r="G25" s="65">
        <f>H25/H30 * 100</f>
        <v>133.125</v>
      </c>
      <c r="H25" s="65">
        <f t="shared" si="1"/>
        <v>426</v>
      </c>
      <c r="I25" s="45">
        <v>10.0</v>
      </c>
      <c r="J25" s="45">
        <v>10.0</v>
      </c>
      <c r="K25" s="45">
        <v>20.0</v>
      </c>
      <c r="L25" s="45">
        <v>10.0</v>
      </c>
      <c r="M25" s="45">
        <v>20.0</v>
      </c>
      <c r="N25" s="45">
        <v>10.0</v>
      </c>
      <c r="O25" s="45">
        <v>15.0</v>
      </c>
      <c r="P25" s="45">
        <v>33.0</v>
      </c>
      <c r="Q25" s="45">
        <v>20.0</v>
      </c>
      <c r="R25" s="45">
        <v>20.0</v>
      </c>
      <c r="S25" s="45">
        <v>98.0</v>
      </c>
      <c r="T25" s="45">
        <v>15.0</v>
      </c>
      <c r="U25" s="45">
        <v>28.0</v>
      </c>
      <c r="V25" s="45">
        <v>25.0</v>
      </c>
      <c r="W25" s="45">
        <v>20.0</v>
      </c>
      <c r="X25" s="45">
        <v>72.0</v>
      </c>
    </row>
    <row r="26">
      <c r="A26" s="8" t="s">
        <v>38</v>
      </c>
      <c r="B26" s="8" t="s">
        <v>105</v>
      </c>
      <c r="C26" s="46">
        <v>3.16074737E8</v>
      </c>
      <c r="D26" s="56" t="s">
        <v>166</v>
      </c>
      <c r="E26" s="48"/>
      <c r="F26" s="48"/>
      <c r="G26" s="65">
        <f>H26/H30 * 100</f>
        <v>79.5625</v>
      </c>
      <c r="H26" s="65">
        <f t="shared" si="1"/>
        <v>254.6</v>
      </c>
      <c r="I26" s="45">
        <v>10.0</v>
      </c>
      <c r="J26" s="45">
        <v>10.0</v>
      </c>
      <c r="K26" s="45">
        <v>16.0</v>
      </c>
      <c r="L26" s="45">
        <v>10.0</v>
      </c>
      <c r="M26" s="45">
        <v>20.0</v>
      </c>
      <c r="N26" s="45">
        <v>7.6</v>
      </c>
      <c r="O26" s="45">
        <v>15.0</v>
      </c>
      <c r="P26" s="45">
        <v>32.0</v>
      </c>
      <c r="Q26" s="45">
        <v>20.0</v>
      </c>
      <c r="R26" s="45">
        <v>16.0</v>
      </c>
      <c r="S26" s="45">
        <v>98.0</v>
      </c>
    </row>
    <row r="27">
      <c r="A27" s="16" t="s">
        <v>39</v>
      </c>
      <c r="B27" s="16" t="s">
        <v>167</v>
      </c>
      <c r="C27" s="17">
        <v>1.8564397E7</v>
      </c>
      <c r="D27" s="18" t="s">
        <v>168</v>
      </c>
      <c r="E27" s="19"/>
      <c r="F27" s="19"/>
      <c r="G27" s="63">
        <f>H27/H30 * 100</f>
        <v>13.125</v>
      </c>
      <c r="H27" s="63">
        <f t="shared" si="1"/>
        <v>42</v>
      </c>
      <c r="I27" s="62">
        <v>10.0</v>
      </c>
      <c r="J27" s="62">
        <v>0.0</v>
      </c>
      <c r="K27" s="62">
        <v>14.0</v>
      </c>
      <c r="L27" s="62"/>
      <c r="M27" s="62">
        <v>18.0</v>
      </c>
      <c r="N27" s="62">
        <v>0.0</v>
      </c>
      <c r="O27" s="62">
        <v>0.0</v>
      </c>
      <c r="P27" s="63"/>
      <c r="Q27" s="63"/>
      <c r="R27" s="63"/>
      <c r="S27" s="63"/>
      <c r="T27" s="63"/>
      <c r="U27" s="63"/>
      <c r="V27" s="63"/>
      <c r="W27" s="63"/>
      <c r="X27" s="63"/>
    </row>
    <row r="28">
      <c r="A28" s="8" t="s">
        <v>40</v>
      </c>
      <c r="B28" s="8" t="s">
        <v>107</v>
      </c>
      <c r="C28" s="46">
        <v>1348679.0</v>
      </c>
      <c r="D28" s="56" t="s">
        <v>169</v>
      </c>
      <c r="E28" s="51" t="s">
        <v>170</v>
      </c>
      <c r="F28" s="48"/>
      <c r="G28" s="65">
        <f>H28/H30 * 100</f>
        <v>100.4375</v>
      </c>
      <c r="H28" s="65">
        <f t="shared" si="1"/>
        <v>321.4</v>
      </c>
      <c r="I28" s="45">
        <v>10.0</v>
      </c>
      <c r="J28" s="45">
        <v>10.0</v>
      </c>
      <c r="K28" s="45">
        <v>22.0</v>
      </c>
      <c r="L28" s="45">
        <v>10.0</v>
      </c>
      <c r="M28" s="45">
        <v>20.0</v>
      </c>
      <c r="N28" s="45">
        <v>10.0</v>
      </c>
      <c r="O28" s="45">
        <v>11.4</v>
      </c>
      <c r="P28" s="45">
        <v>33.0</v>
      </c>
      <c r="Q28" s="45">
        <v>20.0</v>
      </c>
      <c r="R28" s="45">
        <v>8.0</v>
      </c>
      <c r="S28" s="45">
        <v>89.0</v>
      </c>
      <c r="T28" s="45">
        <v>15.0</v>
      </c>
      <c r="U28" s="45">
        <v>22.0</v>
      </c>
      <c r="V28" s="45">
        <v>25.0</v>
      </c>
      <c r="X28" s="45">
        <v>16.0</v>
      </c>
    </row>
    <row r="29">
      <c r="A29" s="8" t="s">
        <v>41</v>
      </c>
      <c r="B29" s="8" t="s">
        <v>171</v>
      </c>
      <c r="C29" s="46">
        <v>9.2481219E7</v>
      </c>
      <c r="D29" s="56" t="s">
        <v>172</v>
      </c>
      <c r="E29" s="52" t="s">
        <v>173</v>
      </c>
      <c r="F29" s="48"/>
      <c r="G29" s="65">
        <f>H29/H30 * 100</f>
        <v>24.0625</v>
      </c>
      <c r="H29" s="65">
        <f t="shared" si="1"/>
        <v>77</v>
      </c>
      <c r="I29" s="45">
        <v>10.0</v>
      </c>
      <c r="J29" s="45">
        <v>10.0</v>
      </c>
      <c r="K29" s="45">
        <v>16.0</v>
      </c>
      <c r="L29" s="45"/>
      <c r="M29" s="45">
        <v>16.0</v>
      </c>
      <c r="N29" s="45">
        <v>10.0</v>
      </c>
      <c r="O29" s="45">
        <v>15.0</v>
      </c>
    </row>
    <row r="30">
      <c r="A30" s="34" t="s">
        <v>194</v>
      </c>
      <c r="B30" s="8"/>
      <c r="C30" s="46"/>
      <c r="D30" s="56"/>
      <c r="E30" s="49"/>
      <c r="F30" s="48"/>
      <c r="G30" s="65">
        <f>H30/H30 * 100</f>
        <v>100</v>
      </c>
      <c r="H30" s="65">
        <f t="shared" si="1"/>
        <v>320</v>
      </c>
      <c r="I30" s="45">
        <v>10.0</v>
      </c>
      <c r="J30" s="45">
        <v>10.0</v>
      </c>
      <c r="K30" s="45">
        <v>20.0</v>
      </c>
      <c r="M30" s="45">
        <v>20.0</v>
      </c>
      <c r="N30" s="45">
        <v>10.0</v>
      </c>
      <c r="O30" s="45">
        <v>15.0</v>
      </c>
      <c r="P30" s="45">
        <v>35.0</v>
      </c>
      <c r="Q30" s="45">
        <v>20.0</v>
      </c>
      <c r="R30" s="45">
        <v>20.0</v>
      </c>
      <c r="S30" s="45">
        <v>80.0</v>
      </c>
      <c r="T30" s="45">
        <v>15.0</v>
      </c>
      <c r="U30" s="45">
        <v>20.0</v>
      </c>
      <c r="V30" s="45">
        <v>25.0</v>
      </c>
      <c r="W30" s="45">
        <v>0.0</v>
      </c>
      <c r="X30" s="45">
        <v>20.0</v>
      </c>
    </row>
  </sheetData>
  <conditionalFormatting sqref="G2:G30">
    <cfRule type="cellIs" dxfId="8" priority="1" operator="lessThan">
      <formula>70</formula>
    </cfRule>
  </conditionalFormatting>
  <conditionalFormatting sqref="G2:G30">
    <cfRule type="cellIs" dxfId="0" priority="2" operator="greaterThanOrEqual">
      <formula>70</formula>
    </cfRule>
  </conditionalFormatting>
  <hyperlinks>
    <hyperlink r:id="rId1" ref="E4"/>
    <hyperlink r:id="rId2" ref="E6"/>
    <hyperlink r:id="rId3" ref="E9"/>
    <hyperlink r:id="rId4" ref="E13"/>
    <hyperlink r:id="rId5" ref="E15"/>
    <hyperlink r:id="rId6" ref="E16"/>
    <hyperlink r:id="rId7" ref="E20"/>
    <hyperlink r:id="rId8" ref="E22"/>
    <hyperlink r:id="rId9" ref="E25"/>
    <hyperlink r:id="rId10" ref="E28"/>
    <hyperlink r:id="rId11" ref="E29"/>
  </hyperlinks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75"/>
  <cols>
    <col customWidth="1" min="1" max="1" width="38.14"/>
    <col customWidth="1" min="2" max="2" width="24.57"/>
    <col customWidth="1" min="3" max="3" width="12.86"/>
    <col customWidth="1" min="4" max="4" width="23.43"/>
    <col customWidth="1" min="5" max="5" width="16.86"/>
    <col customWidth="1" min="6" max="6" width="24.29"/>
  </cols>
  <sheetData>
    <row r="1">
      <c r="A1" s="1" t="s">
        <v>0</v>
      </c>
      <c r="B1" s="1" t="s">
        <v>71</v>
      </c>
      <c r="C1" s="1" t="s">
        <v>1</v>
      </c>
      <c r="D1" s="1" t="s">
        <v>72</v>
      </c>
      <c r="E1" s="1" t="s">
        <v>73</v>
      </c>
      <c r="F1" s="1" t="s">
        <v>74</v>
      </c>
      <c r="G1" s="66" t="s">
        <v>195</v>
      </c>
      <c r="H1" s="66" t="s">
        <v>3</v>
      </c>
    </row>
    <row r="2">
      <c r="A2" s="8" t="s">
        <v>14</v>
      </c>
      <c r="B2" s="8" t="s">
        <v>98</v>
      </c>
      <c r="C2" s="46">
        <v>6.0726852E7</v>
      </c>
      <c r="D2" s="47" t="s">
        <v>99</v>
      </c>
      <c r="E2" s="48"/>
      <c r="F2" s="48"/>
      <c r="G2" s="45">
        <v>32.0</v>
      </c>
      <c r="H2" s="45">
        <v>5.0</v>
      </c>
    </row>
    <row r="3">
      <c r="A3" s="8" t="s">
        <v>15</v>
      </c>
      <c r="B3" s="8" t="s">
        <v>100</v>
      </c>
      <c r="C3" s="46">
        <v>3.0641265E7</v>
      </c>
      <c r="D3" s="47" t="s">
        <v>101</v>
      </c>
      <c r="E3" s="48"/>
      <c r="F3" s="48"/>
      <c r="G3" s="45">
        <v>32.0</v>
      </c>
      <c r="H3" s="45">
        <v>5.0</v>
      </c>
    </row>
    <row r="4">
      <c r="A4" s="8" t="s">
        <v>16</v>
      </c>
      <c r="B4" s="8" t="s">
        <v>98</v>
      </c>
      <c r="C4" s="46">
        <v>9.087841E7</v>
      </c>
      <c r="D4" s="47" t="s">
        <v>102</v>
      </c>
      <c r="E4" s="52" t="s">
        <v>103</v>
      </c>
      <c r="F4" s="45" t="s">
        <v>104</v>
      </c>
      <c r="G4" s="45">
        <v>32.0</v>
      </c>
      <c r="H4" s="45">
        <v>5.0</v>
      </c>
    </row>
    <row r="5">
      <c r="A5" s="8" t="s">
        <v>17</v>
      </c>
      <c r="B5" s="8" t="s">
        <v>105</v>
      </c>
      <c r="C5" s="46">
        <v>2.72636E7</v>
      </c>
      <c r="D5" s="47" t="s">
        <v>106</v>
      </c>
      <c r="E5" s="48"/>
      <c r="F5" s="48"/>
      <c r="G5" s="45">
        <v>32.0</v>
      </c>
      <c r="H5" s="45">
        <v>5.0</v>
      </c>
    </row>
    <row r="6">
      <c r="A6" s="8" t="s">
        <v>18</v>
      </c>
      <c r="B6" s="8" t="s">
        <v>107</v>
      </c>
      <c r="C6" s="46">
        <v>1.8411532E7</v>
      </c>
      <c r="D6" s="47" t="s">
        <v>108</v>
      </c>
      <c r="E6" s="52" t="s">
        <v>109</v>
      </c>
      <c r="F6" s="49" t="s">
        <v>110</v>
      </c>
      <c r="G6" s="45">
        <v>28.0</v>
      </c>
      <c r="H6" s="45">
        <v>5.0</v>
      </c>
    </row>
    <row r="7">
      <c r="A7" s="8" t="s">
        <v>19</v>
      </c>
      <c r="B7" s="8" t="s">
        <v>111</v>
      </c>
      <c r="C7" s="46">
        <v>3.6594162E7</v>
      </c>
      <c r="D7" s="47" t="s">
        <v>112</v>
      </c>
      <c r="E7" s="48"/>
      <c r="F7" s="48"/>
      <c r="G7" s="45">
        <v>29.0</v>
      </c>
      <c r="H7" s="45">
        <v>5.0</v>
      </c>
    </row>
    <row r="8">
      <c r="A8" s="8" t="s">
        <v>20</v>
      </c>
      <c r="B8" s="8" t="s">
        <v>113</v>
      </c>
      <c r="C8" s="46">
        <v>6.8775352E7</v>
      </c>
      <c r="D8" s="53" t="s">
        <v>114</v>
      </c>
      <c r="E8" s="48"/>
      <c r="F8" s="48"/>
      <c r="G8" s="45">
        <v>32.0</v>
      </c>
      <c r="H8" s="45">
        <v>5.0</v>
      </c>
    </row>
    <row r="9">
      <c r="A9" s="8" t="s">
        <v>21</v>
      </c>
      <c r="B9" s="8" t="s">
        <v>115</v>
      </c>
      <c r="C9" s="46">
        <v>4.1797465E7</v>
      </c>
      <c r="D9" s="53" t="s">
        <v>116</v>
      </c>
      <c r="E9" s="54" t="s">
        <v>117</v>
      </c>
      <c r="F9" s="49" t="s">
        <v>118</v>
      </c>
      <c r="G9" s="45">
        <v>27.0</v>
      </c>
      <c r="H9" s="45">
        <v>5.0</v>
      </c>
    </row>
    <row r="10">
      <c r="A10" s="8" t="s">
        <v>22</v>
      </c>
      <c r="B10" s="8" t="s">
        <v>119</v>
      </c>
      <c r="C10" s="46">
        <v>1.55306958E8</v>
      </c>
      <c r="D10" s="47" t="s">
        <v>120</v>
      </c>
      <c r="E10" s="48"/>
      <c r="F10" s="48"/>
      <c r="G10" s="45">
        <v>25.0</v>
      </c>
      <c r="H10" s="45">
        <v>5.0</v>
      </c>
    </row>
    <row r="11">
      <c r="A11" s="8" t="s">
        <v>23</v>
      </c>
      <c r="B11" s="8" t="s">
        <v>105</v>
      </c>
      <c r="C11" s="46">
        <v>1943508.0</v>
      </c>
      <c r="D11" s="47" t="s">
        <v>121</v>
      </c>
      <c r="E11" s="49" t="s">
        <v>122</v>
      </c>
      <c r="F11" s="49" t="s">
        <v>123</v>
      </c>
      <c r="G11" s="45">
        <v>28.0</v>
      </c>
      <c r="H11" s="45">
        <v>5.0</v>
      </c>
    </row>
    <row r="12">
      <c r="A12" s="8" t="s">
        <v>24</v>
      </c>
      <c r="B12" s="34" t="s">
        <v>124</v>
      </c>
      <c r="C12" s="46">
        <v>1.6318756E7</v>
      </c>
      <c r="D12" s="47" t="s">
        <v>125</v>
      </c>
      <c r="E12" s="49" t="s">
        <v>126</v>
      </c>
      <c r="F12" s="49" t="s">
        <v>127</v>
      </c>
      <c r="G12" s="45">
        <v>31.0</v>
      </c>
      <c r="H12" s="45">
        <v>5.0</v>
      </c>
    </row>
    <row r="13">
      <c r="A13" s="8" t="s">
        <v>25</v>
      </c>
      <c r="B13" s="8" t="s">
        <v>128</v>
      </c>
      <c r="C13" s="9">
        <v>5.8125628E7</v>
      </c>
      <c r="D13" s="53" t="s">
        <v>129</v>
      </c>
      <c r="E13" s="52" t="s">
        <v>130</v>
      </c>
      <c r="F13" s="49" t="s">
        <v>131</v>
      </c>
      <c r="G13" s="45">
        <v>26.0</v>
      </c>
      <c r="H13" s="45">
        <v>5.0</v>
      </c>
    </row>
    <row r="14">
      <c r="A14" s="8" t="s">
        <v>26</v>
      </c>
      <c r="B14" s="8" t="s">
        <v>132</v>
      </c>
      <c r="C14" s="46">
        <v>4.2572948E7</v>
      </c>
      <c r="D14" s="53" t="s">
        <v>133</v>
      </c>
      <c r="E14" s="48"/>
      <c r="F14" s="49" t="s">
        <v>134</v>
      </c>
      <c r="G14" s="45">
        <v>26.0</v>
      </c>
      <c r="H14" s="45">
        <v>5.0</v>
      </c>
    </row>
    <row r="15">
      <c r="A15" s="8" t="s">
        <v>27</v>
      </c>
      <c r="B15" s="8" t="s">
        <v>107</v>
      </c>
      <c r="C15" s="46">
        <v>3.0527095E7</v>
      </c>
      <c r="D15" s="56">
        <v>8.9137198555E10</v>
      </c>
      <c r="E15" s="57" t="s">
        <v>135</v>
      </c>
      <c r="F15" s="49" t="s">
        <v>136</v>
      </c>
      <c r="G15" s="45">
        <v>24.0</v>
      </c>
      <c r="H15" s="45">
        <v>4.0</v>
      </c>
    </row>
    <row r="16">
      <c r="A16" s="8" t="s">
        <v>28</v>
      </c>
      <c r="B16" s="8" t="s">
        <v>105</v>
      </c>
      <c r="C16" s="46">
        <v>8.2036249E7</v>
      </c>
      <c r="D16" s="47" t="s">
        <v>137</v>
      </c>
      <c r="E16" s="52" t="s">
        <v>138</v>
      </c>
      <c r="F16" s="49" t="s">
        <v>139</v>
      </c>
      <c r="G16" s="45">
        <v>32.0</v>
      </c>
      <c r="H16" s="45">
        <v>5.0</v>
      </c>
    </row>
    <row r="17">
      <c r="A17" s="8" t="s">
        <v>29</v>
      </c>
      <c r="B17" s="8" t="s">
        <v>105</v>
      </c>
      <c r="C17" s="46">
        <v>8.362043E7</v>
      </c>
      <c r="D17" s="58" t="s">
        <v>140</v>
      </c>
      <c r="E17" s="48"/>
      <c r="F17" s="48"/>
      <c r="G17" s="45">
        <v>28.0</v>
      </c>
      <c r="H17" s="45">
        <v>5.0</v>
      </c>
    </row>
    <row r="18">
      <c r="A18" s="8" t="s">
        <v>30</v>
      </c>
      <c r="B18" s="8" t="s">
        <v>141</v>
      </c>
      <c r="C18" s="46">
        <v>3.36375228E8</v>
      </c>
      <c r="D18" s="47" t="s">
        <v>142</v>
      </c>
      <c r="E18" s="59" t="s">
        <v>143</v>
      </c>
      <c r="F18" s="60" t="s">
        <v>144</v>
      </c>
      <c r="G18" s="45">
        <v>29.0</v>
      </c>
      <c r="H18" s="45">
        <v>5.0</v>
      </c>
    </row>
    <row r="19">
      <c r="A19" s="8" t="s">
        <v>31</v>
      </c>
      <c r="B19" s="8" t="s">
        <v>145</v>
      </c>
      <c r="C19" s="46">
        <v>4.5193494E7</v>
      </c>
      <c r="D19" s="47" t="s">
        <v>146</v>
      </c>
      <c r="E19" s="48"/>
      <c r="F19" s="48"/>
      <c r="G19" s="45">
        <v>32.0</v>
      </c>
      <c r="H19" s="45">
        <v>5.0</v>
      </c>
    </row>
    <row r="20">
      <c r="A20" s="8" t="s">
        <v>32</v>
      </c>
      <c r="B20" s="8" t="s">
        <v>105</v>
      </c>
      <c r="C20" s="46">
        <v>3.24020177E8</v>
      </c>
      <c r="D20" s="53" t="s">
        <v>147</v>
      </c>
      <c r="E20" s="52" t="s">
        <v>148</v>
      </c>
      <c r="F20" s="60" t="s">
        <v>149</v>
      </c>
      <c r="G20" s="45">
        <v>29.0</v>
      </c>
      <c r="H20" s="45">
        <v>5.0</v>
      </c>
    </row>
    <row r="21">
      <c r="A21" s="8" t="s">
        <v>33</v>
      </c>
      <c r="B21" s="8" t="s">
        <v>150</v>
      </c>
      <c r="C21" s="46">
        <v>1.82069407E8</v>
      </c>
      <c r="D21" s="47" t="s">
        <v>151</v>
      </c>
      <c r="E21" s="49" t="s">
        <v>152</v>
      </c>
      <c r="F21" s="49" t="s">
        <v>153</v>
      </c>
      <c r="G21" s="45">
        <v>30.0</v>
      </c>
      <c r="H21" s="45">
        <v>5.0</v>
      </c>
    </row>
    <row r="22">
      <c r="A22" s="8" t="s">
        <v>34</v>
      </c>
      <c r="B22" s="8" t="s">
        <v>105</v>
      </c>
      <c r="C22" s="46">
        <v>9.3040301E7</v>
      </c>
      <c r="D22" s="47" t="s">
        <v>154</v>
      </c>
      <c r="E22" s="52" t="s">
        <v>155</v>
      </c>
      <c r="F22" s="49" t="s">
        <v>156</v>
      </c>
      <c r="G22" s="45">
        <v>25.0</v>
      </c>
      <c r="H22" s="45">
        <v>5.0</v>
      </c>
    </row>
    <row r="23">
      <c r="A23" s="8" t="s">
        <v>35</v>
      </c>
      <c r="B23" s="8" t="s">
        <v>105</v>
      </c>
      <c r="C23" s="46">
        <v>4.474972E7</v>
      </c>
      <c r="D23" s="47" t="s">
        <v>157</v>
      </c>
      <c r="E23" s="48"/>
      <c r="F23" s="49" t="s">
        <v>158</v>
      </c>
      <c r="G23" s="45">
        <v>32.0</v>
      </c>
      <c r="H23" s="45">
        <v>5.0</v>
      </c>
    </row>
    <row r="24">
      <c r="A24" s="8" t="s">
        <v>36</v>
      </c>
      <c r="B24" s="8" t="s">
        <v>105</v>
      </c>
      <c r="C24" s="46">
        <v>6.657065E7</v>
      </c>
      <c r="D24" s="47" t="s">
        <v>159</v>
      </c>
      <c r="E24" s="49" t="s">
        <v>160</v>
      </c>
      <c r="F24" s="49" t="s">
        <v>161</v>
      </c>
      <c r="G24" s="45">
        <v>32.0</v>
      </c>
      <c r="H24" s="45">
        <v>5.0</v>
      </c>
    </row>
    <row r="25">
      <c r="A25" s="8" t="s">
        <v>37</v>
      </c>
      <c r="B25" s="8" t="s">
        <v>162</v>
      </c>
      <c r="C25" s="46">
        <v>2.71737131E8</v>
      </c>
      <c r="D25" s="47" t="s">
        <v>163</v>
      </c>
      <c r="E25" s="52" t="s">
        <v>164</v>
      </c>
      <c r="F25" s="49" t="s">
        <v>165</v>
      </c>
      <c r="G25" s="45">
        <v>32.0</v>
      </c>
      <c r="H25" s="45">
        <v>5.0</v>
      </c>
    </row>
    <row r="26">
      <c r="A26" s="8" t="s">
        <v>38</v>
      </c>
      <c r="B26" s="8" t="s">
        <v>105</v>
      </c>
      <c r="C26" s="46">
        <v>3.16074737E8</v>
      </c>
      <c r="D26" s="56" t="s">
        <v>166</v>
      </c>
      <c r="E26" s="48"/>
      <c r="F26" s="48"/>
      <c r="G26" s="45">
        <v>30.0</v>
      </c>
      <c r="H26" s="45">
        <v>5.0</v>
      </c>
    </row>
    <row r="27">
      <c r="A27" s="16" t="s">
        <v>39</v>
      </c>
      <c r="B27" s="16" t="s">
        <v>167</v>
      </c>
      <c r="C27" s="17">
        <v>1.8564397E7</v>
      </c>
      <c r="D27" s="18" t="s">
        <v>168</v>
      </c>
      <c r="E27" s="19"/>
      <c r="F27" s="19"/>
      <c r="G27" s="63"/>
      <c r="H27" s="63"/>
    </row>
    <row r="28">
      <c r="A28" s="8" t="s">
        <v>40</v>
      </c>
      <c r="B28" s="8" t="s">
        <v>107</v>
      </c>
      <c r="C28" s="46">
        <v>1348679.0</v>
      </c>
      <c r="D28" s="56" t="s">
        <v>169</v>
      </c>
      <c r="E28" s="51" t="s">
        <v>170</v>
      </c>
      <c r="F28" s="48"/>
      <c r="G28" s="45">
        <v>26.0</v>
      </c>
      <c r="H28" s="45">
        <v>5.0</v>
      </c>
    </row>
    <row r="29">
      <c r="A29" s="67" t="s">
        <v>41</v>
      </c>
      <c r="B29" s="67" t="s">
        <v>171</v>
      </c>
      <c r="C29" s="68">
        <v>9.2481219E7</v>
      </c>
      <c r="D29" s="69" t="s">
        <v>172</v>
      </c>
      <c r="E29" s="70" t="s">
        <v>173</v>
      </c>
      <c r="F29" s="71"/>
      <c r="G29" s="72">
        <v>0.0</v>
      </c>
      <c r="H29" s="73"/>
    </row>
  </sheetData>
  <hyperlinks>
    <hyperlink r:id="rId1" ref="E4"/>
    <hyperlink r:id="rId2" ref="E6"/>
    <hyperlink r:id="rId3" ref="E9"/>
    <hyperlink r:id="rId4" ref="E13"/>
    <hyperlink r:id="rId5" ref="E15"/>
    <hyperlink r:id="rId6" ref="E16"/>
    <hyperlink r:id="rId7" ref="E20"/>
    <hyperlink r:id="rId8" ref="E22"/>
    <hyperlink r:id="rId9" ref="E25"/>
    <hyperlink r:id="rId10" ref="E28"/>
    <hyperlink r:id="rId11" ref="E29"/>
  </hyperlinks>
  <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8.29"/>
    <col customWidth="1" min="2" max="2" width="24.86"/>
    <col customWidth="1" min="4" max="4" width="23.0"/>
    <col customWidth="1" min="5" max="5" width="16.0"/>
    <col customWidth="1" min="6" max="6" width="24.14"/>
  </cols>
  <sheetData>
    <row r="1">
      <c r="A1" s="1" t="s">
        <v>0</v>
      </c>
      <c r="B1" s="1" t="s">
        <v>71</v>
      </c>
      <c r="C1" s="1" t="s">
        <v>1</v>
      </c>
      <c r="D1" s="1" t="s">
        <v>72</v>
      </c>
      <c r="E1" s="1" t="s">
        <v>73</v>
      </c>
      <c r="F1" s="1" t="s">
        <v>74</v>
      </c>
      <c r="G1" s="8" t="s">
        <v>196</v>
      </c>
      <c r="H1" s="8" t="s">
        <v>197</v>
      </c>
      <c r="I1" s="74" t="s">
        <v>198</v>
      </c>
      <c r="J1" s="8" t="s">
        <v>199</v>
      </c>
      <c r="K1" s="45" t="s">
        <v>200</v>
      </c>
      <c r="L1" s="45" t="s">
        <v>201</v>
      </c>
    </row>
    <row r="2">
      <c r="A2" s="8" t="s">
        <v>14</v>
      </c>
      <c r="B2" s="8" t="s">
        <v>98</v>
      </c>
      <c r="C2" s="46">
        <v>6.0726852E7</v>
      </c>
      <c r="D2" s="47" t="s">
        <v>99</v>
      </c>
      <c r="E2" s="48"/>
      <c r="F2" s="48"/>
      <c r="G2" s="65">
        <v>10.0</v>
      </c>
      <c r="H2" s="65">
        <v>10.0</v>
      </c>
      <c r="I2" s="65">
        <v>10.0</v>
      </c>
      <c r="J2" s="45">
        <v>10.0</v>
      </c>
      <c r="K2" s="65">
        <f t="shared" ref="K2:K29" si="1">sum(G2:J2)</f>
        <v>40</v>
      </c>
    </row>
    <row r="3">
      <c r="A3" s="8" t="s">
        <v>15</v>
      </c>
      <c r="B3" s="8" t="s">
        <v>100</v>
      </c>
      <c r="C3" s="46">
        <v>3.0641265E7</v>
      </c>
      <c r="D3" s="47" t="s">
        <v>101</v>
      </c>
      <c r="E3" s="48"/>
      <c r="F3" s="48"/>
      <c r="G3" s="65">
        <v>10.0</v>
      </c>
      <c r="H3" s="65">
        <v>10.0</v>
      </c>
      <c r="I3" s="65">
        <v>10.0</v>
      </c>
      <c r="J3" s="45">
        <v>10.0</v>
      </c>
      <c r="K3" s="65">
        <f t="shared" si="1"/>
        <v>40</v>
      </c>
    </row>
    <row r="4">
      <c r="A4" s="8" t="s">
        <v>16</v>
      </c>
      <c r="B4" s="8" t="s">
        <v>98</v>
      </c>
      <c r="C4" s="46">
        <v>9.087841E7</v>
      </c>
      <c r="D4" s="47" t="s">
        <v>102</v>
      </c>
      <c r="E4" s="51" t="s">
        <v>103</v>
      </c>
      <c r="F4" s="45" t="s">
        <v>104</v>
      </c>
      <c r="G4" s="65">
        <v>10.0</v>
      </c>
      <c r="H4" s="65">
        <v>10.0</v>
      </c>
      <c r="I4" s="65">
        <v>10.0</v>
      </c>
      <c r="J4" s="45">
        <v>10.0</v>
      </c>
      <c r="K4" s="65">
        <f t="shared" si="1"/>
        <v>40</v>
      </c>
    </row>
    <row r="5">
      <c r="A5" s="8" t="s">
        <v>17</v>
      </c>
      <c r="B5" s="8" t="s">
        <v>105</v>
      </c>
      <c r="C5" s="46">
        <v>2.72636E7</v>
      </c>
      <c r="D5" s="47" t="s">
        <v>106</v>
      </c>
      <c r="E5" s="48"/>
      <c r="F5" s="48"/>
      <c r="G5" s="65">
        <v>10.0</v>
      </c>
      <c r="H5" s="65">
        <v>10.0</v>
      </c>
      <c r="I5" s="65">
        <v>10.0</v>
      </c>
      <c r="J5" s="45">
        <v>10.0</v>
      </c>
      <c r="K5" s="65">
        <f t="shared" si="1"/>
        <v>40</v>
      </c>
    </row>
    <row r="6">
      <c r="A6" s="8" t="s">
        <v>18</v>
      </c>
      <c r="B6" s="8" t="s">
        <v>107</v>
      </c>
      <c r="C6" s="46">
        <v>1.8411532E7</v>
      </c>
      <c r="D6" s="47" t="s">
        <v>108</v>
      </c>
      <c r="E6" s="52" t="s">
        <v>109</v>
      </c>
      <c r="F6" s="49" t="s">
        <v>110</v>
      </c>
      <c r="G6" s="65">
        <v>10.0</v>
      </c>
      <c r="H6" s="65">
        <v>10.0</v>
      </c>
      <c r="I6" s="65">
        <v>10.0</v>
      </c>
      <c r="J6" s="45">
        <v>10.0</v>
      </c>
      <c r="K6" s="65">
        <f t="shared" si="1"/>
        <v>40</v>
      </c>
    </row>
    <row r="7">
      <c r="A7" s="8" t="s">
        <v>19</v>
      </c>
      <c r="B7" s="8" t="s">
        <v>111</v>
      </c>
      <c r="C7" s="46">
        <v>3.6594162E7</v>
      </c>
      <c r="D7" s="47" t="s">
        <v>112</v>
      </c>
      <c r="E7" s="48"/>
      <c r="F7" s="48"/>
      <c r="G7" s="65">
        <v>10.0</v>
      </c>
      <c r="H7" s="65">
        <v>10.0</v>
      </c>
      <c r="I7" s="45">
        <v>10.0</v>
      </c>
      <c r="J7" s="45">
        <v>10.0</v>
      </c>
      <c r="K7" s="65">
        <f t="shared" si="1"/>
        <v>40</v>
      </c>
    </row>
    <row r="8">
      <c r="A8" s="8" t="s">
        <v>20</v>
      </c>
      <c r="B8" s="8" t="s">
        <v>113</v>
      </c>
      <c r="C8" s="46">
        <v>6.8775352E7</v>
      </c>
      <c r="D8" s="53" t="s">
        <v>114</v>
      </c>
      <c r="E8" s="48"/>
      <c r="F8" s="48"/>
      <c r="G8" s="65">
        <v>10.0</v>
      </c>
      <c r="H8" s="65">
        <v>10.0</v>
      </c>
      <c r="I8" s="65">
        <v>10.0</v>
      </c>
      <c r="J8" s="45">
        <v>10.0</v>
      </c>
      <c r="K8" s="65">
        <f t="shared" si="1"/>
        <v>40</v>
      </c>
    </row>
    <row r="9">
      <c r="A9" s="8" t="s">
        <v>21</v>
      </c>
      <c r="B9" s="8" t="s">
        <v>115</v>
      </c>
      <c r="C9" s="46">
        <v>4.1797465E7</v>
      </c>
      <c r="D9" s="53" t="s">
        <v>116</v>
      </c>
      <c r="E9" s="54" t="s">
        <v>117</v>
      </c>
      <c r="F9" s="49" t="s">
        <v>118</v>
      </c>
      <c r="G9" s="65">
        <v>10.0</v>
      </c>
      <c r="H9" s="65">
        <v>10.0</v>
      </c>
      <c r="I9" s="45">
        <v>10.0</v>
      </c>
      <c r="J9" s="45">
        <v>10.0</v>
      </c>
      <c r="K9" s="65">
        <f t="shared" si="1"/>
        <v>40</v>
      </c>
    </row>
    <row r="10">
      <c r="A10" s="8" t="s">
        <v>22</v>
      </c>
      <c r="B10" s="8" t="s">
        <v>119</v>
      </c>
      <c r="C10" s="46">
        <v>1.55306958E8</v>
      </c>
      <c r="D10" s="47" t="s">
        <v>120</v>
      </c>
      <c r="E10" s="48"/>
      <c r="F10" s="48"/>
      <c r="G10" s="45">
        <v>10.0</v>
      </c>
      <c r="H10" s="45">
        <v>10.0</v>
      </c>
      <c r="I10" s="45">
        <v>10.0</v>
      </c>
      <c r="J10" s="45">
        <v>0.0</v>
      </c>
      <c r="K10" s="65">
        <f t="shared" si="1"/>
        <v>30</v>
      </c>
    </row>
    <row r="11">
      <c r="A11" s="8" t="s">
        <v>23</v>
      </c>
      <c r="B11" s="8" t="s">
        <v>105</v>
      </c>
      <c r="C11" s="46">
        <v>1943508.0</v>
      </c>
      <c r="D11" s="47" t="s">
        <v>121</v>
      </c>
      <c r="E11" s="49" t="s">
        <v>122</v>
      </c>
      <c r="F11" s="49" t="s">
        <v>123</v>
      </c>
      <c r="G11" s="65">
        <v>10.0</v>
      </c>
      <c r="H11" s="65">
        <v>10.0</v>
      </c>
      <c r="I11" s="65">
        <v>10.0</v>
      </c>
      <c r="J11" s="45">
        <v>10.0</v>
      </c>
      <c r="K11" s="65">
        <f t="shared" si="1"/>
        <v>40</v>
      </c>
    </row>
    <row r="12">
      <c r="A12" s="8" t="s">
        <v>24</v>
      </c>
      <c r="B12" s="34" t="s">
        <v>124</v>
      </c>
      <c r="C12" s="46">
        <v>1.6318756E7</v>
      </c>
      <c r="D12" s="47" t="s">
        <v>125</v>
      </c>
      <c r="E12" s="49" t="s">
        <v>126</v>
      </c>
      <c r="F12" s="49" t="s">
        <v>127</v>
      </c>
      <c r="G12" s="65">
        <v>10.0</v>
      </c>
      <c r="H12" s="45">
        <v>10.0</v>
      </c>
      <c r="I12" s="45">
        <v>10.0</v>
      </c>
      <c r="J12" s="45">
        <v>10.0</v>
      </c>
      <c r="K12" s="65">
        <f t="shared" si="1"/>
        <v>40</v>
      </c>
    </row>
    <row r="13">
      <c r="A13" s="8" t="s">
        <v>25</v>
      </c>
      <c r="B13" s="8" t="s">
        <v>128</v>
      </c>
      <c r="C13" s="46">
        <v>8125628.0</v>
      </c>
      <c r="D13" s="53" t="s">
        <v>129</v>
      </c>
      <c r="E13" s="52" t="s">
        <v>130</v>
      </c>
      <c r="F13" s="49" t="s">
        <v>131</v>
      </c>
      <c r="G13" s="75">
        <v>10.0</v>
      </c>
      <c r="H13" s="75">
        <v>10.0</v>
      </c>
      <c r="I13" s="75">
        <v>10.0</v>
      </c>
      <c r="J13" s="45">
        <v>10.0</v>
      </c>
      <c r="K13" s="65">
        <f t="shared" si="1"/>
        <v>40</v>
      </c>
    </row>
    <row r="14">
      <c r="A14" s="8" t="s">
        <v>26</v>
      </c>
      <c r="B14" s="8" t="s">
        <v>132</v>
      </c>
      <c r="C14" s="46">
        <v>4.2572948E7</v>
      </c>
      <c r="D14" s="53" t="s">
        <v>133</v>
      </c>
      <c r="E14" s="48"/>
      <c r="F14" s="48"/>
      <c r="G14" s="65">
        <v>10.0</v>
      </c>
      <c r="H14" s="65">
        <v>10.0</v>
      </c>
      <c r="I14" s="65">
        <v>10.0</v>
      </c>
      <c r="J14" s="45">
        <v>10.0</v>
      </c>
      <c r="K14" s="65">
        <f t="shared" si="1"/>
        <v>40</v>
      </c>
    </row>
    <row r="15">
      <c r="A15" s="8" t="s">
        <v>27</v>
      </c>
      <c r="B15" s="8" t="s">
        <v>107</v>
      </c>
      <c r="C15" s="46">
        <v>3.0527095E7</v>
      </c>
      <c r="D15" s="56">
        <v>8.9137198555E10</v>
      </c>
      <c r="E15" s="57" t="s">
        <v>135</v>
      </c>
      <c r="F15" s="49" t="s">
        <v>136</v>
      </c>
      <c r="G15" s="65">
        <v>8.0</v>
      </c>
      <c r="H15" s="65">
        <v>10.0</v>
      </c>
      <c r="I15" s="65">
        <v>10.0</v>
      </c>
      <c r="J15" s="45">
        <v>10.0</v>
      </c>
      <c r="K15" s="65">
        <f t="shared" si="1"/>
        <v>38</v>
      </c>
    </row>
    <row r="16">
      <c r="A16" s="8" t="s">
        <v>28</v>
      </c>
      <c r="B16" s="8" t="s">
        <v>105</v>
      </c>
      <c r="C16" s="46">
        <v>8.2036249E7</v>
      </c>
      <c r="D16" s="47" t="s">
        <v>137</v>
      </c>
      <c r="E16" s="52" t="s">
        <v>138</v>
      </c>
      <c r="F16" s="49" t="s">
        <v>139</v>
      </c>
      <c r="G16" s="65">
        <v>10.0</v>
      </c>
      <c r="H16" s="65">
        <v>10.0</v>
      </c>
      <c r="I16" s="65">
        <v>10.0</v>
      </c>
      <c r="J16" s="45">
        <v>10.0</v>
      </c>
      <c r="K16" s="65">
        <f t="shared" si="1"/>
        <v>40</v>
      </c>
    </row>
    <row r="17">
      <c r="A17" s="8" t="s">
        <v>29</v>
      </c>
      <c r="B17" s="8" t="s">
        <v>105</v>
      </c>
      <c r="C17" s="46">
        <v>8.362043E7</v>
      </c>
      <c r="D17" s="58" t="s">
        <v>140</v>
      </c>
      <c r="E17" s="48"/>
      <c r="F17" s="48"/>
      <c r="G17" s="65">
        <v>0.0</v>
      </c>
      <c r="H17" s="65">
        <v>10.0</v>
      </c>
      <c r="I17" s="65">
        <v>10.0</v>
      </c>
      <c r="J17" s="45">
        <v>10.0</v>
      </c>
      <c r="K17" s="65">
        <f t="shared" si="1"/>
        <v>30</v>
      </c>
    </row>
    <row r="18">
      <c r="A18" s="8" t="s">
        <v>30</v>
      </c>
      <c r="B18" s="8" t="s">
        <v>141</v>
      </c>
      <c r="C18" s="46">
        <v>3.36375228E8</v>
      </c>
      <c r="D18" s="47" t="s">
        <v>142</v>
      </c>
      <c r="E18" s="59" t="s">
        <v>143</v>
      </c>
      <c r="F18" s="60" t="s">
        <v>144</v>
      </c>
      <c r="G18" s="65">
        <v>10.0</v>
      </c>
      <c r="H18" s="65">
        <v>10.0</v>
      </c>
      <c r="I18" s="65">
        <v>10.0</v>
      </c>
      <c r="J18" s="45">
        <v>10.0</v>
      </c>
      <c r="K18" s="65">
        <f t="shared" si="1"/>
        <v>40</v>
      </c>
    </row>
    <row r="19">
      <c r="A19" s="8" t="s">
        <v>31</v>
      </c>
      <c r="B19" s="8" t="s">
        <v>145</v>
      </c>
      <c r="C19" s="46">
        <v>4.5193494E7</v>
      </c>
      <c r="D19" s="47" t="s">
        <v>146</v>
      </c>
      <c r="E19" s="48"/>
      <c r="F19" s="48"/>
      <c r="G19" s="65">
        <v>10.0</v>
      </c>
      <c r="H19" s="65">
        <v>10.0</v>
      </c>
      <c r="I19" s="65">
        <v>10.0</v>
      </c>
      <c r="J19" s="45">
        <v>10.0</v>
      </c>
      <c r="K19" s="65">
        <f t="shared" si="1"/>
        <v>40</v>
      </c>
    </row>
    <row r="20">
      <c r="A20" s="8" t="s">
        <v>32</v>
      </c>
      <c r="B20" s="8" t="s">
        <v>105</v>
      </c>
      <c r="C20" s="46">
        <v>3.24020177E8</v>
      </c>
      <c r="D20" s="53" t="s">
        <v>147</v>
      </c>
      <c r="E20" s="52" t="s">
        <v>148</v>
      </c>
      <c r="F20" s="60" t="s">
        <v>149</v>
      </c>
      <c r="G20" s="65">
        <v>10.0</v>
      </c>
      <c r="H20" s="65">
        <v>10.0</v>
      </c>
      <c r="I20" s="45">
        <v>10.0</v>
      </c>
      <c r="J20" s="45">
        <v>10.0</v>
      </c>
      <c r="K20" s="65">
        <f t="shared" si="1"/>
        <v>40</v>
      </c>
    </row>
    <row r="21">
      <c r="A21" s="8" t="s">
        <v>33</v>
      </c>
      <c r="B21" s="8" t="s">
        <v>150</v>
      </c>
      <c r="C21" s="46">
        <v>1.82069407E8</v>
      </c>
      <c r="D21" s="47" t="s">
        <v>151</v>
      </c>
      <c r="E21" s="49" t="s">
        <v>152</v>
      </c>
      <c r="F21" s="49" t="s">
        <v>153</v>
      </c>
      <c r="G21" s="65">
        <v>10.0</v>
      </c>
      <c r="H21" s="65">
        <v>10.0</v>
      </c>
      <c r="I21" s="65">
        <v>10.0</v>
      </c>
      <c r="J21" s="45">
        <v>9.0</v>
      </c>
      <c r="K21" s="65">
        <f t="shared" si="1"/>
        <v>39</v>
      </c>
    </row>
    <row r="22">
      <c r="A22" s="8" t="s">
        <v>34</v>
      </c>
      <c r="B22" s="8" t="s">
        <v>105</v>
      </c>
      <c r="C22" s="46">
        <v>9.3040301E7</v>
      </c>
      <c r="D22" s="47" t="s">
        <v>154</v>
      </c>
      <c r="E22" s="52" t="s">
        <v>155</v>
      </c>
      <c r="F22" s="49" t="s">
        <v>156</v>
      </c>
      <c r="G22" s="65">
        <v>10.0</v>
      </c>
      <c r="H22" s="65">
        <v>9.0</v>
      </c>
      <c r="I22" s="65">
        <v>10.0</v>
      </c>
      <c r="J22" s="45">
        <v>10.0</v>
      </c>
      <c r="K22" s="65">
        <f t="shared" si="1"/>
        <v>39</v>
      </c>
    </row>
    <row r="23">
      <c r="A23" s="8" t="s">
        <v>35</v>
      </c>
      <c r="B23" s="8" t="s">
        <v>105</v>
      </c>
      <c r="C23" s="46">
        <v>4.474972E7</v>
      </c>
      <c r="D23" s="47" t="s">
        <v>157</v>
      </c>
      <c r="E23" s="48"/>
      <c r="F23" s="49" t="s">
        <v>158</v>
      </c>
      <c r="G23" s="65">
        <v>9.0</v>
      </c>
      <c r="H23" s="65">
        <v>10.0</v>
      </c>
      <c r="I23" s="65">
        <v>0.0</v>
      </c>
      <c r="J23" s="45">
        <v>10.0</v>
      </c>
      <c r="K23" s="65">
        <f t="shared" si="1"/>
        <v>29</v>
      </c>
    </row>
    <row r="24">
      <c r="A24" s="8" t="s">
        <v>36</v>
      </c>
      <c r="B24" s="8" t="s">
        <v>105</v>
      </c>
      <c r="C24" s="46">
        <v>6.657065E7</v>
      </c>
      <c r="D24" s="47" t="s">
        <v>159</v>
      </c>
      <c r="E24" s="49" t="s">
        <v>160</v>
      </c>
      <c r="F24" s="49" t="s">
        <v>161</v>
      </c>
      <c r="G24" s="65">
        <v>10.0</v>
      </c>
      <c r="H24" s="65">
        <v>10.0</v>
      </c>
      <c r="I24" s="45">
        <v>10.0</v>
      </c>
      <c r="J24" s="45">
        <v>10.0</v>
      </c>
      <c r="K24" s="65">
        <f t="shared" si="1"/>
        <v>40</v>
      </c>
    </row>
    <row r="25">
      <c r="A25" s="8" t="s">
        <v>37</v>
      </c>
      <c r="B25" s="8" t="s">
        <v>162</v>
      </c>
      <c r="C25" s="46">
        <v>2.71737131E8</v>
      </c>
      <c r="D25" s="47" t="s">
        <v>163</v>
      </c>
      <c r="E25" s="52" t="s">
        <v>164</v>
      </c>
      <c r="F25" s="49" t="s">
        <v>165</v>
      </c>
      <c r="G25" s="65">
        <v>10.0</v>
      </c>
      <c r="H25" s="65">
        <v>10.0</v>
      </c>
      <c r="I25" s="65">
        <v>10.0</v>
      </c>
      <c r="J25" s="45">
        <v>10.0</v>
      </c>
      <c r="K25" s="65">
        <f t="shared" si="1"/>
        <v>40</v>
      </c>
    </row>
    <row r="26">
      <c r="A26" s="8" t="s">
        <v>38</v>
      </c>
      <c r="B26" s="8" t="s">
        <v>105</v>
      </c>
      <c r="C26" s="46">
        <v>3.16074737E8</v>
      </c>
      <c r="D26" s="56" t="s">
        <v>166</v>
      </c>
      <c r="E26" s="48"/>
      <c r="F26" s="48"/>
      <c r="G26" s="45">
        <v>10.0</v>
      </c>
      <c r="H26" s="45">
        <v>10.0</v>
      </c>
      <c r="I26" s="65">
        <v>8.0</v>
      </c>
      <c r="J26" s="45">
        <v>10.0</v>
      </c>
      <c r="K26" s="65">
        <f t="shared" si="1"/>
        <v>38</v>
      </c>
    </row>
    <row r="27">
      <c r="A27" s="16" t="s">
        <v>39</v>
      </c>
      <c r="B27" s="16" t="s">
        <v>167</v>
      </c>
      <c r="C27" s="17">
        <v>1.8564397E7</v>
      </c>
      <c r="D27" s="18" t="s">
        <v>168</v>
      </c>
      <c r="E27" s="19"/>
      <c r="F27" s="19"/>
      <c r="G27" s="63">
        <v>0.0</v>
      </c>
      <c r="H27" s="63">
        <v>0.0</v>
      </c>
      <c r="I27" s="63">
        <v>0.0</v>
      </c>
      <c r="J27" s="63"/>
      <c r="K27" s="63">
        <f t="shared" si="1"/>
        <v>0</v>
      </c>
      <c r="L27" s="63"/>
    </row>
    <row r="28">
      <c r="A28" s="8" t="s">
        <v>40</v>
      </c>
      <c r="B28" s="8" t="s">
        <v>107</v>
      </c>
      <c r="C28" s="46">
        <v>1348679.0</v>
      </c>
      <c r="D28" s="56" t="s">
        <v>169</v>
      </c>
      <c r="E28" s="51" t="s">
        <v>170</v>
      </c>
      <c r="F28" s="48"/>
      <c r="G28" s="45">
        <v>10.0</v>
      </c>
      <c r="H28" s="45">
        <v>10.0</v>
      </c>
      <c r="I28" s="45">
        <v>10.0</v>
      </c>
      <c r="J28" s="45">
        <v>10.0</v>
      </c>
      <c r="K28" s="65">
        <f t="shared" si="1"/>
        <v>40</v>
      </c>
    </row>
    <row r="29">
      <c r="A29" s="8" t="s">
        <v>41</v>
      </c>
      <c r="B29" s="8" t="s">
        <v>171</v>
      </c>
      <c r="C29" s="46">
        <v>9.2481219E7</v>
      </c>
      <c r="D29" s="56" t="s">
        <v>172</v>
      </c>
      <c r="E29" s="52" t="s">
        <v>173</v>
      </c>
      <c r="F29" s="48"/>
      <c r="G29" s="65">
        <v>6.0</v>
      </c>
      <c r="H29" s="65">
        <v>0.0</v>
      </c>
      <c r="I29" s="65">
        <v>0.0</v>
      </c>
      <c r="J29" s="45">
        <v>0.0</v>
      </c>
      <c r="K29" s="65">
        <f t="shared" si="1"/>
        <v>6</v>
      </c>
    </row>
  </sheetData>
  <hyperlinks>
    <hyperlink r:id="rId1" ref="E4"/>
    <hyperlink r:id="rId2" ref="E6"/>
    <hyperlink r:id="rId3" ref="E9"/>
    <hyperlink r:id="rId4" ref="E13"/>
    <hyperlink r:id="rId5" ref="E15"/>
    <hyperlink r:id="rId6" ref="E16"/>
    <hyperlink r:id="rId7" ref="E20"/>
    <hyperlink r:id="rId8" ref="E22"/>
    <hyperlink r:id="rId9" ref="E25"/>
    <hyperlink r:id="rId10" ref="E28"/>
    <hyperlink r:id="rId11" ref="E29"/>
  </hyperlinks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4.43" defaultRowHeight="15.75"/>
  <cols>
    <col customWidth="1" min="1" max="1" width="36.0"/>
    <col hidden="1" min="2" max="2" width="14.43"/>
    <col customWidth="1" hidden="1" min="3" max="3" width="22.57"/>
    <col customWidth="1" hidden="1" min="4" max="4" width="37.86"/>
    <col customWidth="1" hidden="1" min="5" max="5" width="23.29"/>
    <col customWidth="1" min="7" max="7" width="13.57"/>
    <col customWidth="1" min="8" max="8" width="17.0"/>
    <col customWidth="1" min="11" max="11" width="14.0"/>
  </cols>
  <sheetData>
    <row r="1">
      <c r="A1" s="76"/>
      <c r="B1" s="76"/>
      <c r="C1" s="76"/>
      <c r="D1" s="76"/>
      <c r="E1" s="76"/>
      <c r="F1" s="77" t="s">
        <v>202</v>
      </c>
      <c r="G1" s="78"/>
      <c r="H1" s="77" t="s">
        <v>203</v>
      </c>
      <c r="I1" s="78"/>
      <c r="J1" s="77" t="s">
        <v>204</v>
      </c>
      <c r="K1" s="78"/>
      <c r="L1" s="77" t="s">
        <v>205</v>
      </c>
      <c r="M1" s="78"/>
      <c r="N1" s="77" t="s">
        <v>206</v>
      </c>
      <c r="O1" s="78"/>
      <c r="P1" s="79"/>
    </row>
    <row r="2">
      <c r="A2" s="76" t="s">
        <v>0</v>
      </c>
      <c r="B2" s="76" t="s">
        <v>1</v>
      </c>
      <c r="C2" s="76" t="s">
        <v>72</v>
      </c>
      <c r="D2" s="76" t="s">
        <v>73</v>
      </c>
      <c r="E2" s="76" t="s">
        <v>74</v>
      </c>
      <c r="F2" s="80" t="s">
        <v>2</v>
      </c>
      <c r="G2" s="80" t="s">
        <v>207</v>
      </c>
      <c r="H2" s="80" t="s">
        <v>2</v>
      </c>
      <c r="I2" s="80" t="s">
        <v>207</v>
      </c>
      <c r="J2" s="80" t="s">
        <v>2</v>
      </c>
      <c r="K2" s="80" t="s">
        <v>208</v>
      </c>
      <c r="L2" s="80" t="s">
        <v>207</v>
      </c>
      <c r="M2" s="81" t="s">
        <v>209</v>
      </c>
      <c r="N2" s="80" t="s">
        <v>207</v>
      </c>
      <c r="O2" s="80" t="s">
        <v>208</v>
      </c>
      <c r="P2" s="79" t="s">
        <v>210</v>
      </c>
    </row>
    <row r="3">
      <c r="A3" s="8" t="s">
        <v>14</v>
      </c>
      <c r="B3" s="46">
        <v>6.0726852E7</v>
      </c>
      <c r="C3" s="47" t="s">
        <v>99</v>
      </c>
      <c r="D3" s="48"/>
      <c r="E3" s="48"/>
      <c r="F3" s="65">
        <f>IFERROR(__xludf.DUMMYFUNCTION("IMPORTRANGE(""https://docs.google.com/spreadsheets/d/1uepoD8tR5u6a4-_hLCaOSfGW0dBwvFkwoeATTK1Wdls/edit#gid=108033100"", ""Python!G2:H29"")"),126.25)</f>
        <v>126.25</v>
      </c>
      <c r="G3" s="65">
        <f>IFERROR(__xludf.DUMMYFUNCTION("""COMPUTED_VALUE"""),404.0)</f>
        <v>404</v>
      </c>
      <c r="H3" s="65">
        <f>IFERROR(__xludf.DUMMYFUNCTION("IMPORTRANGE(""https://docs.google.com/spreadsheets/d/1uepoD8tR5u6a4-_hLCaOSfGW0dBwvFkwoeATTK1Wdls/edit#gid=1627214222"", ""Статистика и R!I3:I30"")"),129.79274611398964)</f>
        <v>129.7927461</v>
      </c>
      <c r="I3" s="65">
        <f>IFERROR(__xludf.DUMMYFUNCTION("IMPORTRANGE(""https://docs.google.com/spreadsheets/d/1uepoD8tR5u6a4-_hLCaOSfGW0dBwvFkwoeATTK1Wdls/edit#gid=1627214222"", ""Статистика и R!G3:G30"")"),501.0)</f>
        <v>501</v>
      </c>
      <c r="J3" s="82">
        <f>IFERROR(__xludf.DUMMYFUNCTION("IMPORTRANGE(""https://docs.google.com/spreadsheets/d/1uepoD8tR5u6a4-_hLCaOSfGW0dBwvFkwoeATTK1Wdls/edit#gid=0"", ""Дискретная математика!C2:D29"")"),0.9912280701754386)</f>
        <v>0.9912280702</v>
      </c>
      <c r="K3" s="83" t="str">
        <f>IFERROR(__xludf.DUMMYFUNCTION("""COMPUTED_VALUE"""),"5")</f>
        <v>5</v>
      </c>
      <c r="L3" s="65">
        <v>40.0</v>
      </c>
      <c r="M3" s="84" t="s">
        <v>209</v>
      </c>
      <c r="N3" s="65">
        <f>IFERROR(__xludf.DUMMYFUNCTION("IMPORTRANGE(""https://docs.google.com/spreadsheets/d/1uepoD8tR5u6a4-_hLCaOSfGW0dBwvFkwoeATTK1Wdls/edit#gid=1980007611"", ""Linux!G2:H29"")"),32.0)</f>
        <v>32</v>
      </c>
      <c r="O3" s="65">
        <f>IFERROR(__xludf.DUMMYFUNCTION("""COMPUTED_VALUE"""),5.0)</f>
        <v>5</v>
      </c>
      <c r="P3" s="65">
        <f t="shared" ref="P3:P30" si="1">(G3/320+I3/386+J3/1+L3/40+N3/32)/5*100</f>
        <v>111.0331106</v>
      </c>
    </row>
    <row r="4">
      <c r="A4" s="8" t="s">
        <v>15</v>
      </c>
      <c r="B4" s="46">
        <v>3.0641265E7</v>
      </c>
      <c r="C4" s="47" t="s">
        <v>101</v>
      </c>
      <c r="D4" s="48"/>
      <c r="E4" s="48"/>
      <c r="F4" s="65">
        <f>IFERROR(__xludf.DUMMYFUNCTION("""COMPUTED_VALUE"""),73.4375)</f>
        <v>73.4375</v>
      </c>
      <c r="G4" s="65">
        <f>IFERROR(__xludf.DUMMYFUNCTION("""COMPUTED_VALUE"""),235.0)</f>
        <v>235</v>
      </c>
      <c r="H4" s="65">
        <f>IFERROR(__xludf.DUMMYFUNCTION("""COMPUTED_VALUE"""),95.72538860103627)</f>
        <v>95.7253886</v>
      </c>
      <c r="I4" s="65">
        <f>IFERROR(__xludf.DUMMYFUNCTION("""COMPUTED_VALUE"""),369.5)</f>
        <v>369.5</v>
      </c>
      <c r="J4" s="82">
        <f>IFERROR(__xludf.DUMMYFUNCTION("""COMPUTED_VALUE"""),0.6403508771929824)</f>
        <v>0.6403508772</v>
      </c>
      <c r="K4" s="83" t="str">
        <f>IFERROR(__xludf.DUMMYFUNCTION("""COMPUTED_VALUE"""),"3")</f>
        <v>3</v>
      </c>
      <c r="L4" s="65">
        <v>40.0</v>
      </c>
      <c r="M4" s="84" t="s">
        <v>209</v>
      </c>
      <c r="N4" s="65">
        <f>IFERROR(__xludf.DUMMYFUNCTION("""COMPUTED_VALUE"""),32.0)</f>
        <v>32</v>
      </c>
      <c r="O4" s="65">
        <f>IFERROR(__xludf.DUMMYFUNCTION("""COMPUTED_VALUE"""),5.0)</f>
        <v>5</v>
      </c>
      <c r="P4" s="65">
        <f t="shared" si="1"/>
        <v>86.63959526</v>
      </c>
    </row>
    <row r="5">
      <c r="A5" s="8" t="s">
        <v>16</v>
      </c>
      <c r="B5" s="46">
        <v>9.087841E7</v>
      </c>
      <c r="C5" s="47" t="s">
        <v>102</v>
      </c>
      <c r="D5" s="51" t="s">
        <v>103</v>
      </c>
      <c r="E5" s="45" t="s">
        <v>104</v>
      </c>
      <c r="F5" s="65">
        <f>IFERROR(__xludf.DUMMYFUNCTION("""COMPUTED_VALUE"""),89.9375)</f>
        <v>89.9375</v>
      </c>
      <c r="G5" s="65">
        <f>IFERROR(__xludf.DUMMYFUNCTION("""COMPUTED_VALUE"""),287.8)</f>
        <v>287.8</v>
      </c>
      <c r="H5" s="65">
        <f>IFERROR(__xludf.DUMMYFUNCTION("""COMPUTED_VALUE"""),112.30569948186529)</f>
        <v>112.3056995</v>
      </c>
      <c r="I5" s="65">
        <f>IFERROR(__xludf.DUMMYFUNCTION("""COMPUTED_VALUE"""),433.5)</f>
        <v>433.5</v>
      </c>
      <c r="J5" s="82">
        <f>IFERROR(__xludf.DUMMYFUNCTION("""COMPUTED_VALUE"""),0.8333333333333334)</f>
        <v>0.8333333333</v>
      </c>
      <c r="K5" s="83" t="str">
        <f>IFERROR(__xludf.DUMMYFUNCTION("""COMPUTED_VALUE"""),"4")</f>
        <v>4</v>
      </c>
      <c r="L5" s="65">
        <v>40.0</v>
      </c>
      <c r="M5" s="84" t="s">
        <v>209</v>
      </c>
      <c r="N5" s="65">
        <f>IFERROR(__xludf.DUMMYFUNCTION("""COMPUTED_VALUE"""),32.0)</f>
        <v>32</v>
      </c>
      <c r="O5" s="65">
        <f>IFERROR(__xludf.DUMMYFUNCTION("""COMPUTED_VALUE"""),5.0)</f>
        <v>5</v>
      </c>
      <c r="P5" s="65">
        <f t="shared" si="1"/>
        <v>97.11530656</v>
      </c>
    </row>
    <row r="6">
      <c r="A6" s="8" t="s">
        <v>17</v>
      </c>
      <c r="B6" s="46">
        <v>2.72636E7</v>
      </c>
      <c r="C6" s="47" t="s">
        <v>106</v>
      </c>
      <c r="D6" s="48"/>
      <c r="E6" s="48"/>
      <c r="F6" s="65">
        <f>IFERROR(__xludf.DUMMYFUNCTION("""COMPUTED_VALUE"""),86.34375000000001)</f>
        <v>86.34375</v>
      </c>
      <c r="G6" s="65">
        <f>IFERROR(__xludf.DUMMYFUNCTION("""COMPUTED_VALUE"""),276.3)</f>
        <v>276.3</v>
      </c>
      <c r="H6" s="65">
        <f>IFERROR(__xludf.DUMMYFUNCTION("""COMPUTED_VALUE"""),99.74093264248705)</f>
        <v>99.74093264</v>
      </c>
      <c r="I6" s="65">
        <f>IFERROR(__xludf.DUMMYFUNCTION("""COMPUTED_VALUE"""),385.0)</f>
        <v>385</v>
      </c>
      <c r="J6" s="82">
        <f>IFERROR(__xludf.DUMMYFUNCTION("""COMPUTED_VALUE"""),0.9122807017543859)</f>
        <v>0.9122807018</v>
      </c>
      <c r="K6" s="83" t="str">
        <f>IFERROR(__xludf.DUMMYFUNCTION("""COMPUTED_VALUE"""),"5")</f>
        <v>5</v>
      </c>
      <c r="L6" s="65">
        <v>40.0</v>
      </c>
      <c r="M6" s="84" t="s">
        <v>209</v>
      </c>
      <c r="N6" s="65">
        <f>IFERROR(__xludf.DUMMYFUNCTION("""COMPUTED_VALUE"""),32.0)</f>
        <v>32</v>
      </c>
      <c r="O6" s="65">
        <f>IFERROR(__xludf.DUMMYFUNCTION("""COMPUTED_VALUE"""),5.0)</f>
        <v>5</v>
      </c>
      <c r="P6" s="65">
        <f t="shared" si="1"/>
        <v>95.46255056</v>
      </c>
    </row>
    <row r="7">
      <c r="A7" s="8" t="s">
        <v>18</v>
      </c>
      <c r="B7" s="46">
        <v>1.8411532E7</v>
      </c>
      <c r="C7" s="47" t="s">
        <v>108</v>
      </c>
      <c r="D7" s="52" t="s">
        <v>109</v>
      </c>
      <c r="E7" s="49" t="s">
        <v>110</v>
      </c>
      <c r="F7" s="65">
        <f>IFERROR(__xludf.DUMMYFUNCTION("""COMPUTED_VALUE"""),85.45)</f>
        <v>85.45</v>
      </c>
      <c r="G7" s="65">
        <f>IFERROR(__xludf.DUMMYFUNCTION("""COMPUTED_VALUE"""),273.44)</f>
        <v>273.44</v>
      </c>
      <c r="H7" s="65">
        <f>IFERROR(__xludf.DUMMYFUNCTION("""COMPUTED_VALUE"""),109.06735751295338)</f>
        <v>109.0673575</v>
      </c>
      <c r="I7" s="65">
        <f>IFERROR(__xludf.DUMMYFUNCTION("""COMPUTED_VALUE"""),421.0)</f>
        <v>421</v>
      </c>
      <c r="J7" s="82">
        <f>IFERROR(__xludf.DUMMYFUNCTION("""COMPUTED_VALUE"""),0.6842105263157895)</f>
        <v>0.6842105263</v>
      </c>
      <c r="K7" s="83" t="str">
        <f>IFERROR(__xludf.DUMMYFUNCTION("""COMPUTED_VALUE"""),"3")</f>
        <v>3</v>
      </c>
      <c r="L7" s="65">
        <v>40.0</v>
      </c>
      <c r="M7" s="84" t="s">
        <v>209</v>
      </c>
      <c r="N7" s="65">
        <f>IFERROR(__xludf.DUMMYFUNCTION("""COMPUTED_VALUE"""),28.0)</f>
        <v>28</v>
      </c>
      <c r="O7" s="65">
        <f>IFERROR(__xludf.DUMMYFUNCTION("""COMPUTED_VALUE"""),5.0)</f>
        <v>5</v>
      </c>
      <c r="P7" s="65">
        <f t="shared" si="1"/>
        <v>90.08768203</v>
      </c>
    </row>
    <row r="8">
      <c r="A8" s="8" t="s">
        <v>19</v>
      </c>
      <c r="B8" s="46">
        <v>3.6594162E7</v>
      </c>
      <c r="C8" s="47" t="s">
        <v>112</v>
      </c>
      <c r="D8" s="48"/>
      <c r="E8" s="48"/>
      <c r="F8" s="65">
        <f>IFERROR(__xludf.DUMMYFUNCTION("""COMPUTED_VALUE"""),84.5125)</f>
        <v>84.5125</v>
      </c>
      <c r="G8" s="65">
        <f>IFERROR(__xludf.DUMMYFUNCTION("""COMPUTED_VALUE"""),270.44)</f>
        <v>270.44</v>
      </c>
      <c r="H8" s="65">
        <f>IFERROR(__xludf.DUMMYFUNCTION("""COMPUTED_VALUE"""),97.53886010362694)</f>
        <v>97.5388601</v>
      </c>
      <c r="I8" s="65">
        <f>IFERROR(__xludf.DUMMYFUNCTION("""COMPUTED_VALUE"""),376.5)</f>
        <v>376.5</v>
      </c>
      <c r="J8" s="82">
        <f>IFERROR(__xludf.DUMMYFUNCTION("""COMPUTED_VALUE"""),0.7543859649122807)</f>
        <v>0.7543859649</v>
      </c>
      <c r="K8" s="83" t="str">
        <f>IFERROR(__xludf.DUMMYFUNCTION("""COMPUTED_VALUE"""),"4")</f>
        <v>4</v>
      </c>
      <c r="L8" s="45">
        <v>40.0</v>
      </c>
      <c r="M8" s="84" t="s">
        <v>209</v>
      </c>
      <c r="N8" s="65">
        <f>IFERROR(__xludf.DUMMYFUNCTION("""COMPUTED_VALUE"""),29.0)</f>
        <v>29</v>
      </c>
      <c r="O8" s="65">
        <f>IFERROR(__xludf.DUMMYFUNCTION("""COMPUTED_VALUE"""),5.0)</f>
        <v>5</v>
      </c>
      <c r="P8" s="65">
        <f t="shared" si="1"/>
        <v>89.62299132</v>
      </c>
    </row>
    <row r="9">
      <c r="A9" s="8" t="s">
        <v>20</v>
      </c>
      <c r="B9" s="46">
        <v>6.8775352E7</v>
      </c>
      <c r="C9" s="53" t="s">
        <v>114</v>
      </c>
      <c r="D9" s="48"/>
      <c r="E9" s="48"/>
      <c r="F9" s="65">
        <f>IFERROR(__xludf.DUMMYFUNCTION("""COMPUTED_VALUE"""),72.5)</f>
        <v>72.5</v>
      </c>
      <c r="G9" s="65">
        <f>IFERROR(__xludf.DUMMYFUNCTION("""COMPUTED_VALUE"""),232.0)</f>
        <v>232</v>
      </c>
      <c r="H9" s="65">
        <f>IFERROR(__xludf.DUMMYFUNCTION("""COMPUTED_VALUE"""),104.79274611398964)</f>
        <v>104.7927461</v>
      </c>
      <c r="I9" s="65">
        <f>IFERROR(__xludf.DUMMYFUNCTION("""COMPUTED_VALUE"""),404.5)</f>
        <v>404.5</v>
      </c>
      <c r="J9" s="82">
        <f>IFERROR(__xludf.DUMMYFUNCTION("""COMPUTED_VALUE"""),0.9473684210526315)</f>
        <v>0.9473684211</v>
      </c>
      <c r="K9" s="83" t="str">
        <f>IFERROR(__xludf.DUMMYFUNCTION("""COMPUTED_VALUE"""),"5")</f>
        <v>5</v>
      </c>
      <c r="L9" s="65">
        <v>40.0</v>
      </c>
      <c r="M9" s="84" t="s">
        <v>209</v>
      </c>
      <c r="N9" s="65">
        <f>IFERROR(__xludf.DUMMYFUNCTION("""COMPUTED_VALUE"""),32.0)</f>
        <v>32</v>
      </c>
      <c r="O9" s="65">
        <f>IFERROR(__xludf.DUMMYFUNCTION("""COMPUTED_VALUE"""),5.0)</f>
        <v>5</v>
      </c>
      <c r="P9" s="65">
        <f t="shared" si="1"/>
        <v>94.40591764</v>
      </c>
    </row>
    <row r="10">
      <c r="A10" s="8" t="s">
        <v>21</v>
      </c>
      <c r="B10" s="46">
        <v>4.1797465E7</v>
      </c>
      <c r="C10" s="53" t="s">
        <v>116</v>
      </c>
      <c r="D10" s="54" t="s">
        <v>117</v>
      </c>
      <c r="E10" s="49" t="s">
        <v>118</v>
      </c>
      <c r="F10" s="65">
        <f>IFERROR(__xludf.DUMMYFUNCTION("""COMPUTED_VALUE"""),90.25000000000001)</f>
        <v>90.25</v>
      </c>
      <c r="G10" s="65">
        <f>IFERROR(__xludf.DUMMYFUNCTION("""COMPUTED_VALUE"""),288.8)</f>
        <v>288.8</v>
      </c>
      <c r="H10" s="65">
        <f>IFERROR(__xludf.DUMMYFUNCTION("""COMPUTED_VALUE"""),91.70984455958549)</f>
        <v>91.70984456</v>
      </c>
      <c r="I10" s="65">
        <f>IFERROR(__xludf.DUMMYFUNCTION("""COMPUTED_VALUE"""),354.0)</f>
        <v>354</v>
      </c>
      <c r="J10" s="82">
        <f>IFERROR(__xludf.DUMMYFUNCTION("""COMPUTED_VALUE"""),0.6052631578947368)</f>
        <v>0.6052631579</v>
      </c>
      <c r="K10" s="83" t="str">
        <f>IFERROR(__xludf.DUMMYFUNCTION("""COMPUTED_VALUE"""),"3")</f>
        <v>3</v>
      </c>
      <c r="L10" s="65">
        <v>40.0</v>
      </c>
      <c r="M10" s="84" t="s">
        <v>209</v>
      </c>
      <c r="N10" s="65">
        <f>IFERROR(__xludf.DUMMYFUNCTION("""COMPUTED_VALUE"""),27.0)</f>
        <v>27</v>
      </c>
      <c r="O10" s="65">
        <f>IFERROR(__xludf.DUMMYFUNCTION("""COMPUTED_VALUE"""),5.0)</f>
        <v>5</v>
      </c>
      <c r="P10" s="65">
        <f t="shared" si="1"/>
        <v>85.37223207</v>
      </c>
    </row>
    <row r="11">
      <c r="A11" s="85" t="s">
        <v>22</v>
      </c>
      <c r="B11" s="86">
        <v>1.55306958E8</v>
      </c>
      <c r="C11" s="87" t="s">
        <v>120</v>
      </c>
      <c r="D11" s="88"/>
      <c r="E11" s="88"/>
      <c r="F11" s="63">
        <f>IFERROR(__xludf.DUMMYFUNCTION("""COMPUTED_VALUE"""),64.21875)</f>
        <v>64.21875</v>
      </c>
      <c r="G11" s="63">
        <f>IFERROR(__xludf.DUMMYFUNCTION("""COMPUTED_VALUE"""),205.5)</f>
        <v>205.5</v>
      </c>
      <c r="H11" s="63">
        <f>IFERROR(__xludf.DUMMYFUNCTION("""COMPUTED_VALUE"""),62.17616580310881)</f>
        <v>62.1761658</v>
      </c>
      <c r="I11" s="63">
        <f>IFERROR(__xludf.DUMMYFUNCTION("""COMPUTED_VALUE"""),229.0)</f>
        <v>229</v>
      </c>
      <c r="J11" s="89">
        <f>IFERROR(__xludf.DUMMYFUNCTION("""COMPUTED_VALUE"""),0.6052631578947368)</f>
        <v>0.6052631579</v>
      </c>
      <c r="K11" s="90" t="str">
        <f>IFERROR(__xludf.DUMMYFUNCTION("""COMPUTED_VALUE"""),"3")</f>
        <v>3</v>
      </c>
      <c r="L11" s="91">
        <v>30.0</v>
      </c>
      <c r="M11" s="92"/>
      <c r="N11" s="63">
        <f>IFERROR(__xludf.DUMMYFUNCTION("""COMPUTED_VALUE"""),25.0)</f>
        <v>25</v>
      </c>
      <c r="O11" s="63">
        <f>IFERROR(__xludf.DUMMYFUNCTION("""COMPUTED_VALUE"""),5.0)</f>
        <v>5</v>
      </c>
      <c r="P11" s="63">
        <f t="shared" si="1"/>
        <v>67.43929813</v>
      </c>
    </row>
    <row r="12">
      <c r="A12" s="8" t="s">
        <v>23</v>
      </c>
      <c r="B12" s="46">
        <v>1943508.0</v>
      </c>
      <c r="C12" s="47" t="s">
        <v>121</v>
      </c>
      <c r="D12" s="49" t="s">
        <v>122</v>
      </c>
      <c r="E12" s="49" t="s">
        <v>123</v>
      </c>
      <c r="F12" s="65">
        <f>IFERROR(__xludf.DUMMYFUNCTION("""COMPUTED_VALUE"""),93.125)</f>
        <v>93.125</v>
      </c>
      <c r="G12" s="65">
        <f>IFERROR(__xludf.DUMMYFUNCTION("""COMPUTED_VALUE"""),298.0)</f>
        <v>298</v>
      </c>
      <c r="H12" s="65">
        <f>IFERROR(__xludf.DUMMYFUNCTION("""COMPUTED_VALUE"""),118.9119170984456)</f>
        <v>118.9119171</v>
      </c>
      <c r="I12" s="65">
        <f>IFERROR(__xludf.DUMMYFUNCTION("""COMPUTED_VALUE"""),459.0)</f>
        <v>459</v>
      </c>
      <c r="J12" s="82">
        <f>IFERROR(__xludf.DUMMYFUNCTION("""COMPUTED_VALUE"""),0.8157894736842105)</f>
        <v>0.8157894737</v>
      </c>
      <c r="K12" s="83" t="str">
        <f>IFERROR(__xludf.DUMMYFUNCTION("""COMPUTED_VALUE"""),"4")</f>
        <v>4</v>
      </c>
      <c r="L12" s="65">
        <v>40.0</v>
      </c>
      <c r="M12" s="84" t="s">
        <v>209</v>
      </c>
      <c r="N12" s="65">
        <f>IFERROR(__xludf.DUMMYFUNCTION("""COMPUTED_VALUE"""),28.0)</f>
        <v>28</v>
      </c>
      <c r="O12" s="65">
        <f>IFERROR(__xludf.DUMMYFUNCTION("""COMPUTED_VALUE"""),5.0)</f>
        <v>5</v>
      </c>
      <c r="P12" s="65">
        <f t="shared" si="1"/>
        <v>96.22317289</v>
      </c>
    </row>
    <row r="13">
      <c r="A13" s="8" t="s">
        <v>24</v>
      </c>
      <c r="B13" s="46">
        <v>1.6318756E7</v>
      </c>
      <c r="C13" s="47" t="s">
        <v>125</v>
      </c>
      <c r="D13" s="49" t="s">
        <v>126</v>
      </c>
      <c r="E13" s="49" t="s">
        <v>127</v>
      </c>
      <c r="F13" s="65">
        <f>IFERROR(__xludf.DUMMYFUNCTION("""COMPUTED_VALUE"""),101.5625)</f>
        <v>101.5625</v>
      </c>
      <c r="G13" s="65">
        <f>IFERROR(__xludf.DUMMYFUNCTION("""COMPUTED_VALUE"""),325.0)</f>
        <v>325</v>
      </c>
      <c r="H13" s="65">
        <f>IFERROR(__xludf.DUMMYFUNCTION("""COMPUTED_VALUE"""),126.94300518134716)</f>
        <v>126.9430052</v>
      </c>
      <c r="I13" s="65">
        <f>IFERROR(__xludf.DUMMYFUNCTION("""COMPUTED_VALUE"""),490.0)</f>
        <v>490</v>
      </c>
      <c r="J13" s="82">
        <f>IFERROR(__xludf.DUMMYFUNCTION("""COMPUTED_VALUE"""),0.9385964912280702)</f>
        <v>0.9385964912</v>
      </c>
      <c r="K13" s="83" t="str">
        <f>IFERROR(__xludf.DUMMYFUNCTION("""COMPUTED_VALUE"""),"5")</f>
        <v>5</v>
      </c>
      <c r="L13" s="65">
        <v>40.0</v>
      </c>
      <c r="M13" s="84" t="s">
        <v>209</v>
      </c>
      <c r="N13" s="65">
        <f>IFERROR(__xludf.DUMMYFUNCTION("""COMPUTED_VALUE"""),31.0)</f>
        <v>31</v>
      </c>
      <c r="O13" s="65">
        <f>IFERROR(__xludf.DUMMYFUNCTION("""COMPUTED_VALUE"""),5.0)</f>
        <v>5</v>
      </c>
      <c r="P13" s="65">
        <f t="shared" si="1"/>
        <v>103.8480309</v>
      </c>
    </row>
    <row r="14">
      <c r="A14" s="8" t="s">
        <v>25</v>
      </c>
      <c r="B14" s="46">
        <v>8125628.0</v>
      </c>
      <c r="C14" s="53" t="s">
        <v>129</v>
      </c>
      <c r="D14" s="52" t="s">
        <v>130</v>
      </c>
      <c r="E14" s="49" t="s">
        <v>131</v>
      </c>
      <c r="F14" s="65">
        <f>IFERROR(__xludf.DUMMYFUNCTION("""COMPUTED_VALUE"""),106.5625)</f>
        <v>106.5625</v>
      </c>
      <c r="G14" s="65">
        <f>IFERROR(__xludf.DUMMYFUNCTION("""COMPUTED_VALUE"""),341.0)</f>
        <v>341</v>
      </c>
      <c r="H14" s="65">
        <f>IFERROR(__xludf.DUMMYFUNCTION("""COMPUTED_VALUE"""),101.81347150259069)</f>
        <v>101.8134715</v>
      </c>
      <c r="I14" s="65">
        <f>IFERROR(__xludf.DUMMYFUNCTION("""COMPUTED_VALUE"""),393.0)</f>
        <v>393</v>
      </c>
      <c r="J14" s="82">
        <f>IFERROR(__xludf.DUMMYFUNCTION("""COMPUTED_VALUE"""),0.7543859649122807)</f>
        <v>0.7543859649</v>
      </c>
      <c r="K14" s="83" t="str">
        <f>IFERROR(__xludf.DUMMYFUNCTION("""COMPUTED_VALUE"""),"4")</f>
        <v>4</v>
      </c>
      <c r="L14" s="65">
        <v>40.0</v>
      </c>
      <c r="M14" s="84" t="s">
        <v>209</v>
      </c>
      <c r="N14" s="65">
        <f>IFERROR(__xludf.DUMMYFUNCTION("""COMPUTED_VALUE"""),26.0)</f>
        <v>26</v>
      </c>
      <c r="O14" s="65">
        <f>IFERROR(__xludf.DUMMYFUNCTION("""COMPUTED_VALUE"""),5.0)</f>
        <v>5</v>
      </c>
      <c r="P14" s="65">
        <f t="shared" si="1"/>
        <v>93.0129136</v>
      </c>
    </row>
    <row r="15">
      <c r="A15" s="8" t="s">
        <v>26</v>
      </c>
      <c r="B15" s="46">
        <v>4.2572948E7</v>
      </c>
      <c r="C15" s="53" t="s">
        <v>133</v>
      </c>
      <c r="D15" s="48"/>
      <c r="E15" s="48"/>
      <c r="F15" s="65">
        <f>IFERROR(__xludf.DUMMYFUNCTION("""COMPUTED_VALUE"""),76.6875)</f>
        <v>76.6875</v>
      </c>
      <c r="G15" s="65">
        <f>IFERROR(__xludf.DUMMYFUNCTION("""COMPUTED_VALUE"""),245.4)</f>
        <v>245.4</v>
      </c>
      <c r="H15" s="65">
        <f>IFERROR(__xludf.DUMMYFUNCTION("""COMPUTED_VALUE"""),97.92746113989638)</f>
        <v>97.92746114</v>
      </c>
      <c r="I15" s="65">
        <f>IFERROR(__xludf.DUMMYFUNCTION("""COMPUTED_VALUE"""),378.0)</f>
        <v>378</v>
      </c>
      <c r="J15" s="82">
        <f>IFERROR(__xludf.DUMMYFUNCTION("""COMPUTED_VALUE"""),0.7543859649122807)</f>
        <v>0.7543859649</v>
      </c>
      <c r="K15" s="83" t="str">
        <f>IFERROR(__xludf.DUMMYFUNCTION("""COMPUTED_VALUE"""),"4")</f>
        <v>4</v>
      </c>
      <c r="L15" s="65">
        <v>40.0</v>
      </c>
      <c r="M15" s="84" t="s">
        <v>209</v>
      </c>
      <c r="N15" s="65">
        <f>IFERROR(__xludf.DUMMYFUNCTION("""COMPUTED_VALUE"""),26.0)</f>
        <v>26</v>
      </c>
      <c r="O15" s="65">
        <f>IFERROR(__xludf.DUMMYFUNCTION("""COMPUTED_VALUE"""),5.0)</f>
        <v>5</v>
      </c>
      <c r="P15" s="65">
        <f t="shared" si="1"/>
        <v>86.26071153</v>
      </c>
    </row>
    <row r="16">
      <c r="A16" s="8" t="s">
        <v>27</v>
      </c>
      <c r="B16" s="46">
        <v>3.0527095E7</v>
      </c>
      <c r="C16" s="56">
        <v>8.9137198555E10</v>
      </c>
      <c r="D16" s="57" t="s">
        <v>135</v>
      </c>
      <c r="E16" s="49" t="s">
        <v>136</v>
      </c>
      <c r="F16" s="65">
        <f>IFERROR(__xludf.DUMMYFUNCTION("""COMPUTED_VALUE"""),76.875)</f>
        <v>76.875</v>
      </c>
      <c r="G16" s="65">
        <f>IFERROR(__xludf.DUMMYFUNCTION("""COMPUTED_VALUE"""),246.0)</f>
        <v>246</v>
      </c>
      <c r="H16" s="65">
        <f>IFERROR(__xludf.DUMMYFUNCTION("""COMPUTED_VALUE"""),93.78238341968913)</f>
        <v>93.78238342</v>
      </c>
      <c r="I16" s="65">
        <f>IFERROR(__xludf.DUMMYFUNCTION("""COMPUTED_VALUE"""),362.0)</f>
        <v>362</v>
      </c>
      <c r="J16" s="82">
        <f>IFERROR(__xludf.DUMMYFUNCTION("""COMPUTED_VALUE"""),0.631578947368421)</f>
        <v>0.6315789474</v>
      </c>
      <c r="K16" s="83" t="str">
        <f>IFERROR(__xludf.DUMMYFUNCTION("""COMPUTED_VALUE"""),"3")</f>
        <v>3</v>
      </c>
      <c r="L16" s="65">
        <v>38.0</v>
      </c>
      <c r="M16" s="84" t="s">
        <v>209</v>
      </c>
      <c r="N16" s="65">
        <f>IFERROR(__xludf.DUMMYFUNCTION("""COMPUTED_VALUE"""),24.0)</f>
        <v>24</v>
      </c>
      <c r="O16" s="65">
        <f>IFERROR(__xludf.DUMMYFUNCTION("""COMPUTED_VALUE"""),4.0)</f>
        <v>4</v>
      </c>
      <c r="P16" s="65">
        <f t="shared" si="1"/>
        <v>80.76305563</v>
      </c>
    </row>
    <row r="17">
      <c r="A17" s="8" t="s">
        <v>28</v>
      </c>
      <c r="B17" s="46">
        <v>8.2036249E7</v>
      </c>
      <c r="C17" s="47" t="s">
        <v>137</v>
      </c>
      <c r="D17" s="52" t="s">
        <v>138</v>
      </c>
      <c r="E17" s="49" t="s">
        <v>139</v>
      </c>
      <c r="F17" s="65">
        <f>IFERROR(__xludf.DUMMYFUNCTION("""COMPUTED_VALUE"""),96.25)</f>
        <v>96.25</v>
      </c>
      <c r="G17" s="65">
        <f>IFERROR(__xludf.DUMMYFUNCTION("""COMPUTED_VALUE"""),308.0)</f>
        <v>308</v>
      </c>
      <c r="H17" s="65">
        <f>IFERROR(__xludf.DUMMYFUNCTION("""COMPUTED_VALUE"""),106.47668393782384)</f>
        <v>106.4766839</v>
      </c>
      <c r="I17" s="65">
        <f>IFERROR(__xludf.DUMMYFUNCTION("""COMPUTED_VALUE"""),411.0)</f>
        <v>411</v>
      </c>
      <c r="J17" s="82">
        <f>IFERROR(__xludf.DUMMYFUNCTION("""COMPUTED_VALUE"""),0.9122807017543859)</f>
        <v>0.9122807018</v>
      </c>
      <c r="K17" s="83" t="str">
        <f>IFERROR(__xludf.DUMMYFUNCTION("""COMPUTED_VALUE"""),"5")</f>
        <v>5</v>
      </c>
      <c r="L17" s="65">
        <v>40.0</v>
      </c>
      <c r="M17" s="84" t="s">
        <v>209</v>
      </c>
      <c r="N17" s="65">
        <f>IFERROR(__xludf.DUMMYFUNCTION("""COMPUTED_VALUE"""),32.0)</f>
        <v>32</v>
      </c>
      <c r="O17" s="65">
        <f>IFERROR(__xludf.DUMMYFUNCTION("""COMPUTED_VALUE"""),5.0)</f>
        <v>5</v>
      </c>
      <c r="P17" s="65">
        <f t="shared" si="1"/>
        <v>98.79095082</v>
      </c>
    </row>
    <row r="18">
      <c r="A18" s="8" t="s">
        <v>29</v>
      </c>
      <c r="B18" s="46">
        <v>8.362043E7</v>
      </c>
      <c r="C18" s="58" t="s">
        <v>140</v>
      </c>
      <c r="D18" s="48"/>
      <c r="E18" s="48"/>
      <c r="F18" s="65">
        <f>IFERROR(__xludf.DUMMYFUNCTION("""COMPUTED_VALUE"""),86.25)</f>
        <v>86.25</v>
      </c>
      <c r="G18" s="65">
        <f>IFERROR(__xludf.DUMMYFUNCTION("""COMPUTED_VALUE"""),276.0)</f>
        <v>276</v>
      </c>
      <c r="H18" s="65">
        <f>IFERROR(__xludf.DUMMYFUNCTION("""COMPUTED_VALUE"""),99.35233160621762)</f>
        <v>99.35233161</v>
      </c>
      <c r="I18" s="65">
        <f>IFERROR(__xludf.DUMMYFUNCTION("""COMPUTED_VALUE"""),383.5)</f>
        <v>383.5</v>
      </c>
      <c r="J18" s="82">
        <f>IFERROR(__xludf.DUMMYFUNCTION("""COMPUTED_VALUE"""),0.7631578947368421)</f>
        <v>0.7631578947</v>
      </c>
      <c r="K18" s="83" t="str">
        <f>IFERROR(__xludf.DUMMYFUNCTION("""COMPUTED_VALUE"""),"4")</f>
        <v>4</v>
      </c>
      <c r="L18" s="65">
        <v>30.0</v>
      </c>
      <c r="M18" s="84" t="s">
        <v>209</v>
      </c>
      <c r="N18" s="65">
        <f>IFERROR(__xludf.DUMMYFUNCTION("""COMPUTED_VALUE"""),28.0)</f>
        <v>28</v>
      </c>
      <c r="O18" s="65">
        <f>IFERROR(__xludf.DUMMYFUNCTION("""COMPUTED_VALUE"""),5.0)</f>
        <v>5</v>
      </c>
      <c r="P18" s="65">
        <f t="shared" si="1"/>
        <v>84.88362422</v>
      </c>
    </row>
    <row r="19">
      <c r="A19" s="8" t="s">
        <v>30</v>
      </c>
      <c r="B19" s="46">
        <v>3.36375228E8</v>
      </c>
      <c r="C19" s="47" t="s">
        <v>142</v>
      </c>
      <c r="D19" s="59" t="s">
        <v>143</v>
      </c>
      <c r="E19" s="60" t="s">
        <v>144</v>
      </c>
      <c r="F19" s="65">
        <f>IFERROR(__xludf.DUMMYFUNCTION("""COMPUTED_VALUE"""),93.875)</f>
        <v>93.875</v>
      </c>
      <c r="G19" s="65">
        <f>IFERROR(__xludf.DUMMYFUNCTION("""COMPUTED_VALUE"""),300.4)</f>
        <v>300.4</v>
      </c>
      <c r="H19" s="65">
        <f>IFERROR(__xludf.DUMMYFUNCTION("""COMPUTED_VALUE"""),119.43005181347151)</f>
        <v>119.4300518</v>
      </c>
      <c r="I19" s="65">
        <f>IFERROR(__xludf.DUMMYFUNCTION("""COMPUTED_VALUE"""),461.0)</f>
        <v>461</v>
      </c>
      <c r="J19" s="82">
        <f>IFERROR(__xludf.DUMMYFUNCTION("""COMPUTED_VALUE"""),0.8947368421052632)</f>
        <v>0.8947368421</v>
      </c>
      <c r="K19" s="83" t="str">
        <f>IFERROR(__xludf.DUMMYFUNCTION("""COMPUTED_VALUE"""),"4")</f>
        <v>4</v>
      </c>
      <c r="L19" s="65">
        <v>40.0</v>
      </c>
      <c r="M19" s="84" t="s">
        <v>209</v>
      </c>
      <c r="N19" s="65">
        <f>IFERROR(__xludf.DUMMYFUNCTION("""COMPUTED_VALUE"""),29.0)</f>
        <v>29</v>
      </c>
      <c r="O19" s="65">
        <f>IFERROR(__xludf.DUMMYFUNCTION("""COMPUTED_VALUE"""),5.0)</f>
        <v>5</v>
      </c>
      <c r="P19" s="65">
        <f t="shared" si="1"/>
        <v>98.6807472</v>
      </c>
    </row>
    <row r="20">
      <c r="A20" s="8" t="s">
        <v>31</v>
      </c>
      <c r="B20" s="46">
        <v>4.5193494E7</v>
      </c>
      <c r="C20" s="47" t="s">
        <v>146</v>
      </c>
      <c r="D20" s="48"/>
      <c r="E20" s="48"/>
      <c r="F20" s="65">
        <f>IFERROR(__xludf.DUMMYFUNCTION("""COMPUTED_VALUE"""),91.25)</f>
        <v>91.25</v>
      </c>
      <c r="G20" s="65">
        <f>IFERROR(__xludf.DUMMYFUNCTION("""COMPUTED_VALUE"""),292.0)</f>
        <v>292</v>
      </c>
      <c r="H20" s="65">
        <f>IFERROR(__xludf.DUMMYFUNCTION("""COMPUTED_VALUE"""),119.43005181347151)</f>
        <v>119.4300518</v>
      </c>
      <c r="I20" s="65">
        <f>IFERROR(__xludf.DUMMYFUNCTION("""COMPUTED_VALUE"""),461.0)</f>
        <v>461</v>
      </c>
      <c r="J20" s="82">
        <f>IFERROR(__xludf.DUMMYFUNCTION("""COMPUTED_VALUE"""),0.9035087719298246)</f>
        <v>0.9035087719</v>
      </c>
      <c r="K20" s="83" t="str">
        <f>IFERROR(__xludf.DUMMYFUNCTION("""COMPUTED_VALUE"""),"5")</f>
        <v>5</v>
      </c>
      <c r="L20" s="65">
        <v>40.0</v>
      </c>
      <c r="M20" s="84" t="s">
        <v>209</v>
      </c>
      <c r="N20" s="65">
        <f>IFERROR(__xludf.DUMMYFUNCTION("""COMPUTED_VALUE"""),32.0)</f>
        <v>32</v>
      </c>
      <c r="O20" s="65">
        <f>IFERROR(__xludf.DUMMYFUNCTION("""COMPUTED_VALUE"""),5.0)</f>
        <v>5</v>
      </c>
      <c r="P20" s="65">
        <f t="shared" si="1"/>
        <v>100.2061858</v>
      </c>
    </row>
    <row r="21">
      <c r="A21" s="8" t="s">
        <v>32</v>
      </c>
      <c r="B21" s="46">
        <v>3.24020177E8</v>
      </c>
      <c r="C21" s="53" t="s">
        <v>147</v>
      </c>
      <c r="D21" s="52" t="s">
        <v>148</v>
      </c>
      <c r="E21" s="60" t="s">
        <v>149</v>
      </c>
      <c r="F21" s="65">
        <f>IFERROR(__xludf.DUMMYFUNCTION("""COMPUTED_VALUE"""),87.5)</f>
        <v>87.5</v>
      </c>
      <c r="G21" s="65">
        <f>IFERROR(__xludf.DUMMYFUNCTION("""COMPUTED_VALUE"""),280.0)</f>
        <v>280</v>
      </c>
      <c r="H21" s="65">
        <f>IFERROR(__xludf.DUMMYFUNCTION("""COMPUTED_VALUE"""),109.06735751295338)</f>
        <v>109.0673575</v>
      </c>
      <c r="I21" s="65">
        <f>IFERROR(__xludf.DUMMYFUNCTION("""COMPUTED_VALUE"""),421.0)</f>
        <v>421</v>
      </c>
      <c r="J21" s="82">
        <f>IFERROR(__xludf.DUMMYFUNCTION("""COMPUTED_VALUE"""),0.8596491228070176)</f>
        <v>0.8596491228</v>
      </c>
      <c r="K21" s="83" t="str">
        <f>IFERROR(__xludf.DUMMYFUNCTION("""COMPUTED_VALUE"""),"4")</f>
        <v>4</v>
      </c>
      <c r="L21" s="65">
        <v>40.0</v>
      </c>
      <c r="M21" s="84" t="s">
        <v>209</v>
      </c>
      <c r="N21" s="65">
        <f>IFERROR(__xludf.DUMMYFUNCTION("""COMPUTED_VALUE"""),29.0)</f>
        <v>29</v>
      </c>
      <c r="O21" s="65">
        <f>IFERROR(__xludf.DUMMYFUNCTION("""COMPUTED_VALUE"""),5.0)</f>
        <v>5</v>
      </c>
      <c r="P21" s="65">
        <f t="shared" si="1"/>
        <v>94.63145396</v>
      </c>
    </row>
    <row r="22">
      <c r="A22" s="8" t="s">
        <v>33</v>
      </c>
      <c r="B22" s="46">
        <v>1.82069407E8</v>
      </c>
      <c r="C22" s="47" t="s">
        <v>151</v>
      </c>
      <c r="D22" s="49" t="s">
        <v>152</v>
      </c>
      <c r="E22" s="49" t="s">
        <v>153</v>
      </c>
      <c r="F22" s="65">
        <f>IFERROR(__xludf.DUMMYFUNCTION("""COMPUTED_VALUE"""),112.5)</f>
        <v>112.5</v>
      </c>
      <c r="G22" s="65">
        <f>IFERROR(__xludf.DUMMYFUNCTION("""COMPUTED_VALUE"""),360.0)</f>
        <v>360</v>
      </c>
      <c r="H22" s="65">
        <f>IFERROR(__xludf.DUMMYFUNCTION("""COMPUTED_VALUE"""),119.17098445595855)</f>
        <v>119.1709845</v>
      </c>
      <c r="I22" s="65">
        <f>IFERROR(__xludf.DUMMYFUNCTION("""COMPUTED_VALUE"""),460.0)</f>
        <v>460</v>
      </c>
      <c r="J22" s="82">
        <f>IFERROR(__xludf.DUMMYFUNCTION("""COMPUTED_VALUE"""),0.9035087719298246)</f>
        <v>0.9035087719</v>
      </c>
      <c r="K22" s="83" t="str">
        <f>IFERROR(__xludf.DUMMYFUNCTION("""COMPUTED_VALUE"""),"5")</f>
        <v>5</v>
      </c>
      <c r="L22" s="65">
        <v>39.0</v>
      </c>
      <c r="M22" s="84" t="s">
        <v>209</v>
      </c>
      <c r="N22" s="65">
        <f>IFERROR(__xludf.DUMMYFUNCTION("""COMPUTED_VALUE"""),30.0)</f>
        <v>30</v>
      </c>
      <c r="O22" s="65">
        <f>IFERROR(__xludf.DUMMYFUNCTION("""COMPUTED_VALUE"""),5.0)</f>
        <v>5</v>
      </c>
      <c r="P22" s="65">
        <f t="shared" si="1"/>
        <v>102.6543723</v>
      </c>
    </row>
    <row r="23">
      <c r="A23" s="8" t="s">
        <v>34</v>
      </c>
      <c r="B23" s="46">
        <v>9.3040301E7</v>
      </c>
      <c r="C23" s="47" t="s">
        <v>154</v>
      </c>
      <c r="D23" s="52" t="s">
        <v>155</v>
      </c>
      <c r="E23" s="49" t="s">
        <v>156</v>
      </c>
      <c r="F23" s="65">
        <f>IFERROR(__xludf.DUMMYFUNCTION("""COMPUTED_VALUE"""),70.90625)</f>
        <v>70.90625</v>
      </c>
      <c r="G23" s="65">
        <f>IFERROR(__xludf.DUMMYFUNCTION("""COMPUTED_VALUE"""),226.9)</f>
        <v>226.9</v>
      </c>
      <c r="H23" s="65">
        <f>IFERROR(__xludf.DUMMYFUNCTION("""COMPUTED_VALUE"""),77.33160621761658)</f>
        <v>77.33160622</v>
      </c>
      <c r="I23" s="65">
        <f>IFERROR(__xludf.DUMMYFUNCTION("""COMPUTED_VALUE"""),298.5)</f>
        <v>298.5</v>
      </c>
      <c r="J23" s="82">
        <f>IFERROR(__xludf.DUMMYFUNCTION("""COMPUTED_VALUE"""),0.6140350877192983)</f>
        <v>0.6140350877</v>
      </c>
      <c r="K23" s="83" t="str">
        <f>IFERROR(__xludf.DUMMYFUNCTION("""COMPUTED_VALUE"""),"3")</f>
        <v>3</v>
      </c>
      <c r="L23" s="65">
        <v>39.0</v>
      </c>
      <c r="M23" s="84" t="s">
        <v>209</v>
      </c>
      <c r="N23" s="65">
        <f>IFERROR(__xludf.DUMMYFUNCTION("""COMPUTED_VALUE"""),25.0)</f>
        <v>25</v>
      </c>
      <c r="O23" s="65">
        <f>IFERROR(__xludf.DUMMYFUNCTION("""COMPUTED_VALUE"""),5.0)</f>
        <v>5</v>
      </c>
      <c r="P23" s="65">
        <f t="shared" si="1"/>
        <v>77.053273</v>
      </c>
    </row>
    <row r="24">
      <c r="A24" s="8" t="s">
        <v>35</v>
      </c>
      <c r="B24" s="46">
        <v>4.474972E7</v>
      </c>
      <c r="C24" s="47" t="s">
        <v>157</v>
      </c>
      <c r="D24" s="48"/>
      <c r="E24" s="49" t="s">
        <v>158</v>
      </c>
      <c r="F24" s="65">
        <f>IFERROR(__xludf.DUMMYFUNCTION("""COMPUTED_VALUE"""),97.8125)</f>
        <v>97.8125</v>
      </c>
      <c r="G24" s="65">
        <f>IFERROR(__xludf.DUMMYFUNCTION("""COMPUTED_VALUE"""),313.0)</f>
        <v>313</v>
      </c>
      <c r="H24" s="65">
        <f>IFERROR(__xludf.DUMMYFUNCTION("""COMPUTED_VALUE"""),110.62176165803108)</f>
        <v>110.6217617</v>
      </c>
      <c r="I24" s="65">
        <f>IFERROR(__xludf.DUMMYFUNCTION("""COMPUTED_VALUE"""),427.0)</f>
        <v>427</v>
      </c>
      <c r="J24" s="82">
        <f>IFERROR(__xludf.DUMMYFUNCTION("""COMPUTED_VALUE"""),0.9473684210526315)</f>
        <v>0.9473684211</v>
      </c>
      <c r="K24" s="83" t="str">
        <f>IFERROR(__xludf.DUMMYFUNCTION("""COMPUTED_VALUE"""),"5")</f>
        <v>5</v>
      </c>
      <c r="L24" s="65">
        <v>29.0</v>
      </c>
      <c r="M24" s="84" t="s">
        <v>209</v>
      </c>
      <c r="N24" s="65">
        <f>IFERROR(__xludf.DUMMYFUNCTION("""COMPUTED_VALUE"""),32.0)</f>
        <v>32</v>
      </c>
      <c r="O24" s="65">
        <f>IFERROR(__xludf.DUMMYFUNCTION("""COMPUTED_VALUE"""),5.0)</f>
        <v>5</v>
      </c>
      <c r="P24" s="65">
        <f t="shared" si="1"/>
        <v>95.13422075</v>
      </c>
    </row>
    <row r="25">
      <c r="A25" s="8" t="s">
        <v>36</v>
      </c>
      <c r="B25" s="46">
        <v>6.657065E7</v>
      </c>
      <c r="C25" s="47" t="s">
        <v>159</v>
      </c>
      <c r="D25" s="49" t="s">
        <v>160</v>
      </c>
      <c r="E25" s="49" t="s">
        <v>161</v>
      </c>
      <c r="F25" s="65">
        <f>IFERROR(__xludf.DUMMYFUNCTION("""COMPUTED_VALUE"""),100.3125)</f>
        <v>100.3125</v>
      </c>
      <c r="G25" s="65">
        <f>IFERROR(__xludf.DUMMYFUNCTION("""COMPUTED_VALUE"""),321.0)</f>
        <v>321</v>
      </c>
      <c r="H25" s="65">
        <f>IFERROR(__xludf.DUMMYFUNCTION("""COMPUTED_VALUE"""),114.37823834196892)</f>
        <v>114.3782383</v>
      </c>
      <c r="I25" s="65">
        <f>IFERROR(__xludf.DUMMYFUNCTION("""COMPUTED_VALUE"""),441.5)</f>
        <v>441.5</v>
      </c>
      <c r="J25" s="82">
        <f>IFERROR(__xludf.DUMMYFUNCTION("""COMPUTED_VALUE"""),0.9122807017543859)</f>
        <v>0.9122807018</v>
      </c>
      <c r="K25" s="83" t="str">
        <f>IFERROR(__xludf.DUMMYFUNCTION("""COMPUTED_VALUE"""),"5")</f>
        <v>5</v>
      </c>
      <c r="L25" s="65">
        <v>40.0</v>
      </c>
      <c r="M25" s="84" t="s">
        <v>209</v>
      </c>
      <c r="N25" s="65">
        <f>IFERROR(__xludf.DUMMYFUNCTION("""COMPUTED_VALUE"""),32.0)</f>
        <v>32</v>
      </c>
      <c r="O25" s="65">
        <f>IFERROR(__xludf.DUMMYFUNCTION("""COMPUTED_VALUE"""),5.0)</f>
        <v>5</v>
      </c>
      <c r="P25" s="65">
        <f t="shared" si="1"/>
        <v>101.1837617</v>
      </c>
    </row>
    <row r="26">
      <c r="A26" s="8" t="s">
        <v>37</v>
      </c>
      <c r="B26" s="46">
        <v>2.71737131E8</v>
      </c>
      <c r="C26" s="47" t="s">
        <v>163</v>
      </c>
      <c r="D26" s="52" t="s">
        <v>164</v>
      </c>
      <c r="E26" s="49" t="s">
        <v>165</v>
      </c>
      <c r="F26" s="65">
        <f>IFERROR(__xludf.DUMMYFUNCTION("""COMPUTED_VALUE"""),133.125)</f>
        <v>133.125</v>
      </c>
      <c r="G26" s="65">
        <f>IFERROR(__xludf.DUMMYFUNCTION("""COMPUTED_VALUE"""),426.0)</f>
        <v>426</v>
      </c>
      <c r="H26" s="65">
        <f>IFERROR(__xludf.DUMMYFUNCTION("""COMPUTED_VALUE"""),132.64248704663214)</f>
        <v>132.642487</v>
      </c>
      <c r="I26" s="65">
        <f>IFERROR(__xludf.DUMMYFUNCTION("""COMPUTED_VALUE"""),512.0)</f>
        <v>512</v>
      </c>
      <c r="J26" s="82">
        <f>IFERROR(__xludf.DUMMYFUNCTION("""COMPUTED_VALUE"""),1.0)</f>
        <v>1</v>
      </c>
      <c r="K26" s="83" t="str">
        <f>IFERROR(__xludf.DUMMYFUNCTION("""COMPUTED_VALUE"""),"5")</f>
        <v>5</v>
      </c>
      <c r="L26" s="65">
        <v>40.0</v>
      </c>
      <c r="M26" s="84" t="s">
        <v>209</v>
      </c>
      <c r="N26" s="65">
        <f>IFERROR(__xludf.DUMMYFUNCTION("""COMPUTED_VALUE"""),32.0)</f>
        <v>32</v>
      </c>
      <c r="O26" s="65">
        <f>IFERROR(__xludf.DUMMYFUNCTION("""COMPUTED_VALUE"""),5.0)</f>
        <v>5</v>
      </c>
      <c r="P26" s="65">
        <f t="shared" si="1"/>
        <v>113.1534974</v>
      </c>
    </row>
    <row r="27">
      <c r="A27" s="8" t="s">
        <v>38</v>
      </c>
      <c r="B27" s="46">
        <v>3.16074737E8</v>
      </c>
      <c r="C27" s="56" t="s">
        <v>166</v>
      </c>
      <c r="D27" s="48"/>
      <c r="E27" s="48"/>
      <c r="F27" s="65">
        <f>IFERROR(__xludf.DUMMYFUNCTION("""COMPUTED_VALUE"""),79.5625)</f>
        <v>79.5625</v>
      </c>
      <c r="G27" s="65">
        <f>IFERROR(__xludf.DUMMYFUNCTION("""COMPUTED_VALUE"""),254.6)</f>
        <v>254.6</v>
      </c>
      <c r="H27" s="65">
        <f>IFERROR(__xludf.DUMMYFUNCTION("""COMPUTED_VALUE"""),89.89637305699482)</f>
        <v>89.89637306</v>
      </c>
      <c r="I27" s="65">
        <f>IFERROR(__xludf.DUMMYFUNCTION("""COMPUTED_VALUE"""),347.0)</f>
        <v>347</v>
      </c>
      <c r="J27" s="82">
        <f>IFERROR(__xludf.DUMMYFUNCTION("""COMPUTED_VALUE"""),0.7631578947368421)</f>
        <v>0.7631578947</v>
      </c>
      <c r="K27" s="83" t="str">
        <f>IFERROR(__xludf.DUMMYFUNCTION("""COMPUTED_VALUE"""),"4")</f>
        <v>4</v>
      </c>
      <c r="L27" s="65">
        <v>38.0</v>
      </c>
      <c r="M27" s="84" t="s">
        <v>209</v>
      </c>
      <c r="N27" s="65">
        <f>IFERROR(__xludf.DUMMYFUNCTION("""COMPUTED_VALUE"""),30.0)</f>
        <v>30</v>
      </c>
      <c r="O27" s="65">
        <f>IFERROR(__xludf.DUMMYFUNCTION("""COMPUTED_VALUE"""),5.0)</f>
        <v>5</v>
      </c>
      <c r="P27" s="65">
        <f t="shared" si="1"/>
        <v>86.90493251</v>
      </c>
    </row>
    <row r="28">
      <c r="A28" s="16" t="s">
        <v>39</v>
      </c>
      <c r="B28" s="17">
        <v>1.8564397E7</v>
      </c>
      <c r="C28" s="18" t="s">
        <v>168</v>
      </c>
      <c r="D28" s="19"/>
      <c r="E28" s="19"/>
      <c r="F28" s="63">
        <f>IFERROR(__xludf.DUMMYFUNCTION("""COMPUTED_VALUE"""),13.125)</f>
        <v>13.125</v>
      </c>
      <c r="G28" s="63">
        <f>IFERROR(__xludf.DUMMYFUNCTION("""COMPUTED_VALUE"""),42.0)</f>
        <v>42</v>
      </c>
      <c r="H28" s="63">
        <f>IFERROR(__xludf.DUMMYFUNCTION("""COMPUTED_VALUE"""),37.17616580310881)</f>
        <v>37.1761658</v>
      </c>
      <c r="I28" s="63">
        <f>IFERROR(__xludf.DUMMYFUNCTION("""COMPUTED_VALUE"""),143.5)</f>
        <v>143.5</v>
      </c>
      <c r="J28" s="63"/>
      <c r="K28" s="93"/>
      <c r="L28" s="63">
        <v>0.0</v>
      </c>
      <c r="M28" s="92"/>
      <c r="N28" s="63"/>
      <c r="O28" s="63"/>
      <c r="P28" s="63">
        <f t="shared" si="1"/>
        <v>10.06023316</v>
      </c>
    </row>
    <row r="29">
      <c r="A29" s="8" t="s">
        <v>40</v>
      </c>
      <c r="B29" s="46">
        <v>1348679.0</v>
      </c>
      <c r="C29" s="56" t="s">
        <v>169</v>
      </c>
      <c r="D29" s="51" t="s">
        <v>170</v>
      </c>
      <c r="E29" s="48"/>
      <c r="F29" s="65">
        <f>IFERROR(__xludf.DUMMYFUNCTION("""COMPUTED_VALUE"""),100.4375)</f>
        <v>100.4375</v>
      </c>
      <c r="G29" s="65">
        <f>IFERROR(__xludf.DUMMYFUNCTION("""COMPUTED_VALUE"""),321.4)</f>
        <v>321.4</v>
      </c>
      <c r="H29" s="65">
        <f>IFERROR(__xludf.DUMMYFUNCTION("""COMPUTED_VALUE"""),120.72538860103627)</f>
        <v>120.7253886</v>
      </c>
      <c r="I29" s="65">
        <f>IFERROR(__xludf.DUMMYFUNCTION("""COMPUTED_VALUE"""),466.0)</f>
        <v>466</v>
      </c>
      <c r="J29" s="82">
        <f>IFERROR(__xludf.DUMMYFUNCTION("""COMPUTED_VALUE"""),0.7719298245614035)</f>
        <v>0.7719298246</v>
      </c>
      <c r="K29" s="83" t="str">
        <f>IFERROR(__xludf.DUMMYFUNCTION("""COMPUTED_VALUE"""),"4")</f>
        <v>4</v>
      </c>
      <c r="L29" s="65">
        <v>40.0</v>
      </c>
      <c r="M29" s="45" t="s">
        <v>209</v>
      </c>
      <c r="N29" s="65">
        <f>IFERROR(__xludf.DUMMYFUNCTION("""COMPUTED_VALUE"""),26.0)</f>
        <v>26</v>
      </c>
      <c r="O29" s="65">
        <f>IFERROR(__xludf.DUMMYFUNCTION("""COMPUTED_VALUE"""),5.0)</f>
        <v>5</v>
      </c>
      <c r="P29" s="65">
        <f t="shared" si="1"/>
        <v>95.92117421</v>
      </c>
    </row>
    <row r="30">
      <c r="A30" s="85" t="s">
        <v>41</v>
      </c>
      <c r="B30" s="86">
        <v>9.2481219E7</v>
      </c>
      <c r="C30" s="94" t="s">
        <v>172</v>
      </c>
      <c r="D30" s="95" t="s">
        <v>173</v>
      </c>
      <c r="E30" s="88"/>
      <c r="F30" s="63">
        <f>IFERROR(__xludf.DUMMYFUNCTION("""COMPUTED_VALUE"""),24.0625)</f>
        <v>24.0625</v>
      </c>
      <c r="G30" s="63">
        <f>IFERROR(__xludf.DUMMYFUNCTION("""COMPUTED_VALUE"""),77.0)</f>
        <v>77</v>
      </c>
      <c r="H30" s="63">
        <f>IFERROR(__xludf.DUMMYFUNCTION("""COMPUTED_VALUE"""),46.373056994818654)</f>
        <v>46.37305699</v>
      </c>
      <c r="I30" s="63">
        <f>IFERROR(__xludf.DUMMYFUNCTION("""COMPUTED_VALUE"""),179.0)</f>
        <v>179</v>
      </c>
      <c r="J30" s="89">
        <f>IFERROR(__xludf.DUMMYFUNCTION("""COMPUTED_VALUE"""),0.24561403508771928)</f>
        <v>0.2456140351</v>
      </c>
      <c r="K30" s="90" t="str">
        <f>IFERROR(__xludf.DUMMYFUNCTION("""COMPUTED_VALUE"""),"2")</f>
        <v>2</v>
      </c>
      <c r="L30" s="91">
        <v>6.0</v>
      </c>
      <c r="M30" s="63"/>
      <c r="N30" s="63">
        <f>IFERROR(__xludf.DUMMYFUNCTION("""COMPUTED_VALUE"""),0.0)</f>
        <v>0</v>
      </c>
      <c r="O30" s="63"/>
      <c r="P30" s="63">
        <f t="shared" si="1"/>
        <v>21.9993921</v>
      </c>
    </row>
  </sheetData>
  <mergeCells count="5">
    <mergeCell ref="F1:G1"/>
    <mergeCell ref="H1:I1"/>
    <mergeCell ref="J1:K1"/>
    <mergeCell ref="L1:M1"/>
    <mergeCell ref="N1:O1"/>
  </mergeCells>
  <hyperlinks>
    <hyperlink r:id="rId1" ref="D5"/>
    <hyperlink r:id="rId2" ref="D7"/>
    <hyperlink r:id="rId3" ref="D10"/>
    <hyperlink r:id="rId4" ref="D14"/>
    <hyperlink r:id="rId5" ref="D16"/>
    <hyperlink r:id="rId6" ref="D17"/>
    <hyperlink r:id="rId7" ref="D21"/>
    <hyperlink r:id="rId8" ref="D23"/>
    <hyperlink r:id="rId9" ref="D26"/>
    <hyperlink r:id="rId10" ref="D29"/>
    <hyperlink r:id="rId11" ref="D30"/>
  </hyperlinks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57"/>
  </cols>
  <sheetData>
    <row r="1">
      <c r="A1" s="96" t="s">
        <v>0</v>
      </c>
      <c r="B1" s="97" t="s">
        <v>211</v>
      </c>
    </row>
    <row r="2">
      <c r="A2" s="8" t="s">
        <v>37</v>
      </c>
      <c r="B2" s="65">
        <v>113.15349740932643</v>
      </c>
    </row>
    <row r="3">
      <c r="A3" s="8" t="s">
        <v>14</v>
      </c>
      <c r="B3" s="65">
        <v>111.0331106263067</v>
      </c>
    </row>
    <row r="4">
      <c r="A4" s="8" t="s">
        <v>24</v>
      </c>
      <c r="B4" s="65">
        <v>103.84803086083083</v>
      </c>
    </row>
    <row r="5">
      <c r="A5" s="8" t="s">
        <v>33</v>
      </c>
      <c r="B5" s="65">
        <v>102.65437232978817</v>
      </c>
    </row>
    <row r="6">
      <c r="A6" s="8" t="s">
        <v>36</v>
      </c>
      <c r="B6" s="65">
        <v>101.18376170348151</v>
      </c>
    </row>
    <row r="7">
      <c r="A7" s="8" t="s">
        <v>31</v>
      </c>
      <c r="B7" s="65">
        <v>100.20618580129077</v>
      </c>
    </row>
    <row r="8">
      <c r="A8" s="8" t="s">
        <v>28</v>
      </c>
      <c r="B8" s="65">
        <v>98.79095082265248</v>
      </c>
    </row>
    <row r="9">
      <c r="A9" s="8" t="s">
        <v>30</v>
      </c>
      <c r="B9" s="65">
        <v>98.68074720479957</v>
      </c>
    </row>
    <row r="10">
      <c r="A10" s="8" t="s">
        <v>16</v>
      </c>
      <c r="B10" s="65">
        <v>97.11530656303972</v>
      </c>
    </row>
    <row r="11">
      <c r="A11" s="8" t="s">
        <v>23</v>
      </c>
      <c r="B11" s="65">
        <v>96.22317289337333</v>
      </c>
    </row>
    <row r="12">
      <c r="A12" s="8" t="s">
        <v>40</v>
      </c>
      <c r="B12" s="65">
        <v>95.92117421143533</v>
      </c>
    </row>
    <row r="13">
      <c r="A13" s="8" t="s">
        <v>17</v>
      </c>
      <c r="B13" s="65">
        <v>95.46255056358513</v>
      </c>
    </row>
    <row r="14">
      <c r="A14" s="8" t="s">
        <v>35</v>
      </c>
      <c r="B14" s="65">
        <v>95.13422075265885</v>
      </c>
    </row>
    <row r="15">
      <c r="A15" s="8" t="s">
        <v>32</v>
      </c>
      <c r="B15" s="65">
        <v>94.63145395873103</v>
      </c>
    </row>
    <row r="16">
      <c r="A16" s="8" t="s">
        <v>20</v>
      </c>
      <c r="B16" s="65">
        <v>94.40591764385054</v>
      </c>
    </row>
    <row r="17">
      <c r="A17" s="8" t="s">
        <v>25</v>
      </c>
      <c r="B17" s="65">
        <v>93.01291359876375</v>
      </c>
    </row>
    <row r="18">
      <c r="A18" s="8" t="s">
        <v>18</v>
      </c>
      <c r="B18" s="65">
        <v>90.08768202890647</v>
      </c>
    </row>
    <row r="19">
      <c r="A19" s="8" t="s">
        <v>19</v>
      </c>
      <c r="B19" s="65">
        <v>89.62299131897102</v>
      </c>
    </row>
    <row r="20">
      <c r="A20" s="8" t="s">
        <v>38</v>
      </c>
      <c r="B20" s="65">
        <v>86.90493250613581</v>
      </c>
    </row>
    <row r="21">
      <c r="A21" s="8" t="s">
        <v>15</v>
      </c>
      <c r="B21" s="65">
        <v>86.6395952640669</v>
      </c>
    </row>
    <row r="22">
      <c r="A22" s="8" t="s">
        <v>26</v>
      </c>
      <c r="B22" s="65">
        <v>86.2607115262249</v>
      </c>
    </row>
    <row r="23">
      <c r="A23" s="8" t="s">
        <v>21</v>
      </c>
      <c r="B23" s="65">
        <v>85.37223206981184</v>
      </c>
    </row>
    <row r="24">
      <c r="A24" s="8" t="s">
        <v>29</v>
      </c>
      <c r="B24" s="65">
        <v>84.88362421598038</v>
      </c>
    </row>
    <row r="25">
      <c r="A25" s="8" t="s">
        <v>27</v>
      </c>
      <c r="B25" s="65">
        <v>80.76305563130624</v>
      </c>
    </row>
    <row r="26">
      <c r="A26" s="8" t="s">
        <v>34</v>
      </c>
      <c r="B26" s="65">
        <v>77.05327299790929</v>
      </c>
    </row>
    <row r="27">
      <c r="A27" s="85" t="s">
        <v>22</v>
      </c>
      <c r="B27" s="91">
        <v>67.439298131988</v>
      </c>
    </row>
    <row r="28">
      <c r="A28" s="85" t="s">
        <v>41</v>
      </c>
      <c r="B28" s="91">
        <v>21.999392100718115</v>
      </c>
    </row>
    <row r="29">
      <c r="A29" s="85" t="s">
        <v>39</v>
      </c>
      <c r="B29" s="91">
        <v>10.060233160621761</v>
      </c>
    </row>
  </sheetData>
  <drawing r:id="rId1"/>
</worksheet>
</file>