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MFC\PCB\MFC_rev.2\"/>
    </mc:Choice>
  </mc:AlternateContent>
  <xr:revisionPtr revIDLastSave="0" documentId="13_ncr:1_{BB84DFE1-5A25-407D-B4E9-6A3F9ABA2712}" xr6:coauthVersionLast="37" xr6:coauthVersionMax="37" xr10:uidLastSave="{00000000-0000-0000-0000-000000000000}"/>
  <bookViews>
    <workbookView xWindow="120" yWindow="270" windowWidth="17790" windowHeight="7815" xr2:uid="{00000000-000D-0000-FFFF-FFFF00000000}"/>
  </bookViews>
  <sheets>
    <sheet name="bq25504" sheetId="1" r:id="rId1"/>
    <sheet name="Sheet3" sheetId="3" r:id="rId2"/>
  </sheets>
  <definedNames>
    <definedName name="RSET1">'bq25504'!$C$29</definedName>
    <definedName name="RSET2">'bq25504'!$C$30</definedName>
    <definedName name="RSET3">'bq25504'!$C$31</definedName>
    <definedName name="VBIAS">'bq25504'!#REF!</definedName>
    <definedName name="VOUT">'bq25504'!#REF!</definedName>
    <definedName name="VPGOOD">'bq25504'!#REF!</definedName>
  </definedNames>
  <calcPr calcId="179021"/>
</workbook>
</file>

<file path=xl/calcChain.xml><?xml version="1.0" encoding="utf-8"?>
<calcChain xmlns="http://schemas.openxmlformats.org/spreadsheetml/2006/main">
  <c r="O23" i="1" l="1"/>
  <c r="O14" i="1"/>
  <c r="P14" i="1" s="1"/>
  <c r="C23" i="1"/>
  <c r="C14" i="1"/>
  <c r="C15" i="1" s="1"/>
  <c r="Q23" i="1" l="1"/>
  <c r="Q14" i="1"/>
  <c r="O15" i="1"/>
  <c r="P15" i="1" l="1"/>
  <c r="P16" i="1" s="1"/>
  <c r="Q15" i="1"/>
  <c r="Q16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<sst xmlns="http://schemas.openxmlformats.org/spreadsheetml/2006/main" count="144" uniqueCount="58">
  <si>
    <t>VBIAS</t>
  </si>
  <si>
    <t>Mohm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</si>
  <si>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</si>
  <si>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</si>
  <si>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</si>
  <si>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</si>
  <si>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</si>
  <si>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</si>
  <si>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</si>
  <si>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</si>
  <si>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</si>
  <si>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</si>
  <si>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</si>
  <si>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</si>
  <si>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</si>
  <si>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</si>
  <si>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</si>
  <si>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</si>
  <si>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</si>
  <si>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</si>
  <si>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</si>
  <si>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</si>
  <si>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</si>
  <si>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</si>
  <si>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>e.g. 4.2V for LiIon battery</t>
  </si>
  <si>
    <t>solar panel's open circuit voltage</t>
  </si>
  <si>
    <t xml:space="preserve">Typically the max storage element voltage, </t>
  </si>
  <si>
    <t xml:space="preserve">Comparator threshold for VSTOR maximum.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</si>
  <si>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</si>
  <si>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</si>
  <si>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</si>
  <si>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</si>
  <si>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</si>
  <si>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</si>
  <si>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Typ voltage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</si>
  <si>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</si>
  <si>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</si>
  <si>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</si>
  <si>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Granularity of resistors values &gt; 10 Mohm is greatly reduced so you may need to use a 10Mohm in series with a smaller resistor in order to achieve the desired resistance value.</t>
    </r>
  </si>
  <si>
    <t>Comparator threshold voltages indicating when</t>
  </si>
  <si>
    <t>VSTOR has risen above VBAT_OK_HYS or fallen</t>
  </si>
  <si>
    <t>below VBAT_OK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</si>
  <si>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</si>
  <si>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0" tint="-0.34998626667073579"/>
        <rFont val="Calibri"/>
        <family val="2"/>
        <scheme val="minor"/>
      </rPr>
      <t xml:space="preserve">2.2V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VBAT_OV</t>
    </r>
  </si>
  <si>
    <r>
      <rPr>
        <sz val="14"/>
        <color theme="0" tint="-0.34998626667073579"/>
        <rFont val="Calibri"/>
        <family val="2"/>
        <scheme val="minor"/>
      </rPr>
      <t xml:space="preserve">2.5V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5.25V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</si>
  <si>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</si>
  <si>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VBAT_UV</t>
  </si>
  <si>
    <t>RUV1</t>
  </si>
  <si>
    <t>RUV2</t>
  </si>
  <si>
    <t>&gt; VBAT_UV</t>
  </si>
  <si>
    <t>Comparator threshold for VSTOR minimum.</t>
  </si>
  <si>
    <t xml:space="preserve">Typically the min storage element voltage, </t>
  </si>
  <si>
    <t>e.g. 2.5V for LiIon battery</t>
  </si>
  <si>
    <t>VBAT_OV(typ)</t>
  </si>
  <si>
    <t>VBAT_OK (typ)</t>
  </si>
  <si>
    <t>VBAT_OK_HYST (typ)</t>
  </si>
  <si>
    <t>VBAT_UV(typ)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</si>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</sst>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Fill="1" applyBorder="1" applyProtection="1">
      <protection locked="0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4" fillId="2" borderId="0" xfId="0" applyFont="1" applyFill="1" applyBorder="1"/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0" fillId="4" borderId="26" xfId="0" applyNumberFormat="1" applyFill="1" applyBorder="1"/>
    <xf numFmtId="0" fontId="0" fillId="4" borderId="26" xfId="0" applyFill="1" applyBorder="1"/>
    <xf numFmtId="0" fontId="4" fillId="2" borderId="25" xfId="0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2" xfId="0" applyFill="1" applyBorder="1"/>
    <xf numFmtId="0" fontId="3" fillId="0" borderId="32" xfId="0" applyFont="1" applyFill="1" applyBorder="1"/>
    <xf numFmtId="2" fontId="0" fillId="4" borderId="8" xfId="0" applyNumberFormat="1" applyFill="1" applyBorder="1"/>
    <xf numFmtId="0" fontId="0" fillId="0" borderId="33" xfId="0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19050</xdr:colOff>
      <xdr:row>28</xdr:row>
      <xdr:rowOff>9525</xdr:rowOff>
    </xdr:from>
    <xdr:to>
      <xdr:col>23</xdr:col>
      <xdr:colOff>95250</xdr:colOff>
      <xdr:row>65</xdr:row>
      <xdr:rowOff>38100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6686550"/>
          <a:ext cx="10429875" cy="707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219075</xdr:colOff>
      <xdr:row>20</xdr:row>
      <xdr:rowOff>66675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1571625" y="3571875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15</xdr:row>
      <xdr:rowOff>123825</xdr:rowOff>
    </xdr:from>
    <xdr:to>
      <xdr:col>15</xdr:col>
      <xdr:colOff>9525</xdr:colOff>
      <xdr:row>15</xdr:row>
      <xdr:rowOff>123825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1362075" y="26193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20</xdr:row>
      <xdr:rowOff>66675</xdr:rowOff>
    </xdr:from>
    <xdr:to>
      <xdr:col>14</xdr:col>
      <xdr:colOff>219075</xdr:colOff>
      <xdr:row>21</xdr:row>
      <xdr:rowOff>190500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571625" y="3571875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15</xdr:row>
      <xdr:rowOff>123825</xdr:rowOff>
    </xdr:from>
    <xdr:to>
      <xdr:col>15</xdr:col>
      <xdr:colOff>9525</xdr:colOff>
      <xdr:row>15</xdr:row>
      <xdr:rowOff>123825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1362075" y="26193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2"/>
  <sheetViews>
    <sheetView tabSelected="1" topLeftCell="A4" zoomScaleNormal="100" workbookViewId="0">
      <pane xSplit="1" topLeftCell="B1" activePane="topRight" state="frozen"/>
      <selection pane="topRight" activeCell="U21" sqref="U21"/>
    </sheetView>
  </sheetViews>
  <sheetFormatPr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9" t="s">
        <v>4</v>
      </c>
      <c r="B1" s="10" t="s">
        <v>0</v>
      </c>
      <c r="C1" s="6">
        <v>1.25</v>
      </c>
      <c r="D1" s="6" t="s">
        <v>2</v>
      </c>
    </row>
    <row r="2" spans="1:24" x14ac:dyDescent="0.25">
      <c r="A2" s="8" t="s">
        <v>33</v>
      </c>
    </row>
    <row r="3" spans="1:24" x14ac:dyDescent="0.25">
      <c r="A3" s="68"/>
      <c r="B3" s="35" t="s">
        <v>27</v>
      </c>
      <c r="C3" s="36"/>
      <c r="D3" s="36"/>
      <c r="E3" s="36"/>
      <c r="F3" s="37"/>
      <c r="H3" s="69" t="s">
        <v>39</v>
      </c>
      <c r="I3" s="36"/>
      <c r="J3" s="36"/>
      <c r="K3" s="36"/>
      <c r="L3" s="37"/>
      <c r="N3" s="35" t="s">
        <v>50</v>
      </c>
      <c r="O3" s="36"/>
      <c r="P3" s="36"/>
      <c r="Q3" s="36"/>
      <c r="R3" s="37"/>
      <c r="T3" s="71" t="s">
        <v>23</v>
      </c>
      <c r="U3" s="36"/>
      <c r="V3" s="36"/>
      <c r="W3" s="36"/>
      <c r="X3" s="37"/>
    </row>
    <row r="4" spans="1:24" x14ac:dyDescent="0.25">
      <c r="A4" s="68"/>
      <c r="B4" s="49" t="s">
        <v>26</v>
      </c>
      <c r="C4" s="3"/>
      <c r="D4" s="22"/>
      <c r="E4" s="3"/>
      <c r="F4" s="48"/>
      <c r="G4" s="3"/>
      <c r="H4" s="38" t="s">
        <v>40</v>
      </c>
      <c r="I4" s="3"/>
      <c r="J4" s="3"/>
      <c r="K4" s="3"/>
      <c r="L4" s="39"/>
      <c r="N4" s="49" t="s">
        <v>51</v>
      </c>
      <c r="O4" s="3"/>
      <c r="P4" s="22"/>
      <c r="Q4" s="3"/>
      <c r="R4" s="48"/>
      <c r="T4" s="40" t="s">
        <v>25</v>
      </c>
      <c r="U4" s="3"/>
      <c r="V4" s="3"/>
      <c r="W4" s="3"/>
      <c r="X4" s="39"/>
    </row>
    <row r="5" spans="1:24" ht="15.75" thickBot="1" x14ac:dyDescent="0.3">
      <c r="A5" s="68"/>
      <c r="B5" s="41" t="s">
        <v>24</v>
      </c>
      <c r="C5" s="42"/>
      <c r="D5" s="43"/>
      <c r="E5" s="42"/>
      <c r="F5" s="44"/>
      <c r="G5" s="3"/>
      <c r="H5" s="46" t="s">
        <v>41</v>
      </c>
      <c r="I5" s="42"/>
      <c r="J5" s="42"/>
      <c r="K5" s="42"/>
      <c r="L5" s="45"/>
      <c r="N5" s="41" t="s">
        <v>52</v>
      </c>
      <c r="O5" s="42"/>
      <c r="P5" s="43"/>
      <c r="Q5" s="42"/>
      <c r="R5" s="44"/>
      <c r="T5" s="72"/>
      <c r="U5" s="70"/>
      <c r="V5" s="70"/>
      <c r="W5" s="70"/>
      <c r="X5" s="73"/>
    </row>
    <row r="6" spans="1:24" ht="19.5" thickBot="1" x14ac:dyDescent="0.35">
      <c r="B6" s="94" t="s">
        <v>44</v>
      </c>
      <c r="C6" s="95"/>
      <c r="D6" s="95"/>
      <c r="E6" s="95"/>
      <c r="F6" s="96"/>
      <c r="H6" s="97" t="s">
        <v>45</v>
      </c>
      <c r="I6" s="98"/>
      <c r="J6" s="98"/>
      <c r="K6" s="98"/>
      <c r="L6" s="99"/>
      <c r="N6" s="94" t="s">
        <v>43</v>
      </c>
      <c r="O6" s="95"/>
      <c r="P6" s="95"/>
      <c r="Q6" s="95"/>
      <c r="R6" s="96"/>
      <c r="T6" s="97" t="s">
        <v>10</v>
      </c>
      <c r="U6" s="98"/>
      <c r="V6" s="98"/>
      <c r="W6" s="98"/>
      <c r="X6" s="99"/>
    </row>
    <row r="7" spans="1:24" ht="17.25" x14ac:dyDescent="0.25">
      <c r="A7" s="87" t="s">
        <v>31</v>
      </c>
      <c r="B7" s="61"/>
      <c r="C7" s="15"/>
      <c r="D7" s="15"/>
      <c r="E7" s="14"/>
      <c r="F7" s="16"/>
      <c r="H7" s="11" t="s">
        <v>42</v>
      </c>
      <c r="I7" s="13">
        <v>10</v>
      </c>
      <c r="J7" s="4" t="s">
        <v>1</v>
      </c>
      <c r="K7" s="15"/>
      <c r="L7" s="17"/>
      <c r="N7" s="61"/>
      <c r="O7" s="15"/>
      <c r="P7" s="15"/>
      <c r="Q7" s="14"/>
      <c r="R7" s="16"/>
      <c r="T7" s="11" t="s">
        <v>42</v>
      </c>
      <c r="U7" s="13">
        <v>10</v>
      </c>
      <c r="V7" s="4" t="s">
        <v>1</v>
      </c>
      <c r="W7" s="15"/>
      <c r="X7" s="17"/>
    </row>
    <row r="8" spans="1:24" ht="17.25" x14ac:dyDescent="0.25">
      <c r="A8" s="33" t="s">
        <v>31</v>
      </c>
      <c r="B8" s="11" t="s">
        <v>42</v>
      </c>
      <c r="C8" s="13">
        <v>10</v>
      </c>
      <c r="D8" s="4" t="s">
        <v>1</v>
      </c>
      <c r="E8" s="15"/>
      <c r="F8" s="17"/>
      <c r="H8" s="7" t="s">
        <v>9</v>
      </c>
      <c r="I8" s="13">
        <v>2.2000000000000002</v>
      </c>
      <c r="J8" s="4" t="s">
        <v>2</v>
      </c>
      <c r="K8" s="32" t="s">
        <v>49</v>
      </c>
      <c r="L8" s="17"/>
      <c r="N8" s="11" t="s">
        <v>42</v>
      </c>
      <c r="O8" s="13">
        <v>10</v>
      </c>
      <c r="P8" s="4" t="s">
        <v>1</v>
      </c>
      <c r="Q8" s="15"/>
      <c r="R8" s="17"/>
      <c r="T8" s="7" t="s">
        <v>11</v>
      </c>
      <c r="U8" s="13">
        <v>0.3</v>
      </c>
      <c r="V8" s="4" t="s">
        <v>2</v>
      </c>
      <c r="W8" s="32" t="s">
        <v>15</v>
      </c>
      <c r="X8" s="17"/>
    </row>
    <row r="9" spans="1:24" x14ac:dyDescent="0.25">
      <c r="A9" s="33" t="s">
        <v>31</v>
      </c>
      <c r="B9" s="7" t="s">
        <v>8</v>
      </c>
      <c r="C9" s="13">
        <v>3.4</v>
      </c>
      <c r="D9" s="4" t="s">
        <v>2</v>
      </c>
      <c r="E9" s="32"/>
      <c r="F9" s="17"/>
      <c r="H9" s="7" t="s">
        <v>21</v>
      </c>
      <c r="I9" s="13">
        <v>3.3</v>
      </c>
      <c r="J9" s="4" t="s">
        <v>2</v>
      </c>
      <c r="K9" s="32" t="s">
        <v>22</v>
      </c>
      <c r="L9" s="17"/>
      <c r="N9" s="7" t="s">
        <v>46</v>
      </c>
      <c r="O9" s="13">
        <v>2.2000000000000002</v>
      </c>
      <c r="P9" s="4" t="s">
        <v>2</v>
      </c>
      <c r="Q9" s="32"/>
      <c r="R9" s="17"/>
      <c r="T9" s="7" t="s">
        <v>14</v>
      </c>
      <c r="U9" s="13">
        <v>0.2</v>
      </c>
      <c r="V9" s="4" t="s">
        <v>2</v>
      </c>
      <c r="W9" s="32" t="s">
        <v>35</v>
      </c>
      <c r="X9" s="17"/>
    </row>
    <row r="10" spans="1:24" x14ac:dyDescent="0.25">
      <c r="B10" s="20"/>
      <c r="C10" s="29"/>
      <c r="D10" s="18"/>
      <c r="E10" s="15"/>
      <c r="F10" s="17"/>
      <c r="H10" s="20"/>
      <c r="I10" s="18"/>
      <c r="J10" s="18"/>
      <c r="K10" s="15"/>
      <c r="L10" s="17"/>
      <c r="N10" s="20"/>
      <c r="O10" s="29"/>
      <c r="P10" s="18"/>
      <c r="Q10" s="15"/>
      <c r="R10" s="17"/>
      <c r="T10" s="20"/>
      <c r="U10" s="29"/>
      <c r="V10" s="18"/>
      <c r="W10" s="18"/>
      <c r="X10" s="17"/>
    </row>
    <row r="11" spans="1:24" ht="17.25" x14ac:dyDescent="0.25">
      <c r="B11" s="20"/>
      <c r="C11" s="18"/>
      <c r="D11" s="18"/>
      <c r="E11" s="15"/>
      <c r="F11" s="17"/>
      <c r="H11" s="20"/>
      <c r="I11" s="18"/>
      <c r="J11" s="100" t="s">
        <v>32</v>
      </c>
      <c r="K11" s="101"/>
      <c r="L11" s="17"/>
      <c r="N11" s="20"/>
      <c r="O11" s="18"/>
      <c r="P11" s="18"/>
      <c r="Q11" s="15"/>
      <c r="R11" s="17"/>
      <c r="T11" s="20"/>
      <c r="U11" s="18"/>
      <c r="V11" s="100" t="s">
        <v>32</v>
      </c>
      <c r="W11" s="101"/>
      <c r="X11" s="17"/>
    </row>
    <row r="12" spans="1:24" ht="17.25" x14ac:dyDescent="0.25">
      <c r="B12" s="20"/>
      <c r="C12" s="18"/>
      <c r="D12" s="100" t="s">
        <v>32</v>
      </c>
      <c r="E12" s="101"/>
      <c r="F12" s="17"/>
      <c r="H12" s="20"/>
      <c r="I12" s="50" t="s">
        <v>28</v>
      </c>
      <c r="J12" s="47" t="s">
        <v>6</v>
      </c>
      <c r="K12" s="47" t="s">
        <v>5</v>
      </c>
      <c r="L12" s="17"/>
      <c r="N12" s="20"/>
      <c r="O12" s="18"/>
      <c r="P12" s="100" t="s">
        <v>32</v>
      </c>
      <c r="Q12" s="101"/>
      <c r="R12" s="17"/>
      <c r="T12" s="20"/>
      <c r="U12" s="50" t="s">
        <v>28</v>
      </c>
      <c r="V12" s="47" t="s">
        <v>6</v>
      </c>
      <c r="W12" s="47" t="s">
        <v>5</v>
      </c>
      <c r="X12" s="17"/>
    </row>
    <row r="13" spans="1:24" x14ac:dyDescent="0.25">
      <c r="A13" s="33" t="s">
        <v>29</v>
      </c>
      <c r="B13" s="20"/>
      <c r="C13" s="50" t="s">
        <v>28</v>
      </c>
      <c r="D13" s="47" t="s">
        <v>6</v>
      </c>
      <c r="E13" s="47" t="s">
        <v>5</v>
      </c>
      <c r="F13" s="17"/>
      <c r="H13" s="12" t="s">
        <v>18</v>
      </c>
      <c r="I13" s="30">
        <f>C1/I9*I7</f>
        <v>3.7878787878787881</v>
      </c>
      <c r="J13" s="51">
        <f>IF(I13&gt;1,VLOOKUP(I13*10,$AA$27:$AA$132,1)/10,IF(I13&gt;0.099,VLOOKUP(I13*100,$AB$27:$AB$132,1)/100,VLOOKUP(I13*1000,$AB$27:$AB$132,1)/1000))</f>
        <v>3.7399999999999998</v>
      </c>
      <c r="K13" s="51">
        <f ca="1">IF(I13&gt;1,OFFSET($AA$27,MATCH(I13*10,$AA$27:$AA$132,1),0)/10,IF(I13&gt;0.099, OFFSET($AB$27,MATCH(I13*100,$AB$27:$AB$132,1),0)/100,OFFSET($AB$27,MATCH(I13*1000,$AB$27:$AB$132,1),0)/1000))</f>
        <v>3.8299999999999996</v>
      </c>
      <c r="L13" s="53" t="s">
        <v>1</v>
      </c>
      <c r="N13" s="20"/>
      <c r="O13" s="50" t="s">
        <v>28</v>
      </c>
      <c r="P13" s="47" t="s">
        <v>6</v>
      </c>
      <c r="Q13" s="47" t="s">
        <v>5</v>
      </c>
      <c r="R13" s="17"/>
      <c r="T13" s="12" t="s">
        <v>12</v>
      </c>
      <c r="U13" s="30">
        <f>IF(U9/U8*U7&gt;10, U9/U8*U7-10, U9/U8*U7)</f>
        <v>6.6666666666666679</v>
      </c>
      <c r="V13" s="51">
        <f>IF(U13&gt;1,VLOOKUP(U13*10,$AA$27:$AA$132,1)/10,IF(U13&gt;0.099,VLOOKUP(U13*100,$AB$27:$AB$132,1)/100,VLOOKUP(U13*1000,$AB$27:$AB$132,1)/1000))</f>
        <v>6.65</v>
      </c>
      <c r="W13" s="51">
        <f ca="1">IF(U13&gt;1,OFFSET($AA$27,MATCH(U13*10,$AA$27:$AA$132,1),0)/10,IF(U13&gt;0.099, OFFSET($AB$27,MATCH(U13*100,$AB$27:$AB$132,1),0)/100,OFFSET($AB$27,MATCH(U13*1000,$AB$27:$AB$132,1),0)/1000))</f>
        <v>6.81</v>
      </c>
      <c r="X13" s="53" t="s">
        <v>1</v>
      </c>
    </row>
    <row r="14" spans="1:24" ht="17.25" x14ac:dyDescent="0.25">
      <c r="A14" s="33" t="s">
        <v>29</v>
      </c>
      <c r="B14" s="12" t="s">
        <v>16</v>
      </c>
      <c r="C14" s="30">
        <f>C8*$C$1/C9*3/2</f>
        <v>5.514705882352942</v>
      </c>
      <c r="D14" s="51">
        <f>IF(C14&gt;1,VLOOKUP(C14*10,$AA$27:$AA$132,1)/10,IF(C14&gt;0.099,VLOOKUP(C14*100,$AB$27:$AB$132,1)/100,VLOOKUP(C14*1000,$AB$27:$AB$132,1)/1000))</f>
        <v>5.49</v>
      </c>
      <c r="E14" s="51">
        <f ca="1">IF(C14&gt;1,OFFSET($AA$27,MATCH(C14*10,$AA$27:$AA$132,1),0)/10,IF(C14&gt;0.099, OFFSET($AB$27,MATCH(C14*100,$AB$27:$AB$132,1),0)/100,OFFSET($AB$27,MATCH(C14*1000,$AB$27:$AB$132,1),0)/1000))</f>
        <v>5.62</v>
      </c>
      <c r="F14" s="53" t="s">
        <v>1</v>
      </c>
      <c r="H14" s="12" t="s">
        <v>19</v>
      </c>
      <c r="I14" s="30">
        <f>(I8/C1-1)*I13</f>
        <v>2.8787878787878798</v>
      </c>
      <c r="J14" s="51">
        <f>IF(I14&gt;1,VLOOKUP(I14*10,$AA$27:$AA$132,1)/10,IF(I14&gt;0.099,VLOOKUP(I14*100,$AB$27:$AB$132,1)/100,VLOOKUP(I14*1000,$AB$27:$AB$132,1)/1000))</f>
        <v>2.87</v>
      </c>
      <c r="K14" s="51">
        <f ca="1">IF(I14&gt;1,OFFSET($AA$27,MATCH(I14*10,$AA$27:$AA$132,1),0)/10,IF(I14&gt;0.099, OFFSET($AB$27,MATCH(I14*100,$AB$27:$AB$132,1),0)/100,OFFSET($AB$27,MATCH(I14*1000,$AB$27:$AB$132,1),0)/1000))</f>
        <v>2.94</v>
      </c>
      <c r="L14" s="53" t="s">
        <v>1</v>
      </c>
      <c r="N14" s="12" t="s">
        <v>47</v>
      </c>
      <c r="O14" s="30">
        <f>O8*$C$1/O9</f>
        <v>5.6818181818181817</v>
      </c>
      <c r="P14" s="51">
        <f>IF(O14&gt;1,VLOOKUP(O14*10,$AA$27:$AA$132,1)/10,IF(O14&gt;0.099,VLOOKUP(O14*100,$AB$27:$AB$132,1)/100,VLOOKUP(O14*1000,$AB$27:$AB$132,1)/1000))</f>
        <v>5.62</v>
      </c>
      <c r="Q14" s="51">
        <f ca="1">IF(O14&gt;1,OFFSET($AA$27,MATCH(O14*10,$AA$27:$AA$132,1),0)/10,IF(O14&gt;0.099, OFFSET($AB$27,MATCH(O14*100,$AB$27:$AB$132,1),0)/100,OFFSET($AB$27,MATCH(O14*1000,$AB$27:$AB$132,1),0)/1000))</f>
        <v>5.76</v>
      </c>
      <c r="R14" s="53" t="s">
        <v>1</v>
      </c>
      <c r="T14" s="55" t="s">
        <v>57</v>
      </c>
      <c r="U14" s="54">
        <f>IF(U9/U8*U7&lt;=10,0,10)</f>
        <v>0</v>
      </c>
      <c r="V14" s="56">
        <f>IF(U9/U8*U7&lt;=10,0,10)</f>
        <v>0</v>
      </c>
      <c r="W14" s="56">
        <f>IF(U9/U8*U7&lt;=10,0,10)</f>
        <v>0</v>
      </c>
      <c r="X14" s="53" t="s">
        <v>1</v>
      </c>
    </row>
    <row r="15" spans="1:24" x14ac:dyDescent="0.25">
      <c r="A15" s="33" t="s">
        <v>29</v>
      </c>
      <c r="B15" s="12" t="s">
        <v>17</v>
      </c>
      <c r="C15" s="30">
        <f>C8-C14</f>
        <v>4.485294117647058</v>
      </c>
      <c r="D15" s="51">
        <f>IF(C15&gt;1,VLOOKUP(C15*10,$AA$27:$AA$132,1)/10,IF(C15&gt;0.099,VLOOKUP(C15*100,$AB$27:$AB$132,1)/100,VLOOKUP(C15*1000,$AB$27:$AB$132,1)/1000))</f>
        <v>4.42</v>
      </c>
      <c r="E15" s="51">
        <f ca="1">IF(C15&gt;1,OFFSET($AA$27,MATCH(C15*10,$AA$27:$AA$132,1),0)/10,IF(C15&gt;0.099, OFFSET($AB$27,MATCH(C15*100,$AB$27:$AB$132,1),0)/100,OFFSET($AB$27,MATCH(C15*1000,$AB$27:$AB$132,1),0)/1000))</f>
        <v>4.5299999999999994</v>
      </c>
      <c r="F15" s="53" t="s">
        <v>1</v>
      </c>
      <c r="H15" s="12" t="s">
        <v>20</v>
      </c>
      <c r="I15" s="30">
        <f>I7-I13-I14</f>
        <v>3.3333333333333321</v>
      </c>
      <c r="J15" s="51">
        <f>IF(I15&gt;1,VLOOKUP(I15*10,$AA$27:$AA$132,1)/10,IF(I15&gt;0.099,VLOOKUP(I15*100,$AB$27:$AB$132,1)/100,VLOOKUP(I15*1000,$AB$27:$AB$132,1)/1000))</f>
        <v>3.3200000000000003</v>
      </c>
      <c r="K15" s="51">
        <f ca="1">IF(I15&gt;1,OFFSET($AA$27,MATCH(I15*10,$AA$27:$AA$132,1),0)/10,IF(I15&gt;0.099, OFFSET($AB$27,MATCH(I15*100,$AB$27:$AB$132,1),0)/100,OFFSET($AB$27,MATCH(I15*1000,$AB$27:$AB$132,1),0)/1000))</f>
        <v>3.4</v>
      </c>
      <c r="L15" s="53" t="s">
        <v>1</v>
      </c>
      <c r="N15" s="12" t="s">
        <v>48</v>
      </c>
      <c r="O15" s="30">
        <f>O8-O14</f>
        <v>4.3181818181818183</v>
      </c>
      <c r="P15" s="51">
        <f>IF(O15&gt;1,VLOOKUP(O15*10,$AA$27:$AA$132,1)/10,IF(O15&gt;0.099,VLOOKUP(O15*100,$AB$27:$AB$132,1)/100,VLOOKUP(O15*1000,$AB$27:$AB$132,1)/1000))</f>
        <v>4.2200000000000006</v>
      </c>
      <c r="Q15" s="51">
        <f ca="1">IF(O15&gt;1,OFFSET($AA$27,MATCH(O15*10,$AA$27:$AA$132,1),0)/10,IF(O15&gt;0.099, OFFSET($AB$27,MATCH(O15*100,$AB$27:$AB$132,1),0)/100,OFFSET($AB$27,MATCH(O15*1000,$AB$27:$AB$132,1),0)/1000))</f>
        <v>4.32</v>
      </c>
      <c r="R15" s="53" t="s">
        <v>1</v>
      </c>
      <c r="T15" s="12" t="s">
        <v>13</v>
      </c>
      <c r="U15" s="30">
        <f>IF(U7-U9/U8*U7&gt;10, U7-U9/U8*U7-10, U7-U9/U8*U7)</f>
        <v>3.3333333333333321</v>
      </c>
      <c r="V15" s="51">
        <f>IF(U15&gt;1,VLOOKUP(U15*10,$AA$27:$AA$132,1)/10,IF(U15&gt;0.099,VLOOKUP(U15*100,$AB$27:$AB$132,1)/100,VLOOKUP(U15*1000,$AB$27:$AB$132,1)/1000))</f>
        <v>3.3200000000000003</v>
      </c>
      <c r="W15" s="51">
        <f ca="1">IF(U15&gt;1,OFFSET($AA$27,MATCH(U15*10,$AA$27:$AA$132,1),0)/10,IF(U15&gt;0.099, OFFSET($AB$27,MATCH(U15*100,$AB$27:$AB$132,1),0)/100,OFFSET($AB$27,MATCH(U15*1000,$AB$27:$AB$132,1),0)/1000))</f>
        <v>3.4</v>
      </c>
      <c r="X15" s="53" t="s">
        <v>1</v>
      </c>
    </row>
    <row r="16" spans="1:24" ht="17.25" x14ac:dyDescent="0.25">
      <c r="A16" s="33" t="s">
        <v>29</v>
      </c>
      <c r="B16" s="12" t="s">
        <v>8</v>
      </c>
      <c r="C16" s="31"/>
      <c r="D16" s="52">
        <f>C1*(1+D15/D14)*3/2</f>
        <v>3.3845628415300544</v>
      </c>
      <c r="E16" s="52">
        <f ca="1">C1*(1+E15/E14)*3/2</f>
        <v>3.3863434163701065</v>
      </c>
      <c r="F16" s="85" t="s">
        <v>2</v>
      </c>
      <c r="H16" s="7" t="s">
        <v>9</v>
      </c>
      <c r="I16" s="18"/>
      <c r="J16" s="52">
        <f>C1*(1+J14/J13)</f>
        <v>2.2092245989304815</v>
      </c>
      <c r="K16" s="52">
        <f ca="1">C1*(1+K14/K13)</f>
        <v>2.2095300261096606</v>
      </c>
      <c r="L16" s="85" t="s">
        <v>2</v>
      </c>
      <c r="N16" s="12" t="s">
        <v>46</v>
      </c>
      <c r="O16" s="31"/>
      <c r="P16" s="52">
        <f>$C$1*(1+P15/P14)</f>
        <v>2.1886120996441285</v>
      </c>
      <c r="Q16" s="52">
        <f ca="1">$C$1*(1+Q15/Q14)</f>
        <v>2.1875</v>
      </c>
      <c r="R16" s="85" t="s">
        <v>2</v>
      </c>
      <c r="T16" s="55" t="s">
        <v>57</v>
      </c>
      <c r="U16" s="30">
        <f>IF(U7-U9/U8*U7&lt;=10, 0, 10)</f>
        <v>0</v>
      </c>
      <c r="V16" s="51">
        <f>IF(U7-U9/U8*U7&lt;=10, 0, 10)</f>
        <v>0</v>
      </c>
      <c r="W16" s="51">
        <f>IF(U7-U9/U8*U7&lt;=10, 0, 10)</f>
        <v>0</v>
      </c>
      <c r="X16" s="53" t="s">
        <v>1</v>
      </c>
    </row>
    <row r="17" spans="1:28" x14ac:dyDescent="0.25">
      <c r="A17" s="33" t="s">
        <v>29</v>
      </c>
      <c r="B17" s="20"/>
      <c r="C17" s="18"/>
      <c r="D17" s="18"/>
      <c r="E17" s="18"/>
      <c r="F17" s="17"/>
      <c r="H17" s="57" t="s">
        <v>21</v>
      </c>
      <c r="I17" s="18"/>
      <c r="J17" s="52">
        <f>(C1*((J13+J14+J15)/J13))</f>
        <v>3.3188502673796796</v>
      </c>
      <c r="K17" s="59">
        <f ca="1">(C1*((K13+K14+K15)/K13))</f>
        <v>3.3191906005221932</v>
      </c>
      <c r="L17" s="85" t="s">
        <v>2</v>
      </c>
      <c r="N17" s="20"/>
      <c r="O17" s="18"/>
      <c r="P17" s="18"/>
      <c r="Q17" s="18"/>
      <c r="R17" s="17"/>
      <c r="T17" s="7" t="s">
        <v>30</v>
      </c>
      <c r="U17" s="18"/>
      <c r="V17" s="52">
        <f>U8*(V13+V14)/(V13+V14+V15+V16)</f>
        <v>0.20010030090270811</v>
      </c>
      <c r="W17" s="52">
        <f ca="1">U8*(W13+W14)/(W13+W14+W15+W16)</f>
        <v>0.20009794319294807</v>
      </c>
      <c r="X17" s="53" t="s">
        <v>2</v>
      </c>
    </row>
    <row r="18" spans="1:28" x14ac:dyDescent="0.25">
      <c r="A18" s="33"/>
      <c r="B18" s="20"/>
      <c r="C18" s="18"/>
      <c r="D18" s="18"/>
      <c r="E18" s="18"/>
      <c r="F18" s="17"/>
      <c r="H18" s="20"/>
      <c r="I18" s="18"/>
      <c r="J18" s="58"/>
      <c r="K18" s="18"/>
      <c r="L18" s="17"/>
      <c r="N18" s="20"/>
      <c r="O18" s="18"/>
      <c r="P18" s="18"/>
      <c r="Q18" s="18"/>
      <c r="R18" s="17"/>
      <c r="T18" s="20"/>
      <c r="U18" s="18"/>
      <c r="V18" s="18"/>
      <c r="W18" s="18"/>
      <c r="X18" s="17"/>
    </row>
    <row r="19" spans="1:28" x14ac:dyDescent="0.25">
      <c r="A19" s="33" t="s">
        <v>7</v>
      </c>
      <c r="B19" s="7" t="s">
        <v>16</v>
      </c>
      <c r="C19" s="13">
        <v>5.0999999999999996</v>
      </c>
      <c r="D19" s="4" t="s">
        <v>1</v>
      </c>
      <c r="E19" s="18"/>
      <c r="F19" s="17"/>
      <c r="H19" s="7" t="s">
        <v>18</v>
      </c>
      <c r="I19" s="13">
        <v>3.3</v>
      </c>
      <c r="J19" s="4" t="s">
        <v>1</v>
      </c>
      <c r="K19" s="18"/>
      <c r="L19" s="17"/>
      <c r="N19" s="7" t="s">
        <v>47</v>
      </c>
      <c r="O19" s="13">
        <v>10</v>
      </c>
      <c r="P19" s="4" t="s">
        <v>1</v>
      </c>
      <c r="Q19" s="18"/>
      <c r="R19" s="17"/>
      <c r="T19" s="7" t="s">
        <v>12</v>
      </c>
      <c r="U19" s="13">
        <v>10</v>
      </c>
      <c r="V19" s="4" t="s">
        <v>1</v>
      </c>
      <c r="W19" s="18"/>
      <c r="X19" s="17"/>
    </row>
    <row r="20" spans="1:28" ht="17.25" x14ac:dyDescent="0.25">
      <c r="A20" s="33" t="s">
        <v>7</v>
      </c>
      <c r="B20" s="7" t="s">
        <v>17</v>
      </c>
      <c r="C20" s="13">
        <v>5.0999999999999996</v>
      </c>
      <c r="D20" s="4" t="s">
        <v>1</v>
      </c>
      <c r="E20" s="18"/>
      <c r="F20" s="17"/>
      <c r="H20" s="7" t="s">
        <v>19</v>
      </c>
      <c r="I20" s="13">
        <v>2.2000000000000002</v>
      </c>
      <c r="J20" s="4" t="s">
        <v>1</v>
      </c>
      <c r="K20" s="18"/>
      <c r="L20" s="17"/>
      <c r="N20" s="7" t="s">
        <v>48</v>
      </c>
      <c r="O20" s="13">
        <v>7.5</v>
      </c>
      <c r="P20" s="4" t="s">
        <v>1</v>
      </c>
      <c r="Q20" s="18"/>
      <c r="R20" s="17"/>
      <c r="T20" s="55" t="s">
        <v>57</v>
      </c>
      <c r="U20" s="30">
        <f>U14</f>
        <v>0</v>
      </c>
      <c r="V20" s="4" t="s">
        <v>1</v>
      </c>
      <c r="W20" s="18"/>
      <c r="X20" s="17"/>
    </row>
    <row r="21" spans="1:28" x14ac:dyDescent="0.25">
      <c r="A21" s="33" t="s">
        <v>7</v>
      </c>
      <c r="B21" s="20"/>
      <c r="C21" s="29"/>
      <c r="D21" s="18"/>
      <c r="E21" s="18"/>
      <c r="F21" s="17"/>
      <c r="H21" s="7" t="s">
        <v>20</v>
      </c>
      <c r="I21" s="13">
        <v>3.3</v>
      </c>
      <c r="J21" s="4" t="s">
        <v>1</v>
      </c>
      <c r="K21" s="18"/>
      <c r="L21" s="17"/>
      <c r="N21" s="20"/>
      <c r="O21" s="29"/>
      <c r="P21" s="18"/>
      <c r="Q21" s="18"/>
      <c r="R21" s="17"/>
      <c r="T21" s="7" t="s">
        <v>13</v>
      </c>
      <c r="U21" s="13">
        <v>5.0999999999999996</v>
      </c>
      <c r="V21" s="4" t="s">
        <v>1</v>
      </c>
      <c r="W21" s="18"/>
      <c r="X21" s="17"/>
    </row>
    <row r="22" spans="1:28" ht="17.25" x14ac:dyDescent="0.25">
      <c r="A22" s="33"/>
      <c r="B22" s="20"/>
      <c r="C22" s="18"/>
      <c r="D22" s="18"/>
      <c r="E22" s="18"/>
      <c r="F22" s="17"/>
      <c r="H22" s="20"/>
      <c r="I22" s="18"/>
      <c r="J22" s="18"/>
      <c r="K22" s="18"/>
      <c r="L22" s="17"/>
      <c r="N22" s="20"/>
      <c r="O22" s="18"/>
      <c r="P22" s="18"/>
      <c r="Q22" s="18"/>
      <c r="R22" s="17"/>
      <c r="T22" s="55" t="s">
        <v>57</v>
      </c>
      <c r="U22" s="30">
        <f>U16</f>
        <v>0</v>
      </c>
      <c r="V22" s="4" t="s">
        <v>1</v>
      </c>
      <c r="W22" s="18"/>
      <c r="X22" s="17"/>
    </row>
    <row r="23" spans="1:28" x14ac:dyDescent="0.25">
      <c r="A23" s="33" t="s">
        <v>34</v>
      </c>
      <c r="B23" s="62" t="s">
        <v>53</v>
      </c>
      <c r="C23" s="63">
        <f>$C$1*(1+C20/C19)*3/2</f>
        <v>3.75</v>
      </c>
      <c r="D23" s="88" t="s">
        <v>2</v>
      </c>
      <c r="E23" s="64">
        <f>(C23-C9)/C23*100</f>
        <v>9.3333333333333357</v>
      </c>
      <c r="F23" s="86" t="s">
        <v>3</v>
      </c>
      <c r="H23" s="62" t="s">
        <v>54</v>
      </c>
      <c r="I23" s="63">
        <f>C1*(1+I20/I19)</f>
        <v>2.0833333333333335</v>
      </c>
      <c r="J23" s="81" t="s">
        <v>2</v>
      </c>
      <c r="K23" s="64">
        <f>(I23-I8)/I23*100</f>
        <v>-5.6000000000000005</v>
      </c>
      <c r="L23" s="86" t="s">
        <v>3</v>
      </c>
      <c r="N23" s="62" t="s">
        <v>56</v>
      </c>
      <c r="O23" s="63">
        <f>$C$1*(1+O20/O19)</f>
        <v>2.1875</v>
      </c>
      <c r="P23" s="67" t="s">
        <v>2</v>
      </c>
      <c r="Q23" s="64">
        <f>(O23-O9)/O23*100</f>
        <v>-0.57142857142857961</v>
      </c>
      <c r="R23" s="86" t="s">
        <v>3</v>
      </c>
      <c r="T23" s="20"/>
      <c r="U23" s="18"/>
      <c r="V23" s="18"/>
      <c r="W23" s="18"/>
      <c r="X23" s="17"/>
    </row>
    <row r="24" spans="1:28" ht="15.75" thickBot="1" x14ac:dyDescent="0.3">
      <c r="A24" s="33" t="s">
        <v>34</v>
      </c>
      <c r="B24" s="27"/>
      <c r="C24" s="77"/>
      <c r="D24" s="77"/>
      <c r="E24" s="78"/>
      <c r="F24" s="75"/>
      <c r="H24" s="79" t="s">
        <v>55</v>
      </c>
      <c r="I24" s="76">
        <f>(C1*((I19+I20+I21)/I19))</f>
        <v>3.3333333333333339</v>
      </c>
      <c r="J24" s="81" t="s">
        <v>2</v>
      </c>
      <c r="K24" s="80">
        <f>(I24-I9)/I24*100</f>
        <v>1.0000000000000229</v>
      </c>
      <c r="L24" s="84" t="s">
        <v>3</v>
      </c>
      <c r="N24" s="27"/>
      <c r="O24" s="92"/>
      <c r="P24" s="92"/>
      <c r="Q24" s="28"/>
      <c r="R24" s="19"/>
      <c r="S24" s="93"/>
      <c r="T24" s="65" t="s">
        <v>14</v>
      </c>
      <c r="U24" s="66">
        <f>U8*(U19+U20)/(U19+U20+U21+U22)</f>
        <v>0.19867549668874174</v>
      </c>
      <c r="V24" s="82" t="s">
        <v>2</v>
      </c>
      <c r="W24" s="83">
        <f>(U24-U9)/U24*100</f>
        <v>-0.66666666666666441</v>
      </c>
      <c r="X24" s="84" t="s">
        <v>3</v>
      </c>
    </row>
    <row r="25" spans="1:28" x14ac:dyDescent="0.25">
      <c r="A25" s="74"/>
      <c r="B25" s="22"/>
      <c r="C25" s="89"/>
      <c r="D25" s="90"/>
      <c r="E25" s="91"/>
      <c r="F25" s="90"/>
      <c r="G25" s="3"/>
      <c r="H25" s="89"/>
      <c r="I25" s="89"/>
      <c r="J25" s="89"/>
      <c r="K25" s="89"/>
      <c r="N25" s="3"/>
      <c r="O25" s="3"/>
      <c r="P25" s="3"/>
      <c r="Q25" s="3"/>
      <c r="R25" s="3"/>
      <c r="T25" s="3"/>
      <c r="U25" s="3"/>
      <c r="V25" s="3"/>
      <c r="W25" s="3"/>
      <c r="X25" s="3"/>
    </row>
    <row r="26" spans="1:28" ht="17.25" x14ac:dyDescent="0.25">
      <c r="B26" s="21"/>
      <c r="D26" s="22"/>
      <c r="E26" s="34" t="s">
        <v>36</v>
      </c>
      <c r="F26" s="22"/>
      <c r="G26" s="3"/>
      <c r="AA26" s="1">
        <v>0.01</v>
      </c>
      <c r="AB26" s="1">
        <v>0.01</v>
      </c>
    </row>
    <row r="27" spans="1:28" x14ac:dyDescent="0.25">
      <c r="B27" s="21"/>
      <c r="D27" s="22"/>
      <c r="E27" s="34" t="s">
        <v>37</v>
      </c>
      <c r="F27" s="22"/>
      <c r="G27" s="3"/>
      <c r="AA27" s="5">
        <v>10</v>
      </c>
      <c r="AB27" s="5">
        <v>10</v>
      </c>
    </row>
    <row r="28" spans="1:28" ht="17.25" x14ac:dyDescent="0.25">
      <c r="B28" s="22"/>
      <c r="C28" s="22"/>
      <c r="D28" s="60"/>
      <c r="E28" s="60" t="s">
        <v>38</v>
      </c>
      <c r="F28" s="22"/>
      <c r="G28" s="3"/>
      <c r="AA28" s="5">
        <v>11</v>
      </c>
      <c r="AB28" s="5">
        <v>11</v>
      </c>
    </row>
    <row r="29" spans="1:28" x14ac:dyDescent="0.25">
      <c r="B29" s="22"/>
      <c r="C29" s="23"/>
      <c r="D29" s="22"/>
      <c r="E29" s="22"/>
      <c r="F29" s="22"/>
      <c r="G29" s="3"/>
      <c r="AA29" s="5">
        <v>12.7</v>
      </c>
      <c r="AB29" s="5">
        <v>12.4</v>
      </c>
    </row>
    <row r="30" spans="1:28" x14ac:dyDescent="0.25">
      <c r="B30" s="22"/>
      <c r="C30" s="23"/>
      <c r="D30" s="22"/>
      <c r="E30" s="22"/>
      <c r="F30" s="22"/>
      <c r="G30" s="3"/>
      <c r="AA30" s="5">
        <v>13</v>
      </c>
      <c r="AB30" s="5">
        <v>12.7</v>
      </c>
    </row>
    <row r="31" spans="1:28" x14ac:dyDescent="0.25">
      <c r="B31" s="22"/>
      <c r="C31" s="23"/>
      <c r="D31" s="22"/>
      <c r="E31" s="22"/>
      <c r="F31" s="22"/>
      <c r="G31" s="3"/>
      <c r="AA31" s="5">
        <v>13.3</v>
      </c>
      <c r="AB31" s="5">
        <v>13</v>
      </c>
    </row>
    <row r="32" spans="1:28" x14ac:dyDescent="0.25">
      <c r="B32" s="22"/>
      <c r="C32" s="22"/>
      <c r="D32" s="22"/>
      <c r="E32" s="22"/>
      <c r="F32" s="22"/>
      <c r="G32" s="3"/>
      <c r="AA32" s="5">
        <v>13.7</v>
      </c>
      <c r="AB32" s="5">
        <v>13.3</v>
      </c>
    </row>
    <row r="33" spans="2:28" x14ac:dyDescent="0.25">
      <c r="B33" s="22"/>
      <c r="C33" s="24"/>
      <c r="D33" s="25"/>
      <c r="E33" s="22"/>
      <c r="F33" s="22"/>
      <c r="G33" s="3"/>
      <c r="AA33" s="5">
        <v>14</v>
      </c>
      <c r="AB33" s="5">
        <v>13.7</v>
      </c>
    </row>
    <row r="34" spans="2:28" x14ac:dyDescent="0.25">
      <c r="B34" s="22"/>
      <c r="C34" s="24"/>
      <c r="D34" s="24"/>
      <c r="E34" s="22"/>
      <c r="F34" s="22"/>
      <c r="G34" s="3"/>
      <c r="AA34" s="5">
        <v>14.3</v>
      </c>
      <c r="AB34" s="5">
        <v>14</v>
      </c>
    </row>
    <row r="35" spans="2:28" x14ac:dyDescent="0.25">
      <c r="AA35" s="5">
        <v>14.7</v>
      </c>
      <c r="AB35" s="5">
        <v>14.3</v>
      </c>
    </row>
    <row r="36" spans="2:28" x14ac:dyDescent="0.25">
      <c r="AA36" s="5">
        <v>15</v>
      </c>
      <c r="AB36" s="5">
        <v>14.7</v>
      </c>
    </row>
    <row r="37" spans="2:28" x14ac:dyDescent="0.25">
      <c r="AA37" s="5">
        <v>15.4</v>
      </c>
      <c r="AB37" s="5">
        <v>15</v>
      </c>
    </row>
    <row r="38" spans="2:28" x14ac:dyDescent="0.25">
      <c r="AA38" s="5">
        <v>15.8</v>
      </c>
      <c r="AB38" s="5">
        <v>15.4</v>
      </c>
    </row>
    <row r="39" spans="2:28" x14ac:dyDescent="0.25">
      <c r="AA39" s="5">
        <v>16.2</v>
      </c>
      <c r="AB39" s="5">
        <v>15.8</v>
      </c>
    </row>
    <row r="40" spans="2:28" x14ac:dyDescent="0.25">
      <c r="AA40" s="5">
        <v>16.5</v>
      </c>
      <c r="AB40" s="5">
        <v>16</v>
      </c>
    </row>
    <row r="41" spans="2:28" x14ac:dyDescent="0.25">
      <c r="AA41" s="5">
        <v>16.899999999999999</v>
      </c>
      <c r="AB41" s="5">
        <v>16.2</v>
      </c>
    </row>
    <row r="42" spans="2:28" x14ac:dyDescent="0.25">
      <c r="AA42" s="5">
        <v>17.399999999999999</v>
      </c>
      <c r="AB42" s="5">
        <v>16.5</v>
      </c>
    </row>
    <row r="43" spans="2:28" x14ac:dyDescent="0.25">
      <c r="AA43" s="5">
        <v>17.8</v>
      </c>
      <c r="AB43" s="5">
        <v>16.899999999999999</v>
      </c>
    </row>
    <row r="44" spans="2:28" x14ac:dyDescent="0.25">
      <c r="AA44" s="5">
        <v>18.2</v>
      </c>
      <c r="AB44" s="5">
        <v>17.399999999999999</v>
      </c>
    </row>
    <row r="45" spans="2:28" x14ac:dyDescent="0.25">
      <c r="AA45" s="5">
        <v>18.7</v>
      </c>
      <c r="AB45" s="5">
        <v>17.8</v>
      </c>
    </row>
    <row r="46" spans="2:28" x14ac:dyDescent="0.25">
      <c r="AA46" s="5">
        <v>19.100000000000001</v>
      </c>
      <c r="AB46" s="5">
        <v>18</v>
      </c>
    </row>
    <row r="47" spans="2:28" x14ac:dyDescent="0.25">
      <c r="AA47" s="5">
        <v>19.600000000000001</v>
      </c>
      <c r="AB47" s="5">
        <v>18.2</v>
      </c>
    </row>
    <row r="48" spans="2:28" x14ac:dyDescent="0.25">
      <c r="AA48" s="5">
        <v>20</v>
      </c>
      <c r="AB48" s="5">
        <v>18.7</v>
      </c>
    </row>
    <row r="49" spans="27:28" x14ac:dyDescent="0.25">
      <c r="AA49" s="5">
        <v>20.5</v>
      </c>
      <c r="AB49" s="5">
        <v>19.100000000000001</v>
      </c>
    </row>
    <row r="50" spans="27:28" x14ac:dyDescent="0.25">
      <c r="AA50" s="5">
        <v>21</v>
      </c>
      <c r="AB50" s="5">
        <v>19.600000000000001</v>
      </c>
    </row>
    <row r="51" spans="27:28" x14ac:dyDescent="0.25">
      <c r="AA51" s="5">
        <v>21.5</v>
      </c>
      <c r="AB51" s="5">
        <v>20</v>
      </c>
    </row>
    <row r="52" spans="27:28" x14ac:dyDescent="0.25">
      <c r="AA52" s="5">
        <v>22.1</v>
      </c>
      <c r="AB52" s="5">
        <v>20.5</v>
      </c>
    </row>
    <row r="53" spans="27:28" x14ac:dyDescent="0.25">
      <c r="AA53" s="5">
        <v>22.6</v>
      </c>
      <c r="AB53" s="5">
        <v>21</v>
      </c>
    </row>
    <row r="54" spans="27:28" x14ac:dyDescent="0.25">
      <c r="AA54" s="5">
        <v>23.2</v>
      </c>
      <c r="AB54" s="5">
        <v>21.5</v>
      </c>
    </row>
    <row r="55" spans="27:28" x14ac:dyDescent="0.25">
      <c r="AA55" s="5">
        <v>23.7</v>
      </c>
      <c r="AB55" s="5">
        <v>22</v>
      </c>
    </row>
    <row r="56" spans="27:28" x14ac:dyDescent="0.25">
      <c r="AA56" s="5">
        <v>24.3</v>
      </c>
      <c r="AB56" s="5">
        <v>22.1</v>
      </c>
    </row>
    <row r="57" spans="27:28" x14ac:dyDescent="0.25">
      <c r="AA57" s="5">
        <v>24.9</v>
      </c>
      <c r="AB57" s="5">
        <v>22.6</v>
      </c>
    </row>
    <row r="58" spans="27:28" x14ac:dyDescent="0.25">
      <c r="AA58" s="5">
        <v>25.5</v>
      </c>
      <c r="AB58" s="5">
        <v>23.2</v>
      </c>
    </row>
    <row r="59" spans="27:28" x14ac:dyDescent="0.25">
      <c r="AA59" s="5">
        <v>26.1</v>
      </c>
      <c r="AB59" s="5">
        <v>23.7</v>
      </c>
    </row>
    <row r="60" spans="27:28" x14ac:dyDescent="0.25">
      <c r="AA60" s="5">
        <v>26.7</v>
      </c>
      <c r="AB60" s="5">
        <v>24.3</v>
      </c>
    </row>
    <row r="61" spans="27:28" x14ac:dyDescent="0.25">
      <c r="AA61" s="5">
        <v>27.4</v>
      </c>
      <c r="AB61" s="5">
        <v>24.9</v>
      </c>
    </row>
    <row r="62" spans="27:28" x14ac:dyDescent="0.25">
      <c r="AA62" s="5">
        <v>28</v>
      </c>
      <c r="AB62" s="5">
        <v>25.5</v>
      </c>
    </row>
    <row r="63" spans="27:28" x14ac:dyDescent="0.25">
      <c r="AA63" s="5">
        <v>28.7</v>
      </c>
      <c r="AB63" s="5">
        <v>26.1</v>
      </c>
    </row>
    <row r="64" spans="27:28" x14ac:dyDescent="0.25">
      <c r="AA64" s="5">
        <v>29.4</v>
      </c>
      <c r="AB64" s="5">
        <v>26.7</v>
      </c>
    </row>
    <row r="65" spans="27:28" x14ac:dyDescent="0.25">
      <c r="AA65" s="5">
        <v>30.1</v>
      </c>
      <c r="AB65" s="5">
        <v>27</v>
      </c>
    </row>
    <row r="66" spans="27:28" x14ac:dyDescent="0.25">
      <c r="AA66" s="5">
        <v>30.9</v>
      </c>
      <c r="AB66" s="5">
        <v>27.4</v>
      </c>
    </row>
    <row r="67" spans="27:28" x14ac:dyDescent="0.25">
      <c r="AA67" s="5">
        <v>31.6</v>
      </c>
      <c r="AB67" s="5">
        <v>28</v>
      </c>
    </row>
    <row r="68" spans="27:28" x14ac:dyDescent="0.25">
      <c r="AA68" s="5">
        <v>32.4</v>
      </c>
      <c r="AB68" s="5">
        <v>28.7</v>
      </c>
    </row>
    <row r="69" spans="27:28" x14ac:dyDescent="0.25">
      <c r="AA69" s="5">
        <v>33.200000000000003</v>
      </c>
      <c r="AB69" s="5">
        <v>29.4</v>
      </c>
    </row>
    <row r="70" spans="27:28" x14ac:dyDescent="0.25">
      <c r="AA70" s="5">
        <v>34</v>
      </c>
      <c r="AB70" s="5">
        <v>30</v>
      </c>
    </row>
    <row r="71" spans="27:28" x14ac:dyDescent="0.25">
      <c r="AA71" s="5">
        <v>34.799999999999997</v>
      </c>
      <c r="AB71" s="5">
        <v>30.1</v>
      </c>
    </row>
    <row r="72" spans="27:28" x14ac:dyDescent="0.25">
      <c r="AA72" s="5">
        <v>35.700000000000003</v>
      </c>
      <c r="AB72" s="5">
        <v>30.9</v>
      </c>
    </row>
    <row r="73" spans="27:28" x14ac:dyDescent="0.25">
      <c r="AA73" s="5">
        <v>36.5</v>
      </c>
      <c r="AB73" s="5">
        <v>31.6</v>
      </c>
    </row>
    <row r="74" spans="27:28" x14ac:dyDescent="0.25">
      <c r="AA74" s="5">
        <v>37.4</v>
      </c>
      <c r="AB74" s="5">
        <v>32.4</v>
      </c>
    </row>
    <row r="75" spans="27:28" x14ac:dyDescent="0.25">
      <c r="AA75" s="5">
        <v>38.299999999999997</v>
      </c>
      <c r="AB75" s="5">
        <v>33</v>
      </c>
    </row>
    <row r="76" spans="27:28" x14ac:dyDescent="0.25">
      <c r="AA76" s="5">
        <v>39.200000000000003</v>
      </c>
      <c r="AB76" s="5">
        <v>33.200000000000003</v>
      </c>
    </row>
    <row r="77" spans="27:28" x14ac:dyDescent="0.25">
      <c r="AA77" s="5">
        <v>40.200000000000003</v>
      </c>
      <c r="AB77" s="5">
        <v>34</v>
      </c>
    </row>
    <row r="78" spans="27:28" x14ac:dyDescent="0.25">
      <c r="AA78" s="5">
        <v>41.2</v>
      </c>
      <c r="AB78" s="5">
        <v>34.799999999999997</v>
      </c>
    </row>
    <row r="79" spans="27:28" x14ac:dyDescent="0.25">
      <c r="AA79" s="5">
        <v>42.2</v>
      </c>
      <c r="AB79" s="5">
        <v>35.700000000000003</v>
      </c>
    </row>
    <row r="80" spans="27:28" x14ac:dyDescent="0.25">
      <c r="AA80" s="5">
        <v>43.2</v>
      </c>
      <c r="AB80" s="5">
        <v>36</v>
      </c>
    </row>
    <row r="81" spans="27:28" x14ac:dyDescent="0.25">
      <c r="AA81" s="5">
        <v>44.2</v>
      </c>
      <c r="AB81" s="5">
        <v>36.5</v>
      </c>
    </row>
    <row r="82" spans="27:28" x14ac:dyDescent="0.25">
      <c r="AA82" s="5">
        <v>45.3</v>
      </c>
      <c r="AB82" s="5">
        <v>37.4</v>
      </c>
    </row>
    <row r="83" spans="27:28" x14ac:dyDescent="0.25">
      <c r="AA83" s="5">
        <v>46.4</v>
      </c>
      <c r="AB83" s="5">
        <v>38.299999999999997</v>
      </c>
    </row>
    <row r="84" spans="27:28" x14ac:dyDescent="0.25">
      <c r="AA84" s="5">
        <v>47.5</v>
      </c>
      <c r="AB84" s="5">
        <v>39</v>
      </c>
    </row>
    <row r="85" spans="27:28" x14ac:dyDescent="0.25">
      <c r="AA85" s="5">
        <v>48.7</v>
      </c>
      <c r="AB85" s="5">
        <v>39.200000000000003</v>
      </c>
    </row>
    <row r="86" spans="27:28" x14ac:dyDescent="0.25">
      <c r="AA86" s="5">
        <v>49.9</v>
      </c>
      <c r="AB86" s="5">
        <v>40.200000000000003</v>
      </c>
    </row>
    <row r="87" spans="27:28" x14ac:dyDescent="0.25">
      <c r="AA87" s="5">
        <v>51.1</v>
      </c>
      <c r="AB87" s="5">
        <v>41.2</v>
      </c>
    </row>
    <row r="88" spans="27:28" x14ac:dyDescent="0.25">
      <c r="AA88" s="5">
        <v>52.3</v>
      </c>
      <c r="AB88" s="5">
        <v>42.2</v>
      </c>
    </row>
    <row r="89" spans="27:28" x14ac:dyDescent="0.25">
      <c r="AA89" s="5">
        <v>53.6</v>
      </c>
      <c r="AB89" s="5">
        <v>43</v>
      </c>
    </row>
    <row r="90" spans="27:28" x14ac:dyDescent="0.25">
      <c r="AA90" s="5">
        <v>54.9</v>
      </c>
      <c r="AB90" s="5">
        <v>43.2</v>
      </c>
    </row>
    <row r="91" spans="27:28" x14ac:dyDescent="0.25">
      <c r="AA91" s="5">
        <v>56.2</v>
      </c>
      <c r="AB91" s="5">
        <v>44.2</v>
      </c>
    </row>
    <row r="92" spans="27:28" x14ac:dyDescent="0.25">
      <c r="AA92" s="5">
        <v>57.6</v>
      </c>
      <c r="AB92" s="5">
        <v>45.3</v>
      </c>
    </row>
    <row r="93" spans="27:28" x14ac:dyDescent="0.25">
      <c r="AA93" s="5">
        <v>59</v>
      </c>
      <c r="AB93" s="5">
        <v>46.4</v>
      </c>
    </row>
    <row r="94" spans="27:28" x14ac:dyDescent="0.25">
      <c r="AA94" s="5">
        <v>60.4</v>
      </c>
      <c r="AB94" s="5">
        <v>47</v>
      </c>
    </row>
    <row r="95" spans="27:28" x14ac:dyDescent="0.25">
      <c r="AA95" s="5">
        <v>61.9</v>
      </c>
      <c r="AB95" s="5">
        <v>47.5</v>
      </c>
    </row>
    <row r="96" spans="27:28" x14ac:dyDescent="0.25">
      <c r="AA96" s="5">
        <v>63.4</v>
      </c>
      <c r="AB96" s="5">
        <v>48.7</v>
      </c>
    </row>
    <row r="97" spans="27:28" x14ac:dyDescent="0.25">
      <c r="AA97" s="5">
        <v>64.900000000000006</v>
      </c>
      <c r="AB97" s="5">
        <v>49.9</v>
      </c>
    </row>
    <row r="98" spans="27:28" x14ac:dyDescent="0.25">
      <c r="AA98" s="5">
        <v>66.5</v>
      </c>
      <c r="AB98" s="5">
        <v>51</v>
      </c>
    </row>
    <row r="99" spans="27:28" x14ac:dyDescent="0.25">
      <c r="AA99" s="5">
        <v>68.099999999999994</v>
      </c>
      <c r="AB99" s="5">
        <v>51.1</v>
      </c>
    </row>
    <row r="100" spans="27:28" x14ac:dyDescent="0.25">
      <c r="AA100" s="5">
        <v>69.8</v>
      </c>
      <c r="AB100" s="5">
        <v>52.3</v>
      </c>
    </row>
    <row r="101" spans="27:28" x14ac:dyDescent="0.25">
      <c r="AA101" s="5">
        <v>71.5</v>
      </c>
      <c r="AB101" s="5">
        <v>53.6</v>
      </c>
    </row>
    <row r="102" spans="27:28" x14ac:dyDescent="0.25">
      <c r="AA102" s="5">
        <v>73.2</v>
      </c>
      <c r="AB102" s="5">
        <v>54.9</v>
      </c>
    </row>
    <row r="103" spans="27:28" x14ac:dyDescent="0.25">
      <c r="AA103" s="5">
        <v>75</v>
      </c>
      <c r="AB103" s="5">
        <v>56</v>
      </c>
    </row>
    <row r="104" spans="27:28" x14ac:dyDescent="0.25">
      <c r="AA104" s="5">
        <v>76.8</v>
      </c>
      <c r="AB104" s="5">
        <v>56.2</v>
      </c>
    </row>
    <row r="105" spans="27:28" x14ac:dyDescent="0.25">
      <c r="AA105" s="5">
        <v>78.7</v>
      </c>
      <c r="AB105" s="5">
        <v>57.6</v>
      </c>
    </row>
    <row r="106" spans="27:28" x14ac:dyDescent="0.25">
      <c r="AA106" s="5">
        <v>80.599999999999994</v>
      </c>
      <c r="AB106" s="5">
        <v>59</v>
      </c>
    </row>
    <row r="107" spans="27:28" x14ac:dyDescent="0.25">
      <c r="AA107" s="5">
        <v>82.5</v>
      </c>
      <c r="AB107" s="5">
        <v>60.4</v>
      </c>
    </row>
    <row r="108" spans="27:28" x14ac:dyDescent="0.25">
      <c r="AA108" s="5">
        <v>84.5</v>
      </c>
      <c r="AB108" s="5">
        <v>61.9</v>
      </c>
    </row>
    <row r="109" spans="27:28" x14ac:dyDescent="0.25">
      <c r="AA109" s="5">
        <v>86.6</v>
      </c>
      <c r="AB109" s="5">
        <v>62</v>
      </c>
    </row>
    <row r="110" spans="27:28" x14ac:dyDescent="0.25">
      <c r="AA110" s="5">
        <v>88.7</v>
      </c>
      <c r="AB110" s="5">
        <v>63.4</v>
      </c>
    </row>
    <row r="111" spans="27:28" x14ac:dyDescent="0.25">
      <c r="AA111" s="5">
        <v>90.9</v>
      </c>
      <c r="AB111" s="5">
        <v>64.900000000000006</v>
      </c>
    </row>
    <row r="112" spans="27:28" x14ac:dyDescent="0.25">
      <c r="AA112" s="5">
        <v>93.1</v>
      </c>
      <c r="AB112" s="5">
        <v>66.5</v>
      </c>
    </row>
    <row r="113" spans="27:28" x14ac:dyDescent="0.25">
      <c r="AA113" s="5">
        <v>95.3</v>
      </c>
      <c r="AB113" s="5">
        <v>68</v>
      </c>
    </row>
    <row r="114" spans="27:28" x14ac:dyDescent="0.25">
      <c r="AA114" s="5">
        <v>97.6</v>
      </c>
      <c r="AB114" s="5">
        <v>68.099999999999994</v>
      </c>
    </row>
    <row r="115" spans="27:28" x14ac:dyDescent="0.25">
      <c r="AA115" s="5">
        <v>100</v>
      </c>
      <c r="AB115" s="5">
        <v>69.8</v>
      </c>
    </row>
    <row r="116" spans="27:28" x14ac:dyDescent="0.25">
      <c r="AA116" s="5"/>
      <c r="AB116" s="5">
        <v>71.5</v>
      </c>
    </row>
    <row r="117" spans="27:28" x14ac:dyDescent="0.25">
      <c r="AA117" s="5"/>
      <c r="AB117" s="5">
        <v>73.2</v>
      </c>
    </row>
    <row r="118" spans="27:28" x14ac:dyDescent="0.25">
      <c r="AA118" s="5"/>
      <c r="AB118" s="5">
        <v>75</v>
      </c>
    </row>
    <row r="119" spans="27:28" x14ac:dyDescent="0.25">
      <c r="AA119" s="5"/>
      <c r="AB119" s="5">
        <v>76.8</v>
      </c>
    </row>
    <row r="120" spans="27:28" x14ac:dyDescent="0.25">
      <c r="AA120" s="5"/>
      <c r="AB120" s="5">
        <v>78.7</v>
      </c>
    </row>
    <row r="121" spans="27:28" x14ac:dyDescent="0.25">
      <c r="AA121" s="5"/>
      <c r="AB121" s="5">
        <v>80.599999999999994</v>
      </c>
    </row>
    <row r="122" spans="27:28" x14ac:dyDescent="0.25">
      <c r="AA122" s="5"/>
      <c r="AB122" s="5">
        <v>82</v>
      </c>
    </row>
    <row r="123" spans="27:28" x14ac:dyDescent="0.25">
      <c r="AA123" s="5"/>
      <c r="AB123" s="5">
        <v>82.5</v>
      </c>
    </row>
    <row r="124" spans="27:28" x14ac:dyDescent="0.25">
      <c r="AA124" s="5"/>
      <c r="AB124" s="5">
        <v>84.5</v>
      </c>
    </row>
    <row r="125" spans="27:28" x14ac:dyDescent="0.25">
      <c r="AA125" s="5"/>
      <c r="AB125" s="5">
        <v>86.6</v>
      </c>
    </row>
    <row r="126" spans="27:28" x14ac:dyDescent="0.25">
      <c r="AA126" s="5"/>
      <c r="AB126" s="5">
        <v>88.7</v>
      </c>
    </row>
    <row r="127" spans="27:28" x14ac:dyDescent="0.25">
      <c r="AA127" s="5"/>
      <c r="AB127" s="5">
        <v>90.9</v>
      </c>
    </row>
    <row r="128" spans="27:28" x14ac:dyDescent="0.25">
      <c r="AA128" s="5"/>
      <c r="AB128" s="5">
        <v>91</v>
      </c>
    </row>
    <row r="129" spans="27:28" x14ac:dyDescent="0.25">
      <c r="AA129" s="5"/>
      <c r="AB129" s="5">
        <v>93.1</v>
      </c>
    </row>
    <row r="130" spans="27:28" x14ac:dyDescent="0.25">
      <c r="AA130" s="5"/>
      <c r="AB130" s="5">
        <v>95.3</v>
      </c>
    </row>
    <row r="131" spans="27:28" x14ac:dyDescent="0.25">
      <c r="AA131" s="5"/>
      <c r="AB131" s="5">
        <v>97.6</v>
      </c>
    </row>
    <row r="132" spans="27:28" x14ac:dyDescent="0.25">
      <c r="AB132" s="26">
        <v>100</v>
      </c>
    </row>
    <row r="146" spans="8:8" x14ac:dyDescent="0.25">
      <c r="H146" s="2"/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</sheetData>
  <sheetProtection password="DD2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bq25504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Герман Антошкин</cp:lastModifiedBy>
  <dcterms:created xsi:type="dcterms:W3CDTF">2012-10-17T01:41:25Z</dcterms:created>
  <dcterms:modified xsi:type="dcterms:W3CDTF">2021-12-10T09:16:53Z</dcterms:modified>
</cp:coreProperties>
</file>